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666" sheetId="15" r:id="rId1"/>
    <sheet name="Расчеты для 19" sheetId="24" r:id="rId2"/>
    <sheet name="Расчеты для 18" sheetId="23" r:id="rId3"/>
    <sheet name="Расчеты для 16" sheetId="22" r:id="rId4"/>
    <sheet name="21" sheetId="16" r:id="rId5"/>
    <sheet name="24" sheetId="19" r:id="rId6"/>
    <sheet name="23" sheetId="18" r:id="rId7"/>
    <sheet name="22" sheetId="17" r:id="rId8"/>
  </sheets>
  <definedNames>
    <definedName name="_xlnm._FilterDatabase" localSheetId="0" hidden="1">'666'!#REF!</definedName>
    <definedName name="_xlnm.Extract" localSheetId="0">'666'!$A$219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6" i="24" l="1"/>
  <c r="A145" i="24"/>
  <c r="B146" i="24"/>
  <c r="B145" i="24"/>
  <c r="B495" i="15"/>
  <c r="B119" i="24"/>
  <c r="B120" i="24"/>
  <c r="B134" i="24"/>
  <c r="A143" i="24"/>
  <c r="A134" i="24"/>
  <c r="A135" i="24"/>
  <c r="A136" i="24"/>
  <c r="A137" i="24"/>
  <c r="A138" i="24"/>
  <c r="A139" i="24"/>
  <c r="A140" i="24"/>
  <c r="A141" i="24"/>
  <c r="A142" i="24"/>
  <c r="B133" i="24"/>
  <c r="A133" i="24"/>
  <c r="B492" i="15"/>
  <c r="A106" i="24"/>
  <c r="A107" i="24"/>
  <c r="A108" i="24"/>
  <c r="A109" i="24"/>
  <c r="A110" i="24"/>
  <c r="A111" i="24"/>
  <c r="A112" i="24"/>
  <c r="A113" i="24"/>
  <c r="A114" i="24"/>
  <c r="A115" i="24"/>
  <c r="A105" i="24"/>
  <c r="A120" i="24"/>
  <c r="A121" i="24"/>
  <c r="A122" i="24"/>
  <c r="A123" i="24"/>
  <c r="A124" i="24"/>
  <c r="A125" i="24"/>
  <c r="A126" i="24"/>
  <c r="A127" i="24"/>
  <c r="A128" i="24"/>
  <c r="A129" i="24"/>
  <c r="A119" i="24"/>
  <c r="B490" i="15"/>
  <c r="B493" i="15"/>
  <c r="B106" i="24"/>
  <c r="B105" i="24"/>
  <c r="B489" i="15"/>
  <c r="B92" i="24"/>
  <c r="B93" i="24" s="1"/>
  <c r="A94" i="24"/>
  <c r="A95" i="24"/>
  <c r="A96" i="24"/>
  <c r="A97" i="24"/>
  <c r="A98" i="24"/>
  <c r="A99" i="24"/>
  <c r="A100" i="24"/>
  <c r="A101" i="24"/>
  <c r="A102" i="24"/>
  <c r="A93" i="24"/>
  <c r="A92" i="24"/>
  <c r="B80" i="24"/>
  <c r="B79" i="24"/>
  <c r="A89" i="24"/>
  <c r="A80" i="24"/>
  <c r="A81" i="24"/>
  <c r="A82" i="24"/>
  <c r="A83" i="24"/>
  <c r="A84" i="24"/>
  <c r="A85" i="24"/>
  <c r="A86" i="24"/>
  <c r="A87" i="24"/>
  <c r="A88" i="24"/>
  <c r="A79" i="24"/>
  <c r="B487" i="15"/>
  <c r="B67" i="24"/>
  <c r="B66" i="24"/>
  <c r="A67" i="24"/>
  <c r="A68" i="24"/>
  <c r="A69" i="24"/>
  <c r="A70" i="24"/>
  <c r="A71" i="24"/>
  <c r="A72" i="24"/>
  <c r="A73" i="24"/>
  <c r="A74" i="24"/>
  <c r="A75" i="24"/>
  <c r="A76" i="24"/>
  <c r="A66" i="24"/>
  <c r="B484" i="15"/>
  <c r="C483" i="15"/>
  <c r="A62" i="24"/>
  <c r="A63" i="24"/>
  <c r="A54" i="24"/>
  <c r="A55" i="24"/>
  <c r="A56" i="24"/>
  <c r="A57" i="24"/>
  <c r="A58" i="24"/>
  <c r="A59" i="24"/>
  <c r="A60" i="24"/>
  <c r="A61" i="24"/>
  <c r="A53" i="24"/>
  <c r="B41" i="24"/>
  <c r="B40" i="24"/>
  <c r="A50" i="24"/>
  <c r="A41" i="24"/>
  <c r="A42" i="24"/>
  <c r="A43" i="24"/>
  <c r="A44" i="24"/>
  <c r="A45" i="24"/>
  <c r="A46" i="24"/>
  <c r="A47" i="24"/>
  <c r="A48" i="24"/>
  <c r="A49" i="24"/>
  <c r="A40" i="24"/>
  <c r="A37" i="24"/>
  <c r="A28" i="24"/>
  <c r="A29" i="24"/>
  <c r="A30" i="24"/>
  <c r="A31" i="24"/>
  <c r="A32" i="24"/>
  <c r="A33" i="24"/>
  <c r="A34" i="24"/>
  <c r="A35" i="24"/>
  <c r="A36" i="24"/>
  <c r="A27" i="24"/>
  <c r="A14" i="24"/>
  <c r="A21" i="24"/>
  <c r="A22" i="24"/>
  <c r="A23" i="24"/>
  <c r="A24" i="24"/>
  <c r="A2" i="24"/>
  <c r="A3" i="24"/>
  <c r="A4" i="24"/>
  <c r="A5" i="24"/>
  <c r="A6" i="24"/>
  <c r="A7" i="24"/>
  <c r="A8" i="24"/>
  <c r="A9" i="24"/>
  <c r="A10" i="24"/>
  <c r="A11" i="24"/>
  <c r="A19" i="24"/>
  <c r="A20" i="24"/>
  <c r="A15" i="24"/>
  <c r="A16" i="24"/>
  <c r="A17" i="24"/>
  <c r="A18" i="24"/>
  <c r="A1" i="24"/>
  <c r="B19" i="23"/>
  <c r="B16" i="23"/>
  <c r="B15" i="23"/>
  <c r="B14" i="23"/>
  <c r="B13" i="23"/>
  <c r="A14" i="23"/>
  <c r="A15" i="23"/>
  <c r="A16" i="23"/>
  <c r="A17" i="23"/>
  <c r="A18" i="23"/>
  <c r="A19" i="23"/>
  <c r="A13" i="23"/>
  <c r="A5" i="23"/>
  <c r="D461" i="15"/>
  <c r="E461" i="15"/>
  <c r="C174" i="18" l="1"/>
  <c r="C173" i="18"/>
  <c r="A174" i="18"/>
  <c r="A173" i="18"/>
  <c r="C161" i="18"/>
  <c r="A161" i="18"/>
  <c r="C160" i="18"/>
  <c r="A160" i="18"/>
  <c r="B76" i="18"/>
  <c r="B77" i="18"/>
  <c r="B78" i="18"/>
  <c r="B79" i="18"/>
  <c r="B75" i="18"/>
  <c r="B74" i="18"/>
  <c r="B73" i="18"/>
  <c r="B72" i="18"/>
  <c r="B71" i="18"/>
  <c r="B60" i="18"/>
  <c r="B59" i="18"/>
  <c r="B58" i="18"/>
  <c r="B61" i="18"/>
  <c r="B62" i="18"/>
  <c r="B64" i="18"/>
  <c r="B65" i="18"/>
  <c r="B66" i="18"/>
  <c r="B63" i="18"/>
  <c r="C226" i="19"/>
  <c r="C225" i="19"/>
  <c r="A226" i="19"/>
  <c r="A225" i="19"/>
  <c r="C213" i="19"/>
  <c r="C212" i="19"/>
  <c r="A213" i="19"/>
  <c r="A212" i="19"/>
  <c r="A199" i="19"/>
  <c r="A200" i="19"/>
  <c r="C199" i="19"/>
  <c r="C200" i="19"/>
  <c r="C186" i="19"/>
  <c r="A186" i="19"/>
  <c r="A187" i="19"/>
  <c r="C187" i="19"/>
  <c r="B525" i="18"/>
  <c r="B524" i="18"/>
  <c r="B522" i="18"/>
  <c r="B509" i="18"/>
  <c r="B495" i="18"/>
  <c r="B494" i="18"/>
  <c r="B493" i="18"/>
  <c r="B492" i="18"/>
  <c r="B491" i="18"/>
  <c r="B490" i="18"/>
  <c r="B489" i="18"/>
  <c r="B488" i="18"/>
  <c r="B487" i="18"/>
  <c r="B486" i="18"/>
  <c r="B485" i="18"/>
  <c r="B482" i="18"/>
  <c r="B481" i="18"/>
  <c r="B480" i="18"/>
  <c r="B479" i="18"/>
  <c r="B478" i="18"/>
  <c r="B477" i="18"/>
  <c r="B476" i="18"/>
  <c r="B475" i="18"/>
  <c r="B474" i="18"/>
  <c r="B473" i="18"/>
  <c r="B472" i="18"/>
  <c r="B443" i="18"/>
  <c r="B442" i="18"/>
  <c r="B441" i="18"/>
  <c r="B440" i="18"/>
  <c r="B439" i="18"/>
  <c r="B438" i="18"/>
  <c r="B437" i="18"/>
  <c r="B436" i="18"/>
  <c r="B435" i="18"/>
  <c r="B434" i="18"/>
  <c r="B433" i="18"/>
  <c r="B430" i="18"/>
  <c r="B429" i="18"/>
  <c r="B428" i="18"/>
  <c r="B427" i="18"/>
  <c r="B426" i="18"/>
  <c r="B425" i="18"/>
  <c r="B424" i="18"/>
  <c r="B423" i="18"/>
  <c r="B422" i="18"/>
  <c r="B421" i="18"/>
  <c r="B420" i="18"/>
  <c r="B356" i="18"/>
  <c r="B355" i="18"/>
  <c r="B305" i="18"/>
  <c r="B293" i="18"/>
  <c r="B292" i="18"/>
  <c r="B287" i="18"/>
  <c r="B286" i="18"/>
  <c r="B285" i="18"/>
  <c r="B284" i="18"/>
  <c r="B283" i="18"/>
  <c r="B282" i="18"/>
  <c r="B281" i="18"/>
  <c r="B280" i="18"/>
  <c r="B279" i="18"/>
  <c r="B278" i="18"/>
  <c r="B277" i="18"/>
  <c r="B274" i="18"/>
  <c r="B273" i="18"/>
  <c r="B272" i="18"/>
  <c r="B271" i="18"/>
  <c r="B270" i="18"/>
  <c r="B269" i="18"/>
  <c r="B268" i="18"/>
  <c r="B267" i="18"/>
  <c r="B266" i="18"/>
  <c r="B265" i="18"/>
  <c r="B264" i="18"/>
  <c r="B261" i="18"/>
  <c r="B260" i="18"/>
  <c r="B259" i="18"/>
  <c r="B258" i="18"/>
  <c r="B257" i="18"/>
  <c r="B256" i="18"/>
  <c r="B255" i="18"/>
  <c r="B254" i="18"/>
  <c r="B253" i="18"/>
  <c r="B252" i="18"/>
  <c r="B251" i="18"/>
  <c r="B248" i="18"/>
  <c r="B247" i="18"/>
  <c r="B246" i="18"/>
  <c r="B245" i="18"/>
  <c r="B244" i="18"/>
  <c r="B243" i="18"/>
  <c r="B242" i="18"/>
  <c r="B241" i="18"/>
  <c r="B240" i="18"/>
  <c r="B239" i="18"/>
  <c r="B238" i="18"/>
  <c r="C226" i="18"/>
  <c r="A226" i="18"/>
  <c r="C225" i="18"/>
  <c r="A225" i="18"/>
  <c r="C213" i="18"/>
  <c r="A213" i="18"/>
  <c r="C212" i="18"/>
  <c r="A212" i="18"/>
  <c r="C200" i="18"/>
  <c r="A200" i="18"/>
  <c r="C199" i="18"/>
  <c r="A199" i="18"/>
  <c r="C187" i="18"/>
  <c r="C239" i="18" s="1"/>
  <c r="A187" i="18"/>
  <c r="C186" i="18"/>
  <c r="A186" i="18"/>
  <c r="C252" i="18"/>
  <c r="C238" i="18"/>
  <c r="B157" i="18"/>
  <c r="B156" i="18"/>
  <c r="B155" i="18"/>
  <c r="B154" i="18"/>
  <c r="B153" i="18"/>
  <c r="B152" i="18"/>
  <c r="B151" i="18"/>
  <c r="B150" i="18"/>
  <c r="B149" i="18"/>
  <c r="B148" i="18"/>
  <c r="B147" i="18"/>
  <c r="B144" i="18"/>
  <c r="B143" i="18"/>
  <c r="B142" i="18"/>
  <c r="B141" i="18"/>
  <c r="B140" i="18"/>
  <c r="B139" i="18"/>
  <c r="B138" i="18"/>
  <c r="B137" i="18"/>
  <c r="B136" i="18"/>
  <c r="B135" i="18"/>
  <c r="B134" i="18"/>
  <c r="B131" i="18"/>
  <c r="B130" i="18"/>
  <c r="B129" i="18"/>
  <c r="B128" i="18"/>
  <c r="B127" i="18"/>
  <c r="B126" i="18"/>
  <c r="B125" i="18"/>
  <c r="B124" i="18"/>
  <c r="B123" i="18"/>
  <c r="B122" i="18"/>
  <c r="B121" i="18"/>
  <c r="B118" i="18"/>
  <c r="B117" i="18"/>
  <c r="B116" i="18"/>
  <c r="B115" i="18"/>
  <c r="B114" i="18"/>
  <c r="B113" i="18"/>
  <c r="B112" i="18"/>
  <c r="B111" i="18"/>
  <c r="B110" i="18"/>
  <c r="B109" i="18"/>
  <c r="B108" i="18"/>
  <c r="B96" i="18"/>
  <c r="B95" i="18"/>
  <c r="B83" i="18"/>
  <c r="B82" i="18"/>
  <c r="B70" i="18"/>
  <c r="B69" i="18"/>
  <c r="B57" i="18"/>
  <c r="B56" i="18"/>
  <c r="B79" i="19"/>
  <c r="B78" i="19"/>
  <c r="B77" i="19"/>
  <c r="B76" i="19"/>
  <c r="B75" i="19"/>
  <c r="B74" i="19"/>
  <c r="B73" i="19"/>
  <c r="B72" i="19"/>
  <c r="B71" i="19"/>
  <c r="B66" i="19"/>
  <c r="B65" i="19"/>
  <c r="B64" i="19"/>
  <c r="B63" i="19"/>
  <c r="B62" i="19"/>
  <c r="B61" i="19"/>
  <c r="B60" i="19"/>
  <c r="B59" i="19"/>
  <c r="B58" i="19"/>
  <c r="B525" i="19"/>
  <c r="B524" i="19"/>
  <c r="B522" i="19"/>
  <c r="B509" i="19"/>
  <c r="B495" i="19"/>
  <c r="B494" i="19"/>
  <c r="B493" i="19"/>
  <c r="B492" i="19"/>
  <c r="B491" i="19"/>
  <c r="B490" i="19"/>
  <c r="B489" i="19"/>
  <c r="B488" i="19"/>
  <c r="B487" i="19"/>
  <c r="B486" i="19"/>
  <c r="B485" i="19"/>
  <c r="B482" i="19"/>
  <c r="B481" i="19"/>
  <c r="B480" i="19"/>
  <c r="B479" i="19"/>
  <c r="B478" i="19"/>
  <c r="B477" i="19"/>
  <c r="B476" i="19"/>
  <c r="B475" i="19"/>
  <c r="B474" i="19"/>
  <c r="B473" i="19"/>
  <c r="B472" i="19"/>
  <c r="B443" i="19"/>
  <c r="B442" i="19"/>
  <c r="B441" i="19"/>
  <c r="B440" i="19"/>
  <c r="B439" i="19"/>
  <c r="B438" i="19"/>
  <c r="B437" i="19"/>
  <c r="B436" i="19"/>
  <c r="B435" i="19"/>
  <c r="B434" i="19"/>
  <c r="B433" i="19"/>
  <c r="B430" i="19"/>
  <c r="B429" i="19"/>
  <c r="B428" i="19"/>
  <c r="B427" i="19"/>
  <c r="B426" i="19"/>
  <c r="B425" i="19"/>
  <c r="B424" i="19"/>
  <c r="B423" i="19"/>
  <c r="B422" i="19"/>
  <c r="B421" i="19"/>
  <c r="B420" i="19"/>
  <c r="B356" i="19"/>
  <c r="B355" i="19"/>
  <c r="B305" i="19"/>
  <c r="B293" i="19"/>
  <c r="B292" i="19"/>
  <c r="B287" i="19"/>
  <c r="B286" i="19"/>
  <c r="B285" i="19"/>
  <c r="B284" i="19"/>
  <c r="B283" i="19"/>
  <c r="B282" i="19"/>
  <c r="B281" i="19"/>
  <c r="B280" i="19"/>
  <c r="B279" i="19"/>
  <c r="B278" i="19"/>
  <c r="B277" i="19"/>
  <c r="B274" i="19"/>
  <c r="B273" i="19"/>
  <c r="B272" i="19"/>
  <c r="B271" i="19"/>
  <c r="B270" i="19"/>
  <c r="B269" i="19"/>
  <c r="B268" i="19"/>
  <c r="B267" i="19"/>
  <c r="B266" i="19"/>
  <c r="B265" i="19"/>
  <c r="B264" i="19"/>
  <c r="B261" i="19"/>
  <c r="B260" i="19"/>
  <c r="B259" i="19"/>
  <c r="B258" i="19"/>
  <c r="B257" i="19"/>
  <c r="B256" i="19"/>
  <c r="B255" i="19"/>
  <c r="B254" i="19"/>
  <c r="B253" i="19"/>
  <c r="B252" i="19"/>
  <c r="B251" i="19"/>
  <c r="B248" i="19"/>
  <c r="B247" i="19"/>
  <c r="B246" i="19"/>
  <c r="B245" i="19"/>
  <c r="B244" i="19"/>
  <c r="B243" i="19"/>
  <c r="B242" i="19"/>
  <c r="B241" i="19"/>
  <c r="B240" i="19"/>
  <c r="B239" i="19"/>
  <c r="B238" i="19"/>
  <c r="C251" i="19"/>
  <c r="C174" i="19"/>
  <c r="C252" i="19" s="1"/>
  <c r="A174" i="19"/>
  <c r="C173" i="19"/>
  <c r="A173" i="19"/>
  <c r="C161" i="19"/>
  <c r="C239" i="19" s="1"/>
  <c r="A161" i="19"/>
  <c r="C160" i="19"/>
  <c r="C238" i="19" s="1"/>
  <c r="A160" i="19"/>
  <c r="B157" i="19"/>
  <c r="B156" i="19"/>
  <c r="B155" i="19"/>
  <c r="B154" i="19"/>
  <c r="B153" i="19"/>
  <c r="B152" i="19"/>
  <c r="B151" i="19"/>
  <c r="B150" i="19"/>
  <c r="B149" i="19"/>
  <c r="B148" i="19"/>
  <c r="B147" i="19"/>
  <c r="B144" i="19"/>
  <c r="B143" i="19"/>
  <c r="B142" i="19"/>
  <c r="B141" i="19"/>
  <c r="B140" i="19"/>
  <c r="B139" i="19"/>
  <c r="B138" i="19"/>
  <c r="B137" i="19"/>
  <c r="B136" i="19"/>
  <c r="B135" i="19"/>
  <c r="B134" i="19"/>
  <c r="B131" i="19"/>
  <c r="B130" i="19"/>
  <c r="B129" i="19"/>
  <c r="B128" i="19"/>
  <c r="B127" i="19"/>
  <c r="B126" i="19"/>
  <c r="B125" i="19"/>
  <c r="B124" i="19"/>
  <c r="B123" i="19"/>
  <c r="B122" i="19"/>
  <c r="B121" i="19"/>
  <c r="B118" i="19"/>
  <c r="B117" i="19"/>
  <c r="B116" i="19"/>
  <c r="B115" i="19"/>
  <c r="B114" i="19"/>
  <c r="B113" i="19"/>
  <c r="B112" i="19"/>
  <c r="B111" i="19"/>
  <c r="B110" i="19"/>
  <c r="B109" i="19"/>
  <c r="B108" i="19"/>
  <c r="B96" i="19"/>
  <c r="B95" i="19"/>
  <c r="B83" i="19"/>
  <c r="B82" i="19"/>
  <c r="B70" i="19"/>
  <c r="B69" i="19"/>
  <c r="B57" i="19"/>
  <c r="B56" i="19"/>
  <c r="B78" i="17"/>
  <c r="B79" i="17"/>
  <c r="B77" i="17"/>
  <c r="B76" i="17"/>
  <c r="B75" i="17"/>
  <c r="B74" i="17"/>
  <c r="B73" i="17"/>
  <c r="B72" i="17"/>
  <c r="B71" i="17"/>
  <c r="B66" i="17"/>
  <c r="B65" i="17"/>
  <c r="B64" i="17"/>
  <c r="B63" i="17"/>
  <c r="B62" i="17"/>
  <c r="B61" i="17"/>
  <c r="B60" i="17"/>
  <c r="B59" i="17"/>
  <c r="B58" i="17"/>
  <c r="H75" i="19"/>
  <c r="H74" i="19"/>
  <c r="H73" i="19"/>
  <c r="H72" i="19"/>
  <c r="H71" i="19"/>
  <c r="H70" i="19"/>
  <c r="H69" i="19"/>
  <c r="H68" i="19"/>
  <c r="H67" i="19"/>
  <c r="H66" i="19"/>
  <c r="H65" i="19"/>
  <c r="F65" i="18"/>
  <c r="F64" i="18"/>
  <c r="F63" i="18"/>
  <c r="F62" i="18"/>
  <c r="F61" i="18"/>
  <c r="F60" i="18"/>
  <c r="F59" i="18"/>
  <c r="F58" i="18"/>
  <c r="F57" i="18"/>
  <c r="F56" i="18"/>
  <c r="F55" i="18"/>
  <c r="H66" i="17"/>
  <c r="H65" i="17"/>
  <c r="H64" i="17"/>
  <c r="H63" i="17"/>
  <c r="H62" i="17"/>
  <c r="H61" i="17"/>
  <c r="H60" i="17"/>
  <c r="H59" i="17"/>
  <c r="H58" i="17"/>
  <c r="H57" i="17"/>
  <c r="H56" i="17"/>
  <c r="B58" i="16"/>
  <c r="B525" i="17"/>
  <c r="B524" i="17"/>
  <c r="B522" i="17"/>
  <c r="B509" i="17"/>
  <c r="B495" i="17"/>
  <c r="B494" i="17"/>
  <c r="B493" i="17"/>
  <c r="B492" i="17"/>
  <c r="B491" i="17"/>
  <c r="B490" i="17"/>
  <c r="B489" i="17"/>
  <c r="B488" i="17"/>
  <c r="B487" i="17"/>
  <c r="B486" i="17"/>
  <c r="B485" i="17"/>
  <c r="B482" i="17"/>
  <c r="B481" i="17"/>
  <c r="B480" i="17"/>
  <c r="B479" i="17"/>
  <c r="B478" i="17"/>
  <c r="B477" i="17"/>
  <c r="B476" i="17"/>
  <c r="B475" i="17"/>
  <c r="B474" i="17"/>
  <c r="B473" i="17"/>
  <c r="B472" i="17"/>
  <c r="B443" i="17"/>
  <c r="B442" i="17"/>
  <c r="B441" i="17"/>
  <c r="B440" i="17"/>
  <c r="B439" i="17"/>
  <c r="B438" i="17"/>
  <c r="B437" i="17"/>
  <c r="B436" i="17"/>
  <c r="B435" i="17"/>
  <c r="B434" i="17"/>
  <c r="B433" i="17"/>
  <c r="B430" i="17"/>
  <c r="B429" i="17"/>
  <c r="B428" i="17"/>
  <c r="B427" i="17"/>
  <c r="B426" i="17"/>
  <c r="B425" i="17"/>
  <c r="B424" i="17"/>
  <c r="B423" i="17"/>
  <c r="B422" i="17"/>
  <c r="B421" i="17"/>
  <c r="B420" i="17"/>
  <c r="B356" i="17"/>
  <c r="B355" i="17"/>
  <c r="B305" i="17"/>
  <c r="B293" i="17"/>
  <c r="B292" i="17"/>
  <c r="B287" i="17"/>
  <c r="B286" i="17"/>
  <c r="B285" i="17"/>
  <c r="B284" i="17"/>
  <c r="B283" i="17"/>
  <c r="B282" i="17"/>
  <c r="B281" i="17"/>
  <c r="B280" i="17"/>
  <c r="B279" i="17"/>
  <c r="B278" i="17"/>
  <c r="B277" i="17"/>
  <c r="B274" i="17"/>
  <c r="B273" i="17"/>
  <c r="B272" i="17"/>
  <c r="B271" i="17"/>
  <c r="B270" i="17"/>
  <c r="B269" i="17"/>
  <c r="B268" i="17"/>
  <c r="B267" i="17"/>
  <c r="B266" i="17"/>
  <c r="B265" i="17"/>
  <c r="B264" i="17"/>
  <c r="B261" i="17"/>
  <c r="B260" i="17"/>
  <c r="B259" i="17"/>
  <c r="B258" i="17"/>
  <c r="B257" i="17"/>
  <c r="B256" i="17"/>
  <c r="B255" i="17"/>
  <c r="B254" i="17"/>
  <c r="B253" i="17"/>
  <c r="B252" i="17"/>
  <c r="B251" i="17"/>
  <c r="B248" i="17"/>
  <c r="B247" i="17"/>
  <c r="B246" i="17"/>
  <c r="B245" i="17"/>
  <c r="B244" i="17"/>
  <c r="B243" i="17"/>
  <c r="B242" i="17"/>
  <c r="B241" i="17"/>
  <c r="B240" i="17"/>
  <c r="B239" i="17"/>
  <c r="B238" i="17"/>
  <c r="C226" i="17"/>
  <c r="A226" i="17"/>
  <c r="C225" i="17"/>
  <c r="A225" i="17"/>
  <c r="C213" i="17"/>
  <c r="A213" i="17"/>
  <c r="C212" i="17"/>
  <c r="A212" i="17"/>
  <c r="C200" i="17"/>
  <c r="A200" i="17"/>
  <c r="C199" i="17"/>
  <c r="A199" i="17"/>
  <c r="C187" i="17"/>
  <c r="A187" i="17"/>
  <c r="C186" i="17"/>
  <c r="A186" i="17"/>
  <c r="C174" i="17"/>
  <c r="C252" i="17" s="1"/>
  <c r="A174" i="17"/>
  <c r="C173" i="17"/>
  <c r="C251" i="17" s="1"/>
  <c r="A173" i="17"/>
  <c r="C161" i="17"/>
  <c r="C239" i="17" s="1"/>
  <c r="A161" i="17"/>
  <c r="C160" i="17"/>
  <c r="C238" i="17" s="1"/>
  <c r="A160" i="17"/>
  <c r="B157" i="17"/>
  <c r="B156" i="17"/>
  <c r="B155" i="17"/>
  <c r="B154" i="17"/>
  <c r="B153" i="17"/>
  <c r="B152" i="17"/>
  <c r="B151" i="17"/>
  <c r="B150" i="17"/>
  <c r="B149" i="17"/>
  <c r="B148" i="17"/>
  <c r="B147" i="17"/>
  <c r="B144" i="17"/>
  <c r="B143" i="17"/>
  <c r="B142" i="17"/>
  <c r="B141" i="17"/>
  <c r="B140" i="17"/>
  <c r="B139" i="17"/>
  <c r="B138" i="17"/>
  <c r="B137" i="17"/>
  <c r="B136" i="17"/>
  <c r="B135" i="17"/>
  <c r="B134" i="17"/>
  <c r="B131" i="17"/>
  <c r="B130" i="17"/>
  <c r="B129" i="17"/>
  <c r="B128" i="17"/>
  <c r="B127" i="17"/>
  <c r="B126" i="17"/>
  <c r="B125" i="17"/>
  <c r="B124" i="17"/>
  <c r="B123" i="17"/>
  <c r="B122" i="17"/>
  <c r="B121" i="17"/>
  <c r="B118" i="17"/>
  <c r="B117" i="17"/>
  <c r="B116" i="17"/>
  <c r="B115" i="17"/>
  <c r="B114" i="17"/>
  <c r="B113" i="17"/>
  <c r="B112" i="17"/>
  <c r="B111" i="17"/>
  <c r="B110" i="17"/>
  <c r="B109" i="17"/>
  <c r="B108" i="17"/>
  <c r="B96" i="17"/>
  <c r="B95" i="17"/>
  <c r="B83" i="17"/>
  <c r="B82" i="17"/>
  <c r="B70" i="17"/>
  <c r="B69" i="17"/>
  <c r="B57" i="17"/>
  <c r="B56" i="17"/>
  <c r="B525" i="16"/>
  <c r="B524" i="16"/>
  <c r="B522" i="16"/>
  <c r="B509" i="16"/>
  <c r="B486" i="16"/>
  <c r="B487" i="16"/>
  <c r="B488" i="16"/>
  <c r="B489" i="16"/>
  <c r="B490" i="16"/>
  <c r="B491" i="16"/>
  <c r="B492" i="16"/>
  <c r="B493" i="16"/>
  <c r="B494" i="16"/>
  <c r="B495" i="16"/>
  <c r="B485" i="16"/>
  <c r="B473" i="16"/>
  <c r="B474" i="16"/>
  <c r="B475" i="16"/>
  <c r="B476" i="16"/>
  <c r="B477" i="16"/>
  <c r="B478" i="16"/>
  <c r="B479" i="16"/>
  <c r="B480" i="16"/>
  <c r="B481" i="16"/>
  <c r="B482" i="16"/>
  <c r="B472" i="16"/>
  <c r="E38" i="16"/>
  <c r="B435" i="16"/>
  <c r="B436" i="16"/>
  <c r="B437" i="16"/>
  <c r="B438" i="16"/>
  <c r="B439" i="16"/>
  <c r="B440" i="16"/>
  <c r="B441" i="16"/>
  <c r="B442" i="16"/>
  <c r="B443" i="16"/>
  <c r="B434" i="16"/>
  <c r="B433" i="16"/>
  <c r="B422" i="16"/>
  <c r="B423" i="16"/>
  <c r="B424" i="16"/>
  <c r="B425" i="16"/>
  <c r="B426" i="16"/>
  <c r="B427" i="16"/>
  <c r="B428" i="16"/>
  <c r="B429" i="16"/>
  <c r="B430" i="16"/>
  <c r="B421" i="16"/>
  <c r="B420" i="16"/>
  <c r="F57" i="16"/>
  <c r="F58" i="16"/>
  <c r="F59" i="16"/>
  <c r="F60" i="16"/>
  <c r="F61" i="16"/>
  <c r="F62" i="16"/>
  <c r="F63" i="16"/>
  <c r="F64" i="16"/>
  <c r="F65" i="16"/>
  <c r="F66" i="16"/>
  <c r="F56" i="16"/>
  <c r="D34" i="16"/>
  <c r="B355" i="16"/>
  <c r="B356" i="16"/>
  <c r="B305" i="16"/>
  <c r="B293" i="16"/>
  <c r="B292" i="16"/>
  <c r="B278" i="16"/>
  <c r="B279" i="16"/>
  <c r="B280" i="16"/>
  <c r="B281" i="16"/>
  <c r="B282" i="16"/>
  <c r="B283" i="16"/>
  <c r="B284" i="16"/>
  <c r="B285" i="16"/>
  <c r="B286" i="16"/>
  <c r="B287" i="16"/>
  <c r="B277" i="16"/>
  <c r="B265" i="16"/>
  <c r="B266" i="16"/>
  <c r="B267" i="16"/>
  <c r="B268" i="16"/>
  <c r="B269" i="16"/>
  <c r="B270" i="16"/>
  <c r="B271" i="16"/>
  <c r="B272" i="16"/>
  <c r="B273" i="16"/>
  <c r="B274" i="16"/>
  <c r="B264" i="16"/>
  <c r="A57" i="22"/>
  <c r="B252" i="16"/>
  <c r="B253" i="16"/>
  <c r="B254" i="16"/>
  <c r="B255" i="16"/>
  <c r="B256" i="16"/>
  <c r="B257" i="16"/>
  <c r="B258" i="16"/>
  <c r="B259" i="16"/>
  <c r="B260" i="16"/>
  <c r="B261" i="16"/>
  <c r="B251" i="16"/>
  <c r="B248" i="16"/>
  <c r="B239" i="16"/>
  <c r="B240" i="16"/>
  <c r="B241" i="16"/>
  <c r="B242" i="16"/>
  <c r="B243" i="16"/>
  <c r="B244" i="16"/>
  <c r="B245" i="16"/>
  <c r="B246" i="16"/>
  <c r="B247" i="16"/>
  <c r="B238" i="16"/>
  <c r="B96" i="16"/>
  <c r="B95" i="16"/>
  <c r="B122" i="16"/>
  <c r="B123" i="16"/>
  <c r="B124" i="16"/>
  <c r="B125" i="16"/>
  <c r="B126" i="16"/>
  <c r="B127" i="16"/>
  <c r="B128" i="16"/>
  <c r="B129" i="16"/>
  <c r="B130" i="16"/>
  <c r="B131" i="16"/>
  <c r="B121" i="16"/>
  <c r="B148" i="16"/>
  <c r="B149" i="16"/>
  <c r="B150" i="16"/>
  <c r="B151" i="16"/>
  <c r="B152" i="16"/>
  <c r="B153" i="16"/>
  <c r="B154" i="16"/>
  <c r="B155" i="16"/>
  <c r="B156" i="16"/>
  <c r="B157" i="16"/>
  <c r="B147" i="16"/>
  <c r="B143" i="16"/>
  <c r="B144" i="16"/>
  <c r="B135" i="16"/>
  <c r="B136" i="16"/>
  <c r="B137" i="16"/>
  <c r="B138" i="16"/>
  <c r="B139" i="16"/>
  <c r="B140" i="16"/>
  <c r="B141" i="16"/>
  <c r="B142" i="16"/>
  <c r="B134" i="16"/>
  <c r="A19" i="22"/>
  <c r="B116" i="16"/>
  <c r="B117" i="16"/>
  <c r="B118" i="16"/>
  <c r="B109" i="16"/>
  <c r="B110" i="16"/>
  <c r="B111" i="16"/>
  <c r="B112" i="16"/>
  <c r="B113" i="16"/>
  <c r="B114" i="16"/>
  <c r="B115" i="16"/>
  <c r="B108" i="16"/>
  <c r="A10" i="22"/>
  <c r="B83" i="16"/>
  <c r="B82" i="16"/>
  <c r="A1" i="22"/>
  <c r="B70" i="16"/>
  <c r="B69" i="16"/>
  <c r="B57" i="16"/>
  <c r="B56" i="16"/>
  <c r="A11" i="23"/>
  <c r="A10" i="23"/>
  <c r="A9" i="23"/>
  <c r="A8" i="23"/>
  <c r="A7" i="23"/>
  <c r="A6" i="23"/>
  <c r="A84" i="22"/>
  <c r="A85" i="22"/>
  <c r="B58" i="22"/>
  <c r="B57" i="22"/>
  <c r="A66" i="22" s="1"/>
  <c r="C251" i="18" l="1"/>
  <c r="B66" i="22"/>
  <c r="A75" i="22" s="1"/>
  <c r="A67" i="22"/>
  <c r="B67" i="22"/>
  <c r="A76" i="22" s="1"/>
  <c r="A63" i="22"/>
  <c r="A58" i="22"/>
  <c r="A59" i="22"/>
  <c r="A60" i="22"/>
  <c r="A61" i="22"/>
  <c r="A62" i="22"/>
  <c r="A11" i="22"/>
  <c r="A12" i="22"/>
  <c r="A13" i="22"/>
  <c r="A14" i="22"/>
  <c r="A15" i="22"/>
  <c r="A16" i="22"/>
  <c r="A2" i="22"/>
  <c r="B20" i="22"/>
  <c r="B19" i="22"/>
  <c r="A20" i="22"/>
  <c r="B11" i="22"/>
  <c r="B10" i="22"/>
  <c r="B75" i="22" l="1"/>
  <c r="B76" i="22"/>
  <c r="I398" i="15" l="1"/>
  <c r="I397" i="15"/>
  <c r="I396" i="15"/>
  <c r="I395" i="15"/>
  <c r="I394" i="15"/>
  <c r="Q60" i="19" l="1"/>
  <c r="P60" i="19"/>
  <c r="O60" i="19"/>
  <c r="N60" i="19"/>
  <c r="M60" i="19"/>
  <c r="L60" i="19"/>
  <c r="K60" i="19"/>
  <c r="J60" i="19"/>
  <c r="I60" i="19"/>
  <c r="H60" i="19"/>
  <c r="G60" i="19"/>
  <c r="G59" i="19"/>
  <c r="E57" i="19"/>
  <c r="E56" i="19"/>
  <c r="E55" i="19"/>
  <c r="Q51" i="19"/>
  <c r="P51" i="19"/>
  <c r="O51" i="19"/>
  <c r="N51" i="19"/>
  <c r="M51" i="19"/>
  <c r="L51" i="19"/>
  <c r="K51" i="19"/>
  <c r="J51" i="19"/>
  <c r="I51" i="19"/>
  <c r="H51" i="19"/>
  <c r="G51" i="19"/>
  <c r="G52" i="19" s="1"/>
  <c r="G53" i="19" s="1"/>
  <c r="G50" i="19"/>
  <c r="E48" i="19"/>
  <c r="E47" i="19"/>
  <c r="E46" i="19"/>
  <c r="Y44" i="19"/>
  <c r="X44" i="19"/>
  <c r="W44" i="19"/>
  <c r="V44" i="19"/>
  <c r="U44" i="19"/>
  <c r="T44" i="19"/>
  <c r="S44" i="19"/>
  <c r="R44" i="19"/>
  <c r="Q44" i="19"/>
  <c r="P38" i="19"/>
  <c r="O38" i="19"/>
  <c r="E38" i="19"/>
  <c r="D38" i="19"/>
  <c r="Y32" i="19"/>
  <c r="X32" i="19"/>
  <c r="W32" i="19"/>
  <c r="V32" i="19"/>
  <c r="U32" i="19"/>
  <c r="T32" i="19"/>
  <c r="S32" i="19"/>
  <c r="R32" i="19"/>
  <c r="Q32" i="19"/>
  <c r="N32" i="19"/>
  <c r="M32" i="19"/>
  <c r="L32" i="19"/>
  <c r="K32" i="19"/>
  <c r="J32" i="19"/>
  <c r="I32" i="19"/>
  <c r="H32" i="19"/>
  <c r="G32" i="19"/>
  <c r="F32" i="19"/>
  <c r="O28" i="19"/>
  <c r="P27" i="19"/>
  <c r="P28" i="19" s="1"/>
  <c r="O27" i="19"/>
  <c r="P17" i="19"/>
  <c r="O17" i="19"/>
  <c r="M51" i="18"/>
  <c r="L51" i="18"/>
  <c r="K51" i="18"/>
  <c r="J51" i="18"/>
  <c r="I51" i="18"/>
  <c r="H51" i="18"/>
  <c r="G51" i="18"/>
  <c r="F51" i="18"/>
  <c r="E51" i="18"/>
  <c r="D51" i="18"/>
  <c r="C51" i="18"/>
  <c r="C50" i="18"/>
  <c r="A48" i="18"/>
  <c r="A47" i="18"/>
  <c r="A46" i="18"/>
  <c r="Y44" i="18"/>
  <c r="X44" i="18"/>
  <c r="W44" i="18"/>
  <c r="V44" i="18"/>
  <c r="U44" i="18"/>
  <c r="T44" i="18"/>
  <c r="S44" i="18"/>
  <c r="R44" i="18"/>
  <c r="Q44" i="18"/>
  <c r="P38" i="18"/>
  <c r="O38" i="18"/>
  <c r="E38" i="18"/>
  <c r="D38" i="18"/>
  <c r="Y32" i="18"/>
  <c r="X32" i="18"/>
  <c r="W32" i="18"/>
  <c r="V32" i="18"/>
  <c r="U32" i="18"/>
  <c r="T32" i="18"/>
  <c r="S32" i="18"/>
  <c r="R32" i="18"/>
  <c r="Q32" i="18"/>
  <c r="N32" i="18"/>
  <c r="M32" i="18"/>
  <c r="L32" i="18"/>
  <c r="K32" i="18"/>
  <c r="J32" i="18"/>
  <c r="I32" i="18"/>
  <c r="H32" i="18"/>
  <c r="G32" i="18"/>
  <c r="F32" i="18"/>
  <c r="P27" i="18"/>
  <c r="P28" i="18" s="1"/>
  <c r="O27" i="18"/>
  <c r="O28" i="18" s="1"/>
  <c r="P17" i="18"/>
  <c r="O17" i="18"/>
  <c r="C50" i="17"/>
  <c r="M51" i="17"/>
  <c r="L51" i="17"/>
  <c r="K51" i="17"/>
  <c r="J51" i="17"/>
  <c r="I51" i="17"/>
  <c r="H51" i="17"/>
  <c r="G51" i="17"/>
  <c r="F51" i="17"/>
  <c r="E51" i="17"/>
  <c r="D51" i="17"/>
  <c r="C51" i="17"/>
  <c r="A48" i="17"/>
  <c r="A47" i="17"/>
  <c r="A46" i="17"/>
  <c r="C50" i="16"/>
  <c r="C51" i="16"/>
  <c r="C52" i="16" s="1"/>
  <c r="C53" i="16" s="1"/>
  <c r="M51" i="16"/>
  <c r="L51" i="16"/>
  <c r="K51" i="16"/>
  <c r="J51" i="16"/>
  <c r="I51" i="16"/>
  <c r="H51" i="16"/>
  <c r="G51" i="16"/>
  <c r="F51" i="16"/>
  <c r="E51" i="16"/>
  <c r="D51" i="16"/>
  <c r="A48" i="16"/>
  <c r="A46" i="16"/>
  <c r="A47" i="16"/>
  <c r="F32" i="17"/>
  <c r="Y44" i="17"/>
  <c r="X44" i="17"/>
  <c r="W44" i="17"/>
  <c r="V44" i="17"/>
  <c r="U44" i="17"/>
  <c r="T44" i="17"/>
  <c r="S44" i="17"/>
  <c r="R44" i="17"/>
  <c r="Q44" i="17"/>
  <c r="P38" i="17"/>
  <c r="O38" i="17"/>
  <c r="E38" i="17"/>
  <c r="D38" i="17"/>
  <c r="Y32" i="17"/>
  <c r="X32" i="17"/>
  <c r="W32" i="17"/>
  <c r="V32" i="17"/>
  <c r="U32" i="17"/>
  <c r="T32" i="17"/>
  <c r="S32" i="17"/>
  <c r="R32" i="17"/>
  <c r="Q32" i="17"/>
  <c r="N32" i="17"/>
  <c r="M32" i="17"/>
  <c r="L32" i="17"/>
  <c r="K32" i="17"/>
  <c r="J32" i="17"/>
  <c r="I32" i="17"/>
  <c r="H32" i="17"/>
  <c r="G32" i="17"/>
  <c r="P27" i="17"/>
  <c r="P28" i="17" s="1"/>
  <c r="O27" i="17"/>
  <c r="O28" i="17" s="1"/>
  <c r="P17" i="17"/>
  <c r="O17" i="17"/>
  <c r="O17" i="16"/>
  <c r="P17" i="16"/>
  <c r="Q44" i="16"/>
  <c r="R44" i="16"/>
  <c r="S44" i="16"/>
  <c r="T44" i="16"/>
  <c r="U44" i="16"/>
  <c r="V44" i="16"/>
  <c r="W44" i="16"/>
  <c r="X44" i="16"/>
  <c r="Y44" i="16"/>
  <c r="O38" i="16"/>
  <c r="P38" i="16"/>
  <c r="D38" i="16"/>
  <c r="B486" i="15"/>
  <c r="F32" i="16"/>
  <c r="G32" i="16"/>
  <c r="H32" i="16"/>
  <c r="I32" i="16"/>
  <c r="J32" i="16"/>
  <c r="K32" i="16"/>
  <c r="L32" i="16"/>
  <c r="M32" i="16"/>
  <c r="N32" i="16"/>
  <c r="Q32" i="16"/>
  <c r="R32" i="16"/>
  <c r="S32" i="16"/>
  <c r="T32" i="16"/>
  <c r="U32" i="16"/>
  <c r="V32" i="16"/>
  <c r="W32" i="16"/>
  <c r="X32" i="16"/>
  <c r="Y32" i="16"/>
  <c r="O27" i="16"/>
  <c r="O28" i="16" s="1"/>
  <c r="P27" i="16"/>
  <c r="P28" i="16" s="1"/>
  <c r="C52" i="18" l="1"/>
  <c r="C53" i="18" s="1"/>
  <c r="G61" i="19"/>
  <c r="G62" i="19" s="1"/>
  <c r="C52" i="17"/>
  <c r="C53" i="17" s="1"/>
  <c r="D35" i="19"/>
  <c r="D35" i="16"/>
  <c r="D35" i="17"/>
  <c r="O35" i="16"/>
  <c r="O35" i="18"/>
  <c r="O35" i="19"/>
  <c r="O35" i="17"/>
  <c r="D35" i="18"/>
  <c r="C524" i="15"/>
  <c r="D524" i="15"/>
  <c r="E524" i="15"/>
  <c r="F524" i="15"/>
  <c r="G524" i="15"/>
  <c r="H524" i="15"/>
  <c r="I524" i="15"/>
  <c r="J524" i="15"/>
  <c r="K524" i="15"/>
  <c r="L524" i="15"/>
  <c r="B524" i="15"/>
  <c r="C508" i="15" l="1"/>
  <c r="B508" i="15"/>
  <c r="B507" i="15"/>
  <c r="C492" i="15" s="1"/>
  <c r="A507" i="15"/>
  <c r="A508" i="15"/>
  <c r="C486" i="15"/>
  <c r="D486" i="15"/>
  <c r="E486" i="15"/>
  <c r="F486" i="15"/>
  <c r="G486" i="15"/>
  <c r="H486" i="15"/>
  <c r="I486" i="15"/>
  <c r="J486" i="15"/>
  <c r="K486" i="15"/>
  <c r="K495" i="15" s="1"/>
  <c r="L486" i="15"/>
  <c r="B483" i="15"/>
  <c r="C493" i="15" l="1"/>
  <c r="K35" i="17"/>
  <c r="K35" i="16"/>
  <c r="K35" i="19"/>
  <c r="K35" i="18"/>
  <c r="V35" i="17"/>
  <c r="V35" i="16"/>
  <c r="V35" i="19"/>
  <c r="V35" i="18"/>
  <c r="G35" i="17"/>
  <c r="G35" i="16"/>
  <c r="G35" i="19"/>
  <c r="G35" i="18"/>
  <c r="R35" i="17"/>
  <c r="R35" i="16"/>
  <c r="R35" i="19"/>
  <c r="R35" i="18"/>
  <c r="I495" i="15"/>
  <c r="E495" i="15"/>
  <c r="Y35" i="16"/>
  <c r="N35" i="17"/>
  <c r="Y35" i="18"/>
  <c r="N35" i="16"/>
  <c r="N35" i="19"/>
  <c r="N35" i="18"/>
  <c r="Y35" i="17"/>
  <c r="Y35" i="19"/>
  <c r="U35" i="16"/>
  <c r="J35" i="17"/>
  <c r="U35" i="19"/>
  <c r="J35" i="19"/>
  <c r="J35" i="18"/>
  <c r="U35" i="17"/>
  <c r="U35" i="18"/>
  <c r="J35" i="16"/>
  <c r="Q35" i="16"/>
  <c r="F35" i="17"/>
  <c r="F35" i="16"/>
  <c r="F35" i="19"/>
  <c r="F35" i="18"/>
  <c r="Q35" i="17"/>
  <c r="Q35" i="19"/>
  <c r="Q35" i="18"/>
  <c r="L495" i="15"/>
  <c r="H495" i="15"/>
  <c r="D495" i="15"/>
  <c r="B523" i="15"/>
  <c r="B525" i="15" s="1"/>
  <c r="B526" i="15" s="1"/>
  <c r="B488" i="15"/>
  <c r="T35" i="19"/>
  <c r="T35" i="18"/>
  <c r="T35" i="16"/>
  <c r="I35" i="17"/>
  <c r="I35" i="16"/>
  <c r="I35" i="19"/>
  <c r="I35" i="18"/>
  <c r="T35" i="17"/>
  <c r="P35" i="19"/>
  <c r="P35" i="18"/>
  <c r="E35" i="19"/>
  <c r="E35" i="18"/>
  <c r="P35" i="17"/>
  <c r="E35" i="17"/>
  <c r="E35" i="16"/>
  <c r="P35" i="16"/>
  <c r="G495" i="15"/>
  <c r="C495" i="15"/>
  <c r="X35" i="19"/>
  <c r="X35" i="18"/>
  <c r="M35" i="19"/>
  <c r="M35" i="18"/>
  <c r="X35" i="17"/>
  <c r="M35" i="17"/>
  <c r="M35" i="16"/>
  <c r="X35" i="16"/>
  <c r="L35" i="19"/>
  <c r="L35" i="18"/>
  <c r="W35" i="17"/>
  <c r="W35" i="19"/>
  <c r="W35" i="18"/>
  <c r="L35" i="16"/>
  <c r="W35" i="16"/>
  <c r="L35" i="17"/>
  <c r="H35" i="19"/>
  <c r="H35" i="18"/>
  <c r="S35" i="17"/>
  <c r="S35" i="19"/>
  <c r="S35" i="18"/>
  <c r="H35" i="16"/>
  <c r="H35" i="17"/>
  <c r="S35" i="16"/>
  <c r="J495" i="15"/>
  <c r="F495" i="15"/>
  <c r="C473" i="15"/>
  <c r="C489" i="15" s="1"/>
  <c r="C490" i="15" s="1"/>
  <c r="B473" i="15"/>
  <c r="D464" i="15" l="1"/>
  <c r="E398" i="15" l="1"/>
  <c r="F398" i="15"/>
  <c r="G398" i="15"/>
  <c r="H398" i="15"/>
  <c r="D398" i="15"/>
  <c r="B60" i="16" l="1"/>
  <c r="B73" i="16"/>
  <c r="K396" i="15"/>
  <c r="B72" i="16"/>
  <c r="B59" i="16"/>
  <c r="K395" i="15"/>
  <c r="B79" i="16"/>
  <c r="B65" i="16"/>
  <c r="B64" i="16"/>
  <c r="B76" i="16"/>
  <c r="B75" i="16"/>
  <c r="B66" i="16"/>
  <c r="B77" i="16"/>
  <c r="B63" i="16"/>
  <c r="B62" i="16"/>
  <c r="B78" i="16"/>
  <c r="K398" i="15"/>
  <c r="Q5" i="16"/>
  <c r="C71" i="16" s="1"/>
  <c r="C175" i="16" s="1"/>
  <c r="B71" i="16"/>
  <c r="F5" i="16"/>
  <c r="C58" i="16" s="1"/>
  <c r="K394" i="15"/>
  <c r="I5" i="16"/>
  <c r="C61" i="16" s="1"/>
  <c r="B74" i="16"/>
  <c r="B61" i="16"/>
  <c r="K397" i="15"/>
  <c r="H408" i="15"/>
  <c r="H5" i="19"/>
  <c r="H5" i="18"/>
  <c r="C60" i="18" s="1"/>
  <c r="S5" i="16"/>
  <c r="C73" i="16" s="1"/>
  <c r="H5" i="17"/>
  <c r="C60" i="17" s="1"/>
  <c r="H5" i="16"/>
  <c r="C60" i="16" s="1"/>
  <c r="G408" i="15"/>
  <c r="G5" i="18"/>
  <c r="C59" i="18" s="1"/>
  <c r="G5" i="16"/>
  <c r="C59" i="16" s="1"/>
  <c r="G5" i="19"/>
  <c r="C59" i="19" s="1"/>
  <c r="R5" i="16"/>
  <c r="C72" i="16" s="1"/>
  <c r="G5" i="17"/>
  <c r="C59" i="17" s="1"/>
  <c r="J408" i="15"/>
  <c r="N5" i="17"/>
  <c r="Y5" i="17" s="1"/>
  <c r="M5" i="19"/>
  <c r="X5" i="19" s="1"/>
  <c r="K5" i="18"/>
  <c r="J5" i="18"/>
  <c r="C62" i="18" s="1"/>
  <c r="K5" i="17"/>
  <c r="J5" i="17"/>
  <c r="C62" i="17" s="1"/>
  <c r="N5" i="19"/>
  <c r="Y5" i="19" s="1"/>
  <c r="L5" i="18"/>
  <c r="W5" i="18" s="1"/>
  <c r="X5" i="16"/>
  <c r="L5" i="16"/>
  <c r="M5" i="17"/>
  <c r="X5" i="17" s="1"/>
  <c r="N5" i="18"/>
  <c r="Y5" i="18" s="1"/>
  <c r="V5" i="16"/>
  <c r="W5" i="16"/>
  <c r="J5" i="16"/>
  <c r="C62" i="16" s="1"/>
  <c r="L5" i="17"/>
  <c r="W5" i="17" s="1"/>
  <c r="K5" i="19"/>
  <c r="J5" i="19"/>
  <c r="M5" i="18"/>
  <c r="X5" i="18" s="1"/>
  <c r="Y5" i="16"/>
  <c r="M5" i="16"/>
  <c r="L5" i="19"/>
  <c r="W5" i="19" s="1"/>
  <c r="U5" i="16"/>
  <c r="C75" i="16" s="1"/>
  <c r="N5" i="16"/>
  <c r="K5" i="16"/>
  <c r="F408" i="15"/>
  <c r="F5" i="17"/>
  <c r="C58" i="17" s="1"/>
  <c r="F5" i="19"/>
  <c r="F5" i="18"/>
  <c r="I408" i="15"/>
  <c r="I5" i="17"/>
  <c r="C61" i="17" s="1"/>
  <c r="I5" i="19"/>
  <c r="I5" i="18"/>
  <c r="C61" i="18" s="1"/>
  <c r="T5" i="16"/>
  <c r="C74" i="16" s="1"/>
  <c r="C166" i="17" l="1"/>
  <c r="C218" i="17"/>
  <c r="A218" i="17"/>
  <c r="C192" i="17"/>
  <c r="A192" i="17"/>
  <c r="A166" i="17"/>
  <c r="A165" i="18"/>
  <c r="C165" i="18"/>
  <c r="A191" i="18"/>
  <c r="C217" i="18"/>
  <c r="A217" i="18"/>
  <c r="C191" i="18"/>
  <c r="C58" i="18"/>
  <c r="F13" i="18"/>
  <c r="V5" i="19"/>
  <c r="C66" i="19"/>
  <c r="C65" i="19"/>
  <c r="C64" i="19"/>
  <c r="C63" i="19"/>
  <c r="C63" i="17"/>
  <c r="C66" i="17"/>
  <c r="C65" i="17"/>
  <c r="C64" i="17"/>
  <c r="A215" i="19"/>
  <c r="A189" i="19"/>
  <c r="C215" i="19"/>
  <c r="C163" i="19"/>
  <c r="C189" i="19"/>
  <c r="A163" i="19"/>
  <c r="S5" i="19"/>
  <c r="C73" i="19" s="1"/>
  <c r="C60" i="19"/>
  <c r="T5" i="19"/>
  <c r="C74" i="19" s="1"/>
  <c r="C61" i="19"/>
  <c r="U5" i="19"/>
  <c r="C75" i="19" s="1"/>
  <c r="C62" i="19"/>
  <c r="A216" i="18"/>
  <c r="A164" i="18"/>
  <c r="C164" i="18"/>
  <c r="C242" i="18" s="1"/>
  <c r="C216" i="18"/>
  <c r="C190" i="18"/>
  <c r="A190" i="18"/>
  <c r="Q5" i="19"/>
  <c r="C58" i="19"/>
  <c r="F16" i="19"/>
  <c r="F13" i="19"/>
  <c r="A192" i="18"/>
  <c r="C166" i="18"/>
  <c r="A166" i="18"/>
  <c r="C192" i="18"/>
  <c r="A218" i="18"/>
  <c r="C218" i="18"/>
  <c r="C216" i="17"/>
  <c r="A164" i="17"/>
  <c r="A190" i="17"/>
  <c r="C190" i="17"/>
  <c r="C164" i="17"/>
  <c r="A216" i="17"/>
  <c r="A217" i="17"/>
  <c r="C217" i="17"/>
  <c r="A165" i="17"/>
  <c r="A191" i="17"/>
  <c r="C165" i="17"/>
  <c r="C191" i="17"/>
  <c r="A214" i="17"/>
  <c r="A188" i="17"/>
  <c r="A162" i="17"/>
  <c r="C162" i="17"/>
  <c r="C188" i="17"/>
  <c r="C214" i="17"/>
  <c r="C66" i="18"/>
  <c r="C65" i="18"/>
  <c r="C64" i="18"/>
  <c r="C63" i="18"/>
  <c r="A189" i="17"/>
  <c r="A163" i="17"/>
  <c r="A215" i="17"/>
  <c r="C163" i="17"/>
  <c r="C215" i="17"/>
  <c r="C189" i="17"/>
  <c r="C163" i="18"/>
  <c r="A163" i="18"/>
  <c r="A215" i="18"/>
  <c r="C215" i="18"/>
  <c r="C189" i="18"/>
  <c r="A189" i="18"/>
  <c r="S5" i="18"/>
  <c r="C73" i="18" s="1"/>
  <c r="U5" i="18"/>
  <c r="C75" i="18" s="1"/>
  <c r="T5" i="18"/>
  <c r="C74" i="18" s="1"/>
  <c r="Q5" i="18"/>
  <c r="U5" i="17"/>
  <c r="C75" i="17" s="1"/>
  <c r="V5" i="17"/>
  <c r="S5" i="17"/>
  <c r="C73" i="17" s="1"/>
  <c r="T5" i="17"/>
  <c r="C74" i="17" s="1"/>
  <c r="Q5" i="17"/>
  <c r="C71" i="17" s="1"/>
  <c r="R5" i="17"/>
  <c r="C72" i="17" s="1"/>
  <c r="E6" i="22"/>
  <c r="A1" i="15"/>
  <c r="E3" i="22"/>
  <c r="E4" i="22"/>
  <c r="E7" i="22"/>
  <c r="E5" i="22"/>
  <c r="C63" i="16"/>
  <c r="C65" i="16"/>
  <c r="C64" i="16"/>
  <c r="C66" i="16"/>
  <c r="C77" i="16"/>
  <c r="C79" i="16"/>
  <c r="C78" i="16"/>
  <c r="C76" i="16"/>
  <c r="V5" i="18"/>
  <c r="R5" i="18"/>
  <c r="C72" i="18" s="1"/>
  <c r="R5" i="19"/>
  <c r="C72" i="19" s="1"/>
  <c r="C339" i="15"/>
  <c r="C166" i="19" l="1"/>
  <c r="C218" i="19"/>
  <c r="C192" i="19"/>
  <c r="A166" i="19"/>
  <c r="A218" i="19"/>
  <c r="A192" i="19"/>
  <c r="C164" i="19"/>
  <c r="A216" i="19"/>
  <c r="A190" i="19"/>
  <c r="C216" i="19"/>
  <c r="C190" i="19"/>
  <c r="A164" i="19"/>
  <c r="C202" i="19"/>
  <c r="A202" i="19"/>
  <c r="A176" i="19"/>
  <c r="A228" i="19"/>
  <c r="C228" i="19"/>
  <c r="C176" i="19"/>
  <c r="C254" i="19" s="1"/>
  <c r="A205" i="19"/>
  <c r="A231" i="19"/>
  <c r="C231" i="19"/>
  <c r="C179" i="19"/>
  <c r="C205" i="19"/>
  <c r="A179" i="19"/>
  <c r="C177" i="19"/>
  <c r="C229" i="19"/>
  <c r="C203" i="19"/>
  <c r="A203" i="19"/>
  <c r="A229" i="19"/>
  <c r="A177" i="19"/>
  <c r="A176" i="18"/>
  <c r="C176" i="18"/>
  <c r="A228" i="18"/>
  <c r="A202" i="18"/>
  <c r="C228" i="18"/>
  <c r="C202" i="18"/>
  <c r="A228" i="17"/>
  <c r="A176" i="17"/>
  <c r="C228" i="17"/>
  <c r="C202" i="17"/>
  <c r="C176" i="17"/>
  <c r="C254" i="17" s="1"/>
  <c r="A202" i="17"/>
  <c r="C77" i="17"/>
  <c r="C76" i="17"/>
  <c r="C79" i="17"/>
  <c r="C78" i="17"/>
  <c r="A205" i="18"/>
  <c r="A179" i="18"/>
  <c r="C179" i="18"/>
  <c r="A231" i="18"/>
  <c r="C231" i="18"/>
  <c r="C205" i="18"/>
  <c r="A169" i="18"/>
  <c r="A195" i="18"/>
  <c r="C169" i="18"/>
  <c r="C221" i="18"/>
  <c r="C195" i="18"/>
  <c r="A221" i="18"/>
  <c r="C240" i="17"/>
  <c r="C242" i="17"/>
  <c r="C244" i="18"/>
  <c r="C214" i="19"/>
  <c r="C188" i="19"/>
  <c r="A214" i="19"/>
  <c r="A188" i="19"/>
  <c r="A162" i="19"/>
  <c r="C162" i="19"/>
  <c r="C240" i="19" s="1"/>
  <c r="A217" i="19"/>
  <c r="A191" i="19"/>
  <c r="C165" i="19"/>
  <c r="C217" i="19"/>
  <c r="A165" i="19"/>
  <c r="C191" i="19"/>
  <c r="C241" i="19"/>
  <c r="C220" i="17"/>
  <c r="C194" i="17"/>
  <c r="A194" i="17"/>
  <c r="C168" i="17"/>
  <c r="C246" i="17" s="1"/>
  <c r="A168" i="17"/>
  <c r="A220" i="17"/>
  <c r="A219" i="19"/>
  <c r="C219" i="19"/>
  <c r="C193" i="19"/>
  <c r="C167" i="19"/>
  <c r="C245" i="19" s="1"/>
  <c r="A193" i="19"/>
  <c r="A167" i="19"/>
  <c r="C76" i="19"/>
  <c r="C79" i="19"/>
  <c r="C78" i="19"/>
  <c r="C77" i="19"/>
  <c r="C243" i="18"/>
  <c r="A204" i="17"/>
  <c r="C204" i="17"/>
  <c r="C178" i="17"/>
  <c r="C256" i="17" s="1"/>
  <c r="C230" i="17"/>
  <c r="A230" i="17"/>
  <c r="A178" i="17"/>
  <c r="Q13" i="18"/>
  <c r="C71" i="18"/>
  <c r="C167" i="18"/>
  <c r="A219" i="18"/>
  <c r="A167" i="18"/>
  <c r="C193" i="18"/>
  <c r="C219" i="18"/>
  <c r="A193" i="18"/>
  <c r="A203" i="17"/>
  <c r="A229" i="17"/>
  <c r="C177" i="17"/>
  <c r="C203" i="17"/>
  <c r="A177" i="17"/>
  <c r="C229" i="17"/>
  <c r="A178" i="18"/>
  <c r="C178" i="18"/>
  <c r="C256" i="18" s="1"/>
  <c r="C230" i="18"/>
  <c r="C204" i="18"/>
  <c r="A230" i="18"/>
  <c r="A204" i="18"/>
  <c r="A220" i="18"/>
  <c r="A168" i="18"/>
  <c r="C168" i="18"/>
  <c r="C220" i="18"/>
  <c r="C194" i="18"/>
  <c r="A194" i="18"/>
  <c r="C243" i="17"/>
  <c r="A193" i="17"/>
  <c r="C167" i="17"/>
  <c r="A219" i="17"/>
  <c r="C193" i="17"/>
  <c r="C219" i="17"/>
  <c r="A167" i="17"/>
  <c r="C222" i="19"/>
  <c r="C196" i="19"/>
  <c r="A222" i="19"/>
  <c r="A196" i="19"/>
  <c r="A170" i="19"/>
  <c r="C170" i="19"/>
  <c r="C76" i="18"/>
  <c r="C79" i="18"/>
  <c r="C78" i="18"/>
  <c r="C77" i="18"/>
  <c r="A227" i="17"/>
  <c r="C175" i="17"/>
  <c r="C227" i="17"/>
  <c r="A201" i="17"/>
  <c r="C201" i="17"/>
  <c r="A175" i="17"/>
  <c r="A231" i="17"/>
  <c r="A179" i="17"/>
  <c r="C231" i="17"/>
  <c r="C205" i="17"/>
  <c r="A205" i="17"/>
  <c r="C179" i="17"/>
  <c r="A229" i="18"/>
  <c r="C177" i="18"/>
  <c r="C255" i="18" s="1"/>
  <c r="A203" i="18"/>
  <c r="A177" i="18"/>
  <c r="C203" i="18"/>
  <c r="C229" i="18"/>
  <c r="C241" i="18"/>
  <c r="C241" i="17"/>
  <c r="A196" i="18"/>
  <c r="C170" i="18"/>
  <c r="A170" i="18"/>
  <c r="A222" i="18"/>
  <c r="C222" i="18"/>
  <c r="C196" i="18"/>
  <c r="Q16" i="19"/>
  <c r="C71" i="19"/>
  <c r="A230" i="19"/>
  <c r="C230" i="19"/>
  <c r="C204" i="19"/>
  <c r="A204" i="19"/>
  <c r="A178" i="19"/>
  <c r="C178" i="19"/>
  <c r="A221" i="17"/>
  <c r="A195" i="17"/>
  <c r="C221" i="17"/>
  <c r="A169" i="17"/>
  <c r="C195" i="17"/>
  <c r="C169" i="17"/>
  <c r="C247" i="17" s="1"/>
  <c r="A220" i="19"/>
  <c r="A194" i="19"/>
  <c r="C220" i="19"/>
  <c r="A168" i="19"/>
  <c r="C194" i="19"/>
  <c r="C168" i="19"/>
  <c r="C244" i="17"/>
  <c r="C196" i="17"/>
  <c r="A196" i="17"/>
  <c r="C170" i="17"/>
  <c r="C248" i="17" s="1"/>
  <c r="A222" i="17"/>
  <c r="C222" i="17"/>
  <c r="A170" i="17"/>
  <c r="A169" i="19"/>
  <c r="A221" i="19"/>
  <c r="A195" i="19"/>
  <c r="C221" i="19"/>
  <c r="C195" i="19"/>
  <c r="C169" i="19"/>
  <c r="A188" i="18"/>
  <c r="C162" i="18"/>
  <c r="A162" i="18"/>
  <c r="C214" i="18"/>
  <c r="C188" i="18"/>
  <c r="A214" i="18"/>
  <c r="C237" i="15"/>
  <c r="E320" i="15" s="1"/>
  <c r="A237" i="15"/>
  <c r="A251" i="15"/>
  <c r="A245" i="15"/>
  <c r="A209" i="19" l="1"/>
  <c r="A235" i="19"/>
  <c r="C235" i="19"/>
  <c r="C183" i="19"/>
  <c r="C209" i="19"/>
  <c r="A183" i="19"/>
  <c r="C243" i="19"/>
  <c r="A180" i="18"/>
  <c r="C180" i="18"/>
  <c r="C258" i="18" s="1"/>
  <c r="C206" i="18"/>
  <c r="A232" i="18"/>
  <c r="A206" i="18"/>
  <c r="C232" i="18"/>
  <c r="A232" i="17"/>
  <c r="C180" i="17"/>
  <c r="C258" i="17" s="1"/>
  <c r="C232" i="17"/>
  <c r="A180" i="17"/>
  <c r="C206" i="17"/>
  <c r="A206" i="17"/>
  <c r="A201" i="19"/>
  <c r="A227" i="19"/>
  <c r="C227" i="19"/>
  <c r="A175" i="19"/>
  <c r="C201" i="19"/>
  <c r="C175" i="19"/>
  <c r="C253" i="19" s="1"/>
  <c r="C257" i="17"/>
  <c r="A233" i="18"/>
  <c r="C181" i="18"/>
  <c r="A181" i="18"/>
  <c r="A207" i="18"/>
  <c r="C233" i="18"/>
  <c r="C207" i="18"/>
  <c r="C255" i="17"/>
  <c r="C245" i="18"/>
  <c r="C233" i="19"/>
  <c r="C207" i="19"/>
  <c r="A207" i="19"/>
  <c r="A233" i="19"/>
  <c r="A181" i="19"/>
  <c r="C181" i="19"/>
  <c r="C259" i="19" s="1"/>
  <c r="A207" i="17"/>
  <c r="C207" i="17"/>
  <c r="A181" i="17"/>
  <c r="C181" i="17"/>
  <c r="C259" i="17" s="1"/>
  <c r="A233" i="17"/>
  <c r="C233" i="17"/>
  <c r="C255" i="19"/>
  <c r="A209" i="18"/>
  <c r="A183" i="18"/>
  <c r="C183" i="18"/>
  <c r="A235" i="18"/>
  <c r="C235" i="18"/>
  <c r="C209" i="18"/>
  <c r="C246" i="18"/>
  <c r="C257" i="18"/>
  <c r="A235" i="17"/>
  <c r="C183" i="17"/>
  <c r="A183" i="17"/>
  <c r="C235" i="17"/>
  <c r="C209" i="17"/>
  <c r="A209" i="17"/>
  <c r="C247" i="19"/>
  <c r="C206" i="19"/>
  <c r="A206" i="19"/>
  <c r="A180" i="19"/>
  <c r="A232" i="19"/>
  <c r="C232" i="19"/>
  <c r="C180" i="19"/>
  <c r="C254" i="18"/>
  <c r="C246" i="19"/>
  <c r="C248" i="18"/>
  <c r="C253" i="17"/>
  <c r="C240" i="18"/>
  <c r="C256" i="19"/>
  <c r="A182" i="18"/>
  <c r="C182" i="18"/>
  <c r="C260" i="18" s="1"/>
  <c r="C234" i="18"/>
  <c r="C208" i="18"/>
  <c r="A234" i="18"/>
  <c r="A208" i="18"/>
  <c r="C248" i="19"/>
  <c r="C245" i="17"/>
  <c r="A201" i="18"/>
  <c r="A175" i="18"/>
  <c r="A227" i="18"/>
  <c r="C175" i="18"/>
  <c r="C253" i="18" s="1"/>
  <c r="C227" i="18"/>
  <c r="C201" i="18"/>
  <c r="A234" i="19"/>
  <c r="C234" i="19"/>
  <c r="C208" i="19"/>
  <c r="A208" i="19"/>
  <c r="A182" i="19"/>
  <c r="C182" i="19"/>
  <c r="C260" i="19" s="1"/>
  <c r="C247" i="18"/>
  <c r="A208" i="17"/>
  <c r="A234" i="17"/>
  <c r="C182" i="17"/>
  <c r="C260" i="17" s="1"/>
  <c r="A182" i="17"/>
  <c r="C234" i="17"/>
  <c r="C208" i="17"/>
  <c r="C257" i="19"/>
  <c r="C242" i="19"/>
  <c r="C244" i="19"/>
  <c r="C342" i="15"/>
  <c r="L13" i="18" s="1"/>
  <c r="T13" i="19"/>
  <c r="K13" i="17"/>
  <c r="X13" i="18"/>
  <c r="G13" i="18"/>
  <c r="G13" i="17"/>
  <c r="X13" i="19"/>
  <c r="J13" i="18"/>
  <c r="V13" i="19"/>
  <c r="F13" i="16"/>
  <c r="U13" i="16"/>
  <c r="W13" i="17"/>
  <c r="L13" i="19"/>
  <c r="L13" i="17"/>
  <c r="J13" i="17"/>
  <c r="N13" i="19"/>
  <c r="R13" i="19"/>
  <c r="Y13" i="16"/>
  <c r="V13" i="18"/>
  <c r="Q13" i="19"/>
  <c r="I13" i="19"/>
  <c r="V13" i="16"/>
  <c r="J13" i="16"/>
  <c r="I13" i="17"/>
  <c r="X13" i="17"/>
  <c r="W13" i="18"/>
  <c r="U13" i="19"/>
  <c r="L13" i="16"/>
  <c r="H13" i="16"/>
  <c r="R13" i="16"/>
  <c r="I13" i="18"/>
  <c r="S13" i="19"/>
  <c r="Q13" i="16"/>
  <c r="S13" i="17"/>
  <c r="Y13" i="19"/>
  <c r="R13" i="17"/>
  <c r="T13" i="18"/>
  <c r="U13" i="18"/>
  <c r="K13" i="16"/>
  <c r="T13" i="16"/>
  <c r="G13" i="16"/>
  <c r="K13" i="18"/>
  <c r="Y13" i="17"/>
  <c r="R13" i="18"/>
  <c r="J417" i="15"/>
  <c r="G417" i="15"/>
  <c r="I417" i="15"/>
  <c r="H417" i="15"/>
  <c r="D320" i="15"/>
  <c r="C258" i="19" l="1"/>
  <c r="C259" i="18"/>
  <c r="C261" i="19"/>
  <c r="C261" i="17"/>
  <c r="C261" i="18"/>
  <c r="M13" i="19"/>
  <c r="Q13" i="17"/>
  <c r="H13" i="17"/>
  <c r="X13" i="16"/>
  <c r="S13" i="18"/>
  <c r="W13" i="16"/>
  <c r="U13" i="17"/>
  <c r="N13" i="16"/>
  <c r="V13" i="17"/>
  <c r="W13" i="19"/>
  <c r="S13" i="16"/>
  <c r="Y13" i="18"/>
  <c r="M13" i="18"/>
  <c r="N13" i="18"/>
  <c r="F13" i="17"/>
  <c r="M13" i="16"/>
  <c r="H13" i="19"/>
  <c r="N13" i="17"/>
  <c r="G13" i="19"/>
  <c r="M13" i="17"/>
  <c r="T13" i="17"/>
  <c r="I13" i="16"/>
  <c r="K13" i="19"/>
  <c r="H13" i="18"/>
  <c r="J13" i="19"/>
  <c r="A174" i="16"/>
  <c r="C174" i="16"/>
  <c r="A160" i="16"/>
  <c r="A161" i="16"/>
  <c r="A173" i="16"/>
  <c r="C161" i="16"/>
  <c r="A28" i="22"/>
  <c r="C160" i="16"/>
  <c r="C173" i="16"/>
  <c r="A162" i="16"/>
  <c r="A32" i="22"/>
  <c r="F417" i="15"/>
  <c r="C162" i="16"/>
  <c r="B28" i="22"/>
  <c r="A28" i="15"/>
  <c r="A165" i="16"/>
  <c r="B29" i="22"/>
  <c r="A30" i="22"/>
  <c r="B30" i="22"/>
  <c r="A29" i="22"/>
  <c r="A175" i="16"/>
  <c r="C165" i="16"/>
  <c r="B33" i="22"/>
  <c r="A31" i="22"/>
  <c r="A34" i="22"/>
  <c r="B31" i="22"/>
  <c r="B32" i="22"/>
  <c r="A33" i="22"/>
  <c r="B34" i="22"/>
  <c r="C177" i="16"/>
  <c r="C176" i="16"/>
  <c r="A178" i="16"/>
  <c r="A163" i="16"/>
  <c r="A166" i="16"/>
  <c r="A176" i="16"/>
  <c r="A179" i="16"/>
  <c r="C178" i="16"/>
  <c r="C163" i="16"/>
  <c r="A177" i="16"/>
  <c r="C166" i="16"/>
  <c r="C179" i="16"/>
  <c r="A164" i="16"/>
  <c r="C164" i="16"/>
  <c r="A180" i="16"/>
  <c r="A170" i="16"/>
  <c r="C169" i="16"/>
  <c r="C170" i="16"/>
  <c r="C168" i="16"/>
  <c r="A183" i="16"/>
  <c r="A181" i="16"/>
  <c r="A182" i="16"/>
  <c r="C183" i="16"/>
  <c r="A169" i="16"/>
  <c r="C181" i="16"/>
  <c r="C167" i="16"/>
  <c r="A167" i="16"/>
  <c r="C180" i="16"/>
  <c r="C182" i="16"/>
  <c r="A168" i="16"/>
  <c r="A292" i="15"/>
  <c r="A286" i="15"/>
  <c r="G10" i="15"/>
  <c r="G11" i="15"/>
  <c r="G12" i="15"/>
  <c r="G13" i="15"/>
  <c r="G14" i="15"/>
  <c r="G9" i="15"/>
  <c r="A262" i="15"/>
  <c r="A261" i="15"/>
  <c r="A260" i="15"/>
  <c r="A259" i="15"/>
  <c r="F10" i="15"/>
  <c r="F11" i="15"/>
  <c r="F12" i="15"/>
  <c r="F13" i="15"/>
  <c r="F14" i="15"/>
  <c r="F9" i="15"/>
  <c r="D245" i="15"/>
  <c r="G15" i="15" l="1"/>
  <c r="F15" i="15"/>
  <c r="D251" i="15" s="1"/>
  <c r="C219" i="15"/>
  <c r="A221" i="15"/>
  <c r="B221" i="15" s="1"/>
  <c r="A220" i="15"/>
  <c r="B220" i="15" s="1"/>
  <c r="D220" i="15" s="1"/>
  <c r="C221" i="15"/>
  <c r="C220" i="15"/>
  <c r="A219" i="15"/>
  <c r="B219" i="15" s="1"/>
  <c r="B222" i="15" l="1"/>
  <c r="D221" i="15"/>
  <c r="F221" i="15" s="1"/>
  <c r="F220" i="15"/>
  <c r="E220" i="15"/>
  <c r="D219" i="15"/>
  <c r="E219" i="15" s="1"/>
  <c r="E186" i="15"/>
  <c r="E187" i="15"/>
  <c r="E188" i="15"/>
  <c r="E189" i="15"/>
  <c r="E190" i="15"/>
  <c r="E191" i="15"/>
  <c r="E185" i="15"/>
  <c r="C186" i="15"/>
  <c r="C187" i="15"/>
  <c r="C188" i="15"/>
  <c r="C189" i="15"/>
  <c r="C190" i="15"/>
  <c r="C191" i="15"/>
  <c r="C185" i="15"/>
  <c r="D178" i="15"/>
  <c r="D179" i="15"/>
  <c r="D180" i="15"/>
  <c r="D181" i="15"/>
  <c r="D182" i="15"/>
  <c r="D177" i="15"/>
  <c r="B178" i="15"/>
  <c r="B179" i="15"/>
  <c r="B180" i="15"/>
  <c r="B181" i="15"/>
  <c r="B182" i="15"/>
  <c r="B177" i="15"/>
  <c r="F131" i="15"/>
  <c r="A243" i="15" s="1"/>
  <c r="E221" i="15" l="1"/>
  <c r="G221" i="15" s="1"/>
  <c r="F219" i="15"/>
  <c r="F222" i="15" s="1"/>
  <c r="G220" i="15"/>
  <c r="D243" i="15"/>
  <c r="F244" i="15" s="1"/>
  <c r="C260" i="15" s="1"/>
  <c r="D222" i="15"/>
  <c r="F132" i="15"/>
  <c r="D185" i="15" s="1"/>
  <c r="F38" i="15"/>
  <c r="E181" i="15" s="1"/>
  <c r="C343" i="15" l="1"/>
  <c r="D343" i="15"/>
  <c r="J14" i="19"/>
  <c r="Y14" i="19"/>
  <c r="K14" i="18"/>
  <c r="H14" i="17"/>
  <c r="U14" i="19"/>
  <c r="Q14" i="17"/>
  <c r="X14" i="18"/>
  <c r="S14" i="18"/>
  <c r="I14" i="19"/>
  <c r="V14" i="16"/>
  <c r="G14" i="16"/>
  <c r="Y14" i="17"/>
  <c r="L14" i="19"/>
  <c r="M14" i="16"/>
  <c r="X14" i="19"/>
  <c r="W14" i="18"/>
  <c r="H14" i="19"/>
  <c r="H14" i="18"/>
  <c r="F14" i="17"/>
  <c r="N14" i="19"/>
  <c r="K14" i="17"/>
  <c r="I14" i="17"/>
  <c r="W14" i="19"/>
  <c r="N14" i="17"/>
  <c r="I14" i="16"/>
  <c r="J14" i="17"/>
  <c r="T14" i="18"/>
  <c r="Q14" i="18"/>
  <c r="U14" i="16"/>
  <c r="Q14" i="16"/>
  <c r="G14" i="19"/>
  <c r="Y14" i="16"/>
  <c r="G14" i="18"/>
  <c r="T14" i="19"/>
  <c r="F14" i="16"/>
  <c r="W14" i="16"/>
  <c r="F419" i="15"/>
  <c r="H419" i="15"/>
  <c r="I419" i="15"/>
  <c r="E222" i="15"/>
  <c r="A244" i="15"/>
  <c r="G219" i="15"/>
  <c r="G222" i="15" s="1"/>
  <c r="E177" i="15"/>
  <c r="E178" i="15"/>
  <c r="E182" i="15"/>
  <c r="E179" i="15"/>
  <c r="E180" i="15"/>
  <c r="D96" i="15"/>
  <c r="D100" i="15"/>
  <c r="D97" i="15"/>
  <c r="D99" i="15"/>
  <c r="D98" i="15"/>
  <c r="D95" i="15"/>
  <c r="F36" i="15"/>
  <c r="C35" i="15"/>
  <c r="C200" i="16" l="1"/>
  <c r="A186" i="16"/>
  <c r="A199" i="16"/>
  <c r="C199" i="16"/>
  <c r="A187" i="16"/>
  <c r="A200" i="16"/>
  <c r="C187" i="16"/>
  <c r="A37" i="22"/>
  <c r="C186" i="16"/>
  <c r="A38" i="22"/>
  <c r="B37" i="22"/>
  <c r="B42" i="22"/>
  <c r="C188" i="16"/>
  <c r="B38" i="22"/>
  <c r="A191" i="16"/>
  <c r="A41" i="22"/>
  <c r="A201" i="16"/>
  <c r="A39" i="22"/>
  <c r="A188" i="16"/>
  <c r="C201" i="16"/>
  <c r="B40" i="22"/>
  <c r="B41" i="22"/>
  <c r="B43" i="22"/>
  <c r="A43" i="22"/>
  <c r="A202" i="16"/>
  <c r="A205" i="16"/>
  <c r="C203" i="16"/>
  <c r="C202" i="16"/>
  <c r="A203" i="16"/>
  <c r="C192" i="16"/>
  <c r="C205" i="16"/>
  <c r="A190" i="16"/>
  <c r="C189" i="16"/>
  <c r="C191" i="16"/>
  <c r="A192" i="16"/>
  <c r="A204" i="16"/>
  <c r="C190" i="16"/>
  <c r="A189" i="16"/>
  <c r="C204" i="16"/>
  <c r="A42" i="22"/>
  <c r="B39" i="22"/>
  <c r="A208" i="16"/>
  <c r="C209" i="16"/>
  <c r="A195" i="16"/>
  <c r="A207" i="16"/>
  <c r="C207" i="16"/>
  <c r="C193" i="16"/>
  <c r="C196" i="16"/>
  <c r="C208" i="16"/>
  <c r="A193" i="16"/>
  <c r="A40" i="22"/>
  <c r="A206" i="16"/>
  <c r="A196" i="16"/>
  <c r="C194" i="16"/>
  <c r="A209" i="16"/>
  <c r="C206" i="16"/>
  <c r="A194" i="16"/>
  <c r="C195" i="16"/>
  <c r="G419" i="15"/>
  <c r="S14" i="16"/>
  <c r="Y14" i="18"/>
  <c r="X14" i="16"/>
  <c r="R14" i="17"/>
  <c r="U14" i="18"/>
  <c r="T14" i="17"/>
  <c r="K14" i="16"/>
  <c r="M14" i="17"/>
  <c r="G14" i="17"/>
  <c r="M14" i="19"/>
  <c r="S14" i="17"/>
  <c r="V14" i="19"/>
  <c r="X14" i="17"/>
  <c r="R14" i="19"/>
  <c r="F14" i="18"/>
  <c r="I14" i="18"/>
  <c r="W14" i="17"/>
  <c r="L14" i="18"/>
  <c r="J419" i="15"/>
  <c r="V14" i="18"/>
  <c r="V14" i="17"/>
  <c r="J14" i="16"/>
  <c r="L14" i="16"/>
  <c r="Q14" i="19"/>
  <c r="R14" i="18"/>
  <c r="R14" i="16"/>
  <c r="J14" i="18"/>
  <c r="S14" i="19"/>
  <c r="N14" i="16"/>
  <c r="M14" i="18"/>
  <c r="T14" i="16"/>
  <c r="U14" i="17"/>
  <c r="H14" i="16"/>
  <c r="N14" i="18"/>
  <c r="K14" i="19"/>
  <c r="L14" i="17"/>
  <c r="F14" i="19"/>
  <c r="C224" i="15"/>
  <c r="D242" i="15" s="1"/>
  <c r="C259" i="15" s="1"/>
  <c r="A224" i="15"/>
  <c r="C213" i="15"/>
  <c r="A277" i="15"/>
  <c r="A246" i="15"/>
  <c r="D277" i="15"/>
  <c r="D308" i="15" s="1"/>
  <c r="A213" i="15"/>
  <c r="D247" i="15"/>
  <c r="D246" i="15"/>
  <c r="A247" i="15"/>
  <c r="C36" i="15"/>
  <c r="B183" i="15" s="1"/>
  <c r="D103" i="15"/>
  <c r="G179" i="15" s="1"/>
  <c r="F179" i="15"/>
  <c r="D104" i="15"/>
  <c r="G180" i="15" s="1"/>
  <c r="F180" i="15"/>
  <c r="D106" i="15"/>
  <c r="G182" i="15" s="1"/>
  <c r="F182" i="15"/>
  <c r="D101" i="15"/>
  <c r="G177" i="15" s="1"/>
  <c r="F177" i="15"/>
  <c r="D105" i="15"/>
  <c r="G181" i="15" s="1"/>
  <c r="F181" i="15"/>
  <c r="D102" i="15"/>
  <c r="G178" i="15" s="1"/>
  <c r="F178" i="15"/>
  <c r="C41" i="15"/>
  <c r="C39" i="15"/>
  <c r="B187" i="15" s="1"/>
  <c r="C40" i="15"/>
  <c r="A242" i="15" l="1"/>
  <c r="A225" i="15"/>
  <c r="C231" i="15"/>
  <c r="D364" i="15" s="1"/>
  <c r="D368" i="15" s="1"/>
  <c r="E453" i="15" s="1"/>
  <c r="D225" i="15"/>
  <c r="D92" i="15"/>
  <c r="D94" i="15" s="1"/>
  <c r="C266" i="15"/>
  <c r="D248" i="15"/>
  <c r="C261" i="15" s="1"/>
  <c r="D110" i="15"/>
  <c r="D116" i="15" s="1"/>
  <c r="I180" i="15" s="1"/>
  <c r="D111" i="15"/>
  <c r="H181" i="15" s="1"/>
  <c r="D107" i="15"/>
  <c r="D113" i="15" s="1"/>
  <c r="I177" i="15" s="1"/>
  <c r="D108" i="15"/>
  <c r="H178" i="15" s="1"/>
  <c r="D109" i="15"/>
  <c r="D115" i="15" s="1"/>
  <c r="D136" i="15"/>
  <c r="G188" i="15" s="1"/>
  <c r="B188" i="15"/>
  <c r="G183" i="15"/>
  <c r="D112" i="15"/>
  <c r="D137" i="15"/>
  <c r="G189" i="15" s="1"/>
  <c r="B189" i="15"/>
  <c r="B50" i="15"/>
  <c r="C45" i="15"/>
  <c r="C37" i="15"/>
  <c r="B185" i="15" s="1"/>
  <c r="C42" i="15"/>
  <c r="C38" i="15"/>
  <c r="D135" i="15"/>
  <c r="G187" i="15" s="1"/>
  <c r="A252" i="15" s="1"/>
  <c r="C43" i="15"/>
  <c r="B2" i="23" l="1"/>
  <c r="A2" i="23"/>
  <c r="E455" i="15"/>
  <c r="C484" i="15"/>
  <c r="E30" i="18"/>
  <c r="E30" i="19"/>
  <c r="E30" i="17"/>
  <c r="E30" i="16"/>
  <c r="D443" i="15"/>
  <c r="E440" i="15" s="1"/>
  <c r="A241" i="15"/>
  <c r="C232" i="15"/>
  <c r="D241" i="15"/>
  <c r="C257" i="15" s="1"/>
  <c r="D252" i="15"/>
  <c r="A253" i="15" s="1"/>
  <c r="H180" i="15"/>
  <c r="H177" i="15"/>
  <c r="D117" i="15"/>
  <c r="I181" i="15" s="1"/>
  <c r="D114" i="15"/>
  <c r="D122" i="15"/>
  <c r="J180" i="15" s="1"/>
  <c r="H179" i="15"/>
  <c r="I179" i="15"/>
  <c r="D121" i="15"/>
  <c r="J179" i="15" s="1"/>
  <c r="D143" i="15"/>
  <c r="H188" i="15" s="1"/>
  <c r="D119" i="15"/>
  <c r="C125" i="15" s="1"/>
  <c r="K177" i="15" s="1"/>
  <c r="D134" i="15"/>
  <c r="G186" i="15" s="1"/>
  <c r="B186" i="15"/>
  <c r="D118" i="15"/>
  <c r="H182" i="15"/>
  <c r="B52" i="15"/>
  <c r="E52" i="15" s="1"/>
  <c r="B193" i="15"/>
  <c r="D168" i="15" s="1"/>
  <c r="C128" i="15"/>
  <c r="K180" i="15" s="1"/>
  <c r="D144" i="15"/>
  <c r="D138" i="15"/>
  <c r="G190" i="15" s="1"/>
  <c r="B190" i="15"/>
  <c r="D139" i="15"/>
  <c r="G191" i="15" s="1"/>
  <c r="B191" i="15"/>
  <c r="E50" i="15"/>
  <c r="D50" i="15"/>
  <c r="D133" i="15"/>
  <c r="G185" i="15" s="1"/>
  <c r="C44" i="15"/>
  <c r="D142" i="15"/>
  <c r="H187" i="15" s="1"/>
  <c r="C382" i="19" l="1"/>
  <c r="C369" i="19"/>
  <c r="C369" i="17"/>
  <c r="C382" i="17"/>
  <c r="C382" i="18"/>
  <c r="C369" i="18"/>
  <c r="C369" i="16"/>
  <c r="C382" i="16"/>
  <c r="C487" i="15"/>
  <c r="C488" i="15" s="1"/>
  <c r="C523" i="15"/>
  <c r="C525" i="15" s="1"/>
  <c r="C526" i="15" s="1"/>
  <c r="E41" i="17"/>
  <c r="E42" i="17" s="1"/>
  <c r="P30" i="17"/>
  <c r="E32" i="17"/>
  <c r="B369" i="17" s="1"/>
  <c r="E44" i="17"/>
  <c r="E32" i="19"/>
  <c r="E44" i="19"/>
  <c r="E41" i="19"/>
  <c r="E42" i="19" s="1"/>
  <c r="I59" i="19" s="1"/>
  <c r="I61" i="19" s="1"/>
  <c r="P30" i="19"/>
  <c r="E44" i="18"/>
  <c r="C525" i="18" s="1"/>
  <c r="E41" i="18"/>
  <c r="E42" i="18" s="1"/>
  <c r="P30" i="18"/>
  <c r="E32" i="18"/>
  <c r="B369" i="18" s="1"/>
  <c r="P30" i="16"/>
  <c r="E32" i="16"/>
  <c r="E41" i="16"/>
  <c r="E42" i="16" s="1"/>
  <c r="E44" i="16"/>
  <c r="D253" i="15"/>
  <c r="C263" i="15" s="1"/>
  <c r="D123" i="15"/>
  <c r="J181" i="15" s="1"/>
  <c r="D150" i="15"/>
  <c r="I188" i="15" s="1"/>
  <c r="D145" i="15"/>
  <c r="D152" i="15" s="1"/>
  <c r="I190" i="15" s="1"/>
  <c r="I178" i="15"/>
  <c r="D120" i="15"/>
  <c r="D52" i="15"/>
  <c r="C127" i="15"/>
  <c r="K179" i="15" s="1"/>
  <c r="D146" i="15"/>
  <c r="H191" i="15" s="1"/>
  <c r="D141" i="15"/>
  <c r="D148" i="15" s="1"/>
  <c r="I186" i="15" s="1"/>
  <c r="D149" i="15"/>
  <c r="I187" i="15" s="1"/>
  <c r="J177" i="15"/>
  <c r="H183" i="15"/>
  <c r="I182" i="15"/>
  <c r="D124" i="15"/>
  <c r="G193" i="15"/>
  <c r="D169" i="15"/>
  <c r="H193" i="15" s="1"/>
  <c r="B51" i="15"/>
  <c r="B192" i="15"/>
  <c r="B194" i="15" s="1"/>
  <c r="H189" i="15"/>
  <c r="D151" i="15"/>
  <c r="C129" i="15"/>
  <c r="K181" i="15" s="1"/>
  <c r="D140" i="15"/>
  <c r="H185" i="15" s="1"/>
  <c r="E33" i="19" l="1"/>
  <c r="B369" i="19"/>
  <c r="C395" i="17"/>
  <c r="B395" i="17"/>
  <c r="P44" i="19"/>
  <c r="C525" i="19"/>
  <c r="C408" i="17"/>
  <c r="B408" i="17"/>
  <c r="P44" i="16"/>
  <c r="C525" i="16"/>
  <c r="P44" i="17"/>
  <c r="C525" i="17"/>
  <c r="C395" i="18"/>
  <c r="B395" i="18"/>
  <c r="C395" i="19"/>
  <c r="B395" i="19"/>
  <c r="C408" i="18"/>
  <c r="B408" i="18"/>
  <c r="B408" i="19"/>
  <c r="C408" i="19"/>
  <c r="P44" i="18"/>
  <c r="E33" i="18"/>
  <c r="E33" i="17"/>
  <c r="E50" i="17" s="1"/>
  <c r="E52" i="17" s="1"/>
  <c r="E33" i="16"/>
  <c r="E36" i="16" s="1"/>
  <c r="B369" i="16"/>
  <c r="C408" i="16"/>
  <c r="B408" i="16"/>
  <c r="C395" i="16"/>
  <c r="B395" i="16"/>
  <c r="P32" i="18"/>
  <c r="P33" i="18" s="1"/>
  <c r="P36" i="18" s="1"/>
  <c r="P41" i="18"/>
  <c r="P42" i="18" s="1"/>
  <c r="E36" i="17"/>
  <c r="P32" i="19"/>
  <c r="P33" i="19" s="1"/>
  <c r="P36" i="19" s="1"/>
  <c r="P41" i="19"/>
  <c r="P42" i="19" s="1"/>
  <c r="E50" i="16"/>
  <c r="E52" i="16" s="1"/>
  <c r="P32" i="17"/>
  <c r="P33" i="17" s="1"/>
  <c r="P36" i="17" s="1"/>
  <c r="P41" i="17"/>
  <c r="P42" i="17" s="1"/>
  <c r="E50" i="18"/>
  <c r="E52" i="18" s="1"/>
  <c r="E36" i="18"/>
  <c r="P41" i="16"/>
  <c r="P42" i="16" s="1"/>
  <c r="P32" i="16"/>
  <c r="P33" i="16" s="1"/>
  <c r="P36" i="16" s="1"/>
  <c r="I50" i="19"/>
  <c r="I52" i="19" s="1"/>
  <c r="E36" i="19"/>
  <c r="D157" i="15"/>
  <c r="D164" i="15" s="1"/>
  <c r="K188" i="15" s="1"/>
  <c r="H190" i="15"/>
  <c r="D153" i="15"/>
  <c r="I191" i="15" s="1"/>
  <c r="B53" i="15"/>
  <c r="A288" i="15" s="1"/>
  <c r="E51" i="15"/>
  <c r="E53" i="15" s="1"/>
  <c r="C214" i="15" s="1"/>
  <c r="C215" i="15" s="1"/>
  <c r="D283" i="15" s="1"/>
  <c r="D51" i="15"/>
  <c r="D53" i="15" s="1"/>
  <c r="C126" i="15"/>
  <c r="K178" i="15" s="1"/>
  <c r="J178" i="15"/>
  <c r="H186" i="15"/>
  <c r="D156" i="15"/>
  <c r="J187" i="15" s="1"/>
  <c r="D160" i="15"/>
  <c r="D167" i="15" s="1"/>
  <c r="K191" i="15" s="1"/>
  <c r="D159" i="15"/>
  <c r="D166" i="15" s="1"/>
  <c r="K190" i="15" s="1"/>
  <c r="J188" i="15"/>
  <c r="I183" i="15"/>
  <c r="D155" i="15"/>
  <c r="J186" i="15" s="1"/>
  <c r="D170" i="15"/>
  <c r="D171" i="15" s="1"/>
  <c r="J193" i="15" s="1"/>
  <c r="I189" i="15"/>
  <c r="D158" i="15"/>
  <c r="D147" i="15"/>
  <c r="I185" i="15" s="1"/>
  <c r="C130" i="15"/>
  <c r="K182" i="15" s="1"/>
  <c r="K183" i="15" s="1"/>
  <c r="J182" i="15"/>
  <c r="D238" i="15" l="1"/>
  <c r="D323" i="15" s="1"/>
  <c r="A238" i="15"/>
  <c r="A313" i="15"/>
  <c r="D321" i="15"/>
  <c r="D239" i="15"/>
  <c r="E321" i="15" s="1"/>
  <c r="A239" i="15"/>
  <c r="A295" i="15"/>
  <c r="A315" i="15"/>
  <c r="D313" i="15"/>
  <c r="C348" i="15" s="1"/>
  <c r="D315" i="15"/>
  <c r="C50" i="15"/>
  <c r="D293" i="15"/>
  <c r="D304" i="15" s="1"/>
  <c r="D294" i="15"/>
  <c r="D305" i="15" s="1"/>
  <c r="A293" i="15"/>
  <c r="A294" i="15"/>
  <c r="D288" i="15"/>
  <c r="D295" i="15"/>
  <c r="D306" i="15" s="1"/>
  <c r="A285" i="15"/>
  <c r="A284" i="15"/>
  <c r="D285" i="15"/>
  <c r="D284" i="15"/>
  <c r="A283" i="15"/>
  <c r="C51" i="15"/>
  <c r="A250" i="15"/>
  <c r="D250" i="15"/>
  <c r="C264" i="15" s="1"/>
  <c r="J183" i="15"/>
  <c r="D322" i="15" s="1"/>
  <c r="B199" i="15"/>
  <c r="A204" i="15"/>
  <c r="A214" i="15"/>
  <c r="J191" i="15"/>
  <c r="C52" i="15"/>
  <c r="C53" i="15" s="1"/>
  <c r="D91" i="15"/>
  <c r="D93" i="15" s="1"/>
  <c r="J190" i="15"/>
  <c r="D163" i="15"/>
  <c r="K187" i="15" s="1"/>
  <c r="D154" i="15"/>
  <c r="J185" i="15" s="1"/>
  <c r="D162" i="15"/>
  <c r="K186" i="15" s="1"/>
  <c r="D172" i="15"/>
  <c r="K193" i="15" s="1"/>
  <c r="I193" i="15"/>
  <c r="D165" i="15"/>
  <c r="K189" i="15" s="1"/>
  <c r="D249" i="15" s="1"/>
  <c r="C262" i="15" s="1"/>
  <c r="J189" i="15"/>
  <c r="G192" i="15"/>
  <c r="G194" i="15" s="1"/>
  <c r="G427" i="15" l="1"/>
  <c r="H427" i="15"/>
  <c r="F427" i="15"/>
  <c r="I427" i="15"/>
  <c r="J427" i="15"/>
  <c r="D286" i="15"/>
  <c r="A287" i="15" s="1"/>
  <c r="D327" i="15"/>
  <c r="D314" i="15"/>
  <c r="E327" i="15" s="1"/>
  <c r="A314" i="15"/>
  <c r="C265" i="15"/>
  <c r="A278" i="15" s="1"/>
  <c r="A240" i="15"/>
  <c r="D240" i="15"/>
  <c r="E322" i="15" s="1"/>
  <c r="D328" i="15"/>
  <c r="D316" i="15"/>
  <c r="E328" i="15" s="1"/>
  <c r="A316" i="15"/>
  <c r="A249" i="15"/>
  <c r="D287" i="15"/>
  <c r="B201" i="15"/>
  <c r="A206" i="15"/>
  <c r="A216" i="15"/>
  <c r="A215" i="15"/>
  <c r="C199" i="15"/>
  <c r="D208" i="15" s="1"/>
  <c r="A208" i="15"/>
  <c r="D204" i="15"/>
  <c r="D161" i="15"/>
  <c r="K185" i="15" s="1"/>
  <c r="K192" i="15" s="1"/>
  <c r="H192" i="15"/>
  <c r="H194" i="15" s="1"/>
  <c r="H21" i="19" l="1"/>
  <c r="S21" i="19" s="1"/>
  <c r="H21" i="17"/>
  <c r="S21" i="17" s="1"/>
  <c r="H21" i="18"/>
  <c r="S21" i="18" s="1"/>
  <c r="H21" i="16"/>
  <c r="S21" i="16" s="1"/>
  <c r="I21" i="18"/>
  <c r="T21" i="18" s="1"/>
  <c r="I21" i="19"/>
  <c r="T21" i="19" s="1"/>
  <c r="I21" i="17"/>
  <c r="T21" i="17" s="1"/>
  <c r="I21" i="16"/>
  <c r="T21" i="16" s="1"/>
  <c r="F21" i="19"/>
  <c r="Q21" i="19" s="1"/>
  <c r="F21" i="18"/>
  <c r="Q21" i="18" s="1"/>
  <c r="F21" i="16"/>
  <c r="Q21" i="16" s="1"/>
  <c r="F21" i="17"/>
  <c r="Q21" i="17" s="1"/>
  <c r="K21" i="19"/>
  <c r="V21" i="19" s="1"/>
  <c r="M21" i="18"/>
  <c r="X21" i="18" s="1"/>
  <c r="M21" i="19"/>
  <c r="X21" i="19" s="1"/>
  <c r="L21" i="18"/>
  <c r="W21" i="18" s="1"/>
  <c r="L21" i="17"/>
  <c r="W21" i="17" s="1"/>
  <c r="L21" i="19"/>
  <c r="W21" i="19" s="1"/>
  <c r="K21" i="18"/>
  <c r="V21" i="18" s="1"/>
  <c r="K21" i="17"/>
  <c r="V21" i="17" s="1"/>
  <c r="M21" i="17"/>
  <c r="X21" i="17" s="1"/>
  <c r="N21" i="16"/>
  <c r="Y21" i="16" s="1"/>
  <c r="J21" i="16"/>
  <c r="U21" i="16" s="1"/>
  <c r="J21" i="18"/>
  <c r="U21" i="18" s="1"/>
  <c r="N21" i="17"/>
  <c r="Y21" i="17" s="1"/>
  <c r="N21" i="19"/>
  <c r="Y21" i="19" s="1"/>
  <c r="J21" i="17"/>
  <c r="U21" i="17" s="1"/>
  <c r="K21" i="16"/>
  <c r="V21" i="16" s="1"/>
  <c r="N21" i="18"/>
  <c r="Y21" i="18" s="1"/>
  <c r="J21" i="19"/>
  <c r="U21" i="19" s="1"/>
  <c r="L21" i="16"/>
  <c r="W21" i="16" s="1"/>
  <c r="M21" i="16"/>
  <c r="X21" i="16" s="1"/>
  <c r="G21" i="19"/>
  <c r="R21" i="19" s="1"/>
  <c r="G21" i="18"/>
  <c r="R21" i="18" s="1"/>
  <c r="G21" i="17"/>
  <c r="R21" i="17" s="1"/>
  <c r="G21" i="16"/>
  <c r="R21" i="16" s="1"/>
  <c r="B278" i="15"/>
  <c r="B279" i="15" s="1"/>
  <c r="D280" i="15"/>
  <c r="A280" i="15"/>
  <c r="B200" i="15"/>
  <c r="A205" i="15"/>
  <c r="C216" i="15"/>
  <c r="C201" i="15"/>
  <c r="D210" i="15" s="1"/>
  <c r="A210" i="15"/>
  <c r="D206" i="15"/>
  <c r="I192" i="15"/>
  <c r="I194" i="15" s="1"/>
  <c r="A279" i="15" l="1"/>
  <c r="C267" i="15"/>
  <c r="D324" i="15" s="1"/>
  <c r="E323" i="15"/>
  <c r="D281" i="15"/>
  <c r="D300" i="15" s="1"/>
  <c r="C350" i="15"/>
  <c r="C353" i="15"/>
  <c r="B364" i="15"/>
  <c r="D282" i="15"/>
  <c r="D301" i="15" s="1"/>
  <c r="C268" i="15"/>
  <c r="E324" i="15" s="1"/>
  <c r="D299" i="15"/>
  <c r="A281" i="15"/>
  <c r="A289" i="15"/>
  <c r="D289" i="15"/>
  <c r="A282" i="15"/>
  <c r="C230" i="15"/>
  <c r="D226" i="15"/>
  <c r="A226" i="15"/>
  <c r="C200" i="15"/>
  <c r="D209" i="15" s="1"/>
  <c r="A209" i="15"/>
  <c r="D205" i="15"/>
  <c r="J192" i="15"/>
  <c r="J194" i="15" s="1"/>
  <c r="D351" i="15" l="1"/>
  <c r="C351" i="15"/>
  <c r="F430" i="15"/>
  <c r="B56" i="22"/>
  <c r="A56" i="22"/>
  <c r="D441" i="15"/>
  <c r="D345" i="15"/>
  <c r="C345" i="15"/>
  <c r="Y16" i="19" s="1"/>
  <c r="Y17" i="19" s="1"/>
  <c r="M16" i="19"/>
  <c r="M17" i="19" s="1"/>
  <c r="U16" i="19"/>
  <c r="U17" i="19" s="1"/>
  <c r="I16" i="18"/>
  <c r="I17" i="18" s="1"/>
  <c r="J16" i="17"/>
  <c r="J17" i="17" s="1"/>
  <c r="V16" i="19"/>
  <c r="V17" i="19" s="1"/>
  <c r="F17" i="19"/>
  <c r="M16" i="17"/>
  <c r="M17" i="17" s="1"/>
  <c r="G16" i="19"/>
  <c r="G17" i="19" s="1"/>
  <c r="T16" i="18"/>
  <c r="T17" i="18" s="1"/>
  <c r="U16" i="17"/>
  <c r="U17" i="17" s="1"/>
  <c r="F16" i="18"/>
  <c r="F17" i="18" s="1"/>
  <c r="I16" i="19"/>
  <c r="I17" i="19" s="1"/>
  <c r="S16" i="19"/>
  <c r="S17" i="19" s="1"/>
  <c r="W16" i="16"/>
  <c r="W17" i="16" s="1"/>
  <c r="S16" i="18"/>
  <c r="S17" i="18" s="1"/>
  <c r="T16" i="17"/>
  <c r="T17" i="17" s="1"/>
  <c r="H16" i="16"/>
  <c r="H17" i="16" s="1"/>
  <c r="N16" i="16"/>
  <c r="N17" i="16" s="1"/>
  <c r="K16" i="17"/>
  <c r="K17" i="17" s="1"/>
  <c r="L16" i="17"/>
  <c r="L17" i="17" s="1"/>
  <c r="N16" i="19"/>
  <c r="N17" i="19" s="1"/>
  <c r="U16" i="18"/>
  <c r="U17" i="18" s="1"/>
  <c r="L16" i="16"/>
  <c r="L17" i="16" s="1"/>
  <c r="I16" i="16"/>
  <c r="I17" i="16" s="1"/>
  <c r="N16" i="17"/>
  <c r="N17" i="17" s="1"/>
  <c r="J16" i="19"/>
  <c r="J17" i="19" s="1"/>
  <c r="H16" i="18"/>
  <c r="H17" i="18" s="1"/>
  <c r="G16" i="16"/>
  <c r="G17" i="16" s="1"/>
  <c r="V16" i="16"/>
  <c r="V17" i="16" s="1"/>
  <c r="M16" i="16"/>
  <c r="M17" i="16" s="1"/>
  <c r="R16" i="17"/>
  <c r="R17" i="17" s="1"/>
  <c r="S16" i="17"/>
  <c r="S17" i="17" s="1"/>
  <c r="R16" i="16"/>
  <c r="R17" i="16" s="1"/>
  <c r="J16" i="18"/>
  <c r="J17" i="18" s="1"/>
  <c r="M16" i="18"/>
  <c r="M17" i="18" s="1"/>
  <c r="K16" i="18"/>
  <c r="K17" i="18" s="1"/>
  <c r="L16" i="18"/>
  <c r="L17" i="18" s="1"/>
  <c r="S16" i="16"/>
  <c r="S17" i="16" s="1"/>
  <c r="J16" i="16"/>
  <c r="J17" i="16" s="1"/>
  <c r="V16" i="17"/>
  <c r="V17" i="17" s="1"/>
  <c r="Y16" i="17"/>
  <c r="Y17" i="17" s="1"/>
  <c r="G421" i="15"/>
  <c r="G423" i="15" s="1"/>
  <c r="H421" i="15"/>
  <c r="H423" i="15" s="1"/>
  <c r="I421" i="15"/>
  <c r="I423" i="15" s="1"/>
  <c r="J421" i="15"/>
  <c r="J423" i="15" s="1"/>
  <c r="C346" i="15"/>
  <c r="I430" i="15"/>
  <c r="J430" i="15"/>
  <c r="G430" i="15"/>
  <c r="H430" i="15"/>
  <c r="C233" i="15"/>
  <c r="B365" i="15" s="1"/>
  <c r="C364" i="15" s="1"/>
  <c r="A290" i="15"/>
  <c r="D290" i="15"/>
  <c r="D291" i="15" s="1"/>
  <c r="D302" i="15" s="1"/>
  <c r="D292" i="15"/>
  <c r="D303" i="15" s="1"/>
  <c r="K194" i="15"/>
  <c r="D30" i="16" l="1"/>
  <c r="C368" i="15"/>
  <c r="D453" i="15" s="1"/>
  <c r="Q16" i="17"/>
  <c r="Q17" i="17" s="1"/>
  <c r="Q16" i="16"/>
  <c r="Q17" i="16" s="1"/>
  <c r="Y16" i="18"/>
  <c r="Y17" i="18" s="1"/>
  <c r="X16" i="17"/>
  <c r="X17" i="17" s="1"/>
  <c r="F16" i="16"/>
  <c r="F17" i="16" s="1"/>
  <c r="W16" i="17"/>
  <c r="W17" i="17" s="1"/>
  <c r="G16" i="17"/>
  <c r="G17" i="17" s="1"/>
  <c r="V16" i="18"/>
  <c r="V17" i="18" s="1"/>
  <c r="F16" i="17"/>
  <c r="F17" i="17" s="1"/>
  <c r="K16" i="16"/>
  <c r="K17" i="16" s="1"/>
  <c r="Q17" i="19"/>
  <c r="W16" i="19"/>
  <c r="W17" i="19" s="1"/>
  <c r="R16" i="18"/>
  <c r="R17" i="18" s="1"/>
  <c r="L16" i="19"/>
  <c r="L17" i="19" s="1"/>
  <c r="X16" i="18"/>
  <c r="X17" i="18" s="1"/>
  <c r="H16" i="19"/>
  <c r="H17" i="19" s="1"/>
  <c r="Y16" i="16"/>
  <c r="Y17" i="16" s="1"/>
  <c r="X16" i="16"/>
  <c r="X17" i="16" s="1"/>
  <c r="G16" i="18"/>
  <c r="G17" i="18" s="1"/>
  <c r="I16" i="17"/>
  <c r="I17" i="17" s="1"/>
  <c r="T16" i="16"/>
  <c r="T17" i="16" s="1"/>
  <c r="H16" i="17"/>
  <c r="H17" i="17" s="1"/>
  <c r="U16" i="16"/>
  <c r="U17" i="16" s="1"/>
  <c r="Q16" i="18"/>
  <c r="Q17" i="18" s="1"/>
  <c r="T16" i="19"/>
  <c r="T17" i="19" s="1"/>
  <c r="X16" i="19"/>
  <c r="X17" i="19" s="1"/>
  <c r="K16" i="19"/>
  <c r="K17" i="19" s="1"/>
  <c r="R16" i="19"/>
  <c r="R17" i="19" s="1"/>
  <c r="W16" i="18"/>
  <c r="W17" i="18" s="1"/>
  <c r="N16" i="18"/>
  <c r="N17" i="18" s="1"/>
  <c r="A225" i="16"/>
  <c r="C212" i="16"/>
  <c r="C238" i="16" s="1"/>
  <c r="C213" i="16"/>
  <c r="C239" i="16" s="1"/>
  <c r="C226" i="16"/>
  <c r="C252" i="16" s="1"/>
  <c r="A213" i="16"/>
  <c r="A46" i="22"/>
  <c r="C225" i="16"/>
  <c r="C251" i="16" s="1"/>
  <c r="A212" i="16"/>
  <c r="A226" i="16"/>
  <c r="C227" i="16"/>
  <c r="C253" i="16" s="1"/>
  <c r="C217" i="16"/>
  <c r="C243" i="16" s="1"/>
  <c r="A51" i="22"/>
  <c r="B46" i="22"/>
  <c r="A214" i="16"/>
  <c r="A49" i="22"/>
  <c r="C214" i="16"/>
  <c r="C240" i="16" s="1"/>
  <c r="A227" i="16"/>
  <c r="A48" i="22"/>
  <c r="B47" i="22"/>
  <c r="F421" i="15"/>
  <c r="F423" i="15" s="1"/>
  <c r="A47" i="22"/>
  <c r="B51" i="22"/>
  <c r="A217" i="16"/>
  <c r="B49" i="22"/>
  <c r="A50" i="22"/>
  <c r="B52" i="22"/>
  <c r="B48" i="22"/>
  <c r="A229" i="16"/>
  <c r="C218" i="16"/>
  <c r="C244" i="16" s="1"/>
  <c r="C228" i="16"/>
  <c r="C254" i="16" s="1"/>
  <c r="A230" i="16"/>
  <c r="A215" i="16"/>
  <c r="C229" i="16"/>
  <c r="C255" i="16" s="1"/>
  <c r="A218" i="16"/>
  <c r="A231" i="16"/>
  <c r="C230" i="16"/>
  <c r="C256" i="16" s="1"/>
  <c r="A216" i="16"/>
  <c r="C215" i="16"/>
  <c r="C241" i="16" s="1"/>
  <c r="A228" i="16"/>
  <c r="C231" i="16"/>
  <c r="C257" i="16" s="1"/>
  <c r="C216" i="16"/>
  <c r="C242" i="16" s="1"/>
  <c r="B50" i="22"/>
  <c r="C222" i="16"/>
  <c r="C248" i="16" s="1"/>
  <c r="A234" i="16"/>
  <c r="C220" i="16"/>
  <c r="C246" i="16" s="1"/>
  <c r="A232" i="16"/>
  <c r="C234" i="16"/>
  <c r="C260" i="16" s="1"/>
  <c r="C235" i="16"/>
  <c r="C261" i="16" s="1"/>
  <c r="A221" i="16"/>
  <c r="C219" i="16"/>
  <c r="C245" i="16" s="1"/>
  <c r="A52" i="22"/>
  <c r="C232" i="16"/>
  <c r="C258" i="16" s="1"/>
  <c r="A220" i="16"/>
  <c r="A222" i="16"/>
  <c r="A235" i="16"/>
  <c r="C221" i="16"/>
  <c r="C247" i="16" s="1"/>
  <c r="C233" i="16"/>
  <c r="C259" i="16" s="1"/>
  <c r="A233" i="16"/>
  <c r="A219" i="16"/>
  <c r="F475" i="15"/>
  <c r="H24" i="19"/>
  <c r="S24" i="19" s="1"/>
  <c r="H24" i="18"/>
  <c r="S24" i="18" s="1"/>
  <c r="H24" i="17"/>
  <c r="S24" i="17" s="1"/>
  <c r="H24" i="16"/>
  <c r="S24" i="16" s="1"/>
  <c r="G475" i="15"/>
  <c r="I24" i="19"/>
  <c r="T24" i="19" s="1"/>
  <c r="I24" i="16"/>
  <c r="T24" i="16" s="1"/>
  <c r="I24" i="18"/>
  <c r="T24" i="18" s="1"/>
  <c r="I24" i="17"/>
  <c r="T24" i="17" s="1"/>
  <c r="D475" i="15"/>
  <c r="F24" i="19"/>
  <c r="Q24" i="19" s="1"/>
  <c r="F24" i="18"/>
  <c r="Q24" i="18" s="1"/>
  <c r="F24" i="17"/>
  <c r="Q24" i="17" s="1"/>
  <c r="F24" i="16"/>
  <c r="Q24" i="16" s="1"/>
  <c r="L24" i="19"/>
  <c r="W24" i="19" s="1"/>
  <c r="K24" i="18"/>
  <c r="V24" i="18" s="1"/>
  <c r="K24" i="19"/>
  <c r="V24" i="19" s="1"/>
  <c r="L24" i="18"/>
  <c r="W24" i="18" s="1"/>
  <c r="K24" i="17"/>
  <c r="V24" i="17" s="1"/>
  <c r="J24" i="19"/>
  <c r="U24" i="19" s="1"/>
  <c r="J24" i="18"/>
  <c r="U24" i="18" s="1"/>
  <c r="N24" i="17"/>
  <c r="Y24" i="17" s="1"/>
  <c r="J24" i="17"/>
  <c r="U24" i="17" s="1"/>
  <c r="M24" i="18"/>
  <c r="X24" i="18" s="1"/>
  <c r="L24" i="17"/>
  <c r="W24" i="17" s="1"/>
  <c r="N24" i="16"/>
  <c r="Y24" i="16" s="1"/>
  <c r="N24" i="18"/>
  <c r="Y24" i="18" s="1"/>
  <c r="M24" i="16"/>
  <c r="X24" i="16" s="1"/>
  <c r="K24" i="16"/>
  <c r="V24" i="16" s="1"/>
  <c r="J24" i="16"/>
  <c r="U24" i="16" s="1"/>
  <c r="N24" i="19"/>
  <c r="Y24" i="19" s="1"/>
  <c r="L24" i="16"/>
  <c r="W24" i="16" s="1"/>
  <c r="M24" i="19"/>
  <c r="X24" i="19" s="1"/>
  <c r="M24" i="17"/>
  <c r="X24" i="17" s="1"/>
  <c r="E475" i="15"/>
  <c r="G24" i="18"/>
  <c r="R24" i="18" s="1"/>
  <c r="G24" i="17"/>
  <c r="R24" i="17" s="1"/>
  <c r="G24" i="19"/>
  <c r="R24" i="19" s="1"/>
  <c r="G24" i="16"/>
  <c r="R24" i="16" s="1"/>
  <c r="H475" i="15"/>
  <c r="I475" i="15"/>
  <c r="J475" i="15"/>
  <c r="K475" i="15"/>
  <c r="L475" i="15"/>
  <c r="D442" i="15"/>
  <c r="G425" i="15"/>
  <c r="H425" i="15"/>
  <c r="I425" i="15"/>
  <c r="J425" i="15"/>
  <c r="F425" i="15"/>
  <c r="D307" i="15"/>
  <c r="D309" i="15" s="1"/>
  <c r="C347" i="15" s="1"/>
  <c r="C234" i="15"/>
  <c r="B368" i="15" s="1"/>
  <c r="A291" i="15"/>
  <c r="A203" i="15"/>
  <c r="B198" i="15"/>
  <c r="C198" i="15" s="1"/>
  <c r="D207" i="15" s="1"/>
  <c r="D44" i="16" l="1"/>
  <c r="C524" i="16" s="1"/>
  <c r="C381" i="16"/>
  <c r="C368" i="16"/>
  <c r="D41" i="16"/>
  <c r="D42" i="16" s="1"/>
  <c r="B366" i="15"/>
  <c r="F431" i="15" s="1"/>
  <c r="A55" i="22"/>
  <c r="B55" i="22"/>
  <c r="D455" i="15"/>
  <c r="B1" i="23"/>
  <c r="A1" i="23"/>
  <c r="I19" i="19"/>
  <c r="T19" i="19" s="1"/>
  <c r="I19" i="17"/>
  <c r="T19" i="17" s="1"/>
  <c r="I19" i="18"/>
  <c r="T19" i="18" s="1"/>
  <c r="I19" i="16"/>
  <c r="T19" i="16" s="1"/>
  <c r="H19" i="19"/>
  <c r="S19" i="19" s="1"/>
  <c r="H19" i="18"/>
  <c r="S19" i="18" s="1"/>
  <c r="H19" i="16"/>
  <c r="S19" i="16" s="1"/>
  <c r="H19" i="17"/>
  <c r="S19" i="17" s="1"/>
  <c r="F19" i="17"/>
  <c r="Q19" i="17" s="1"/>
  <c r="F19" i="18"/>
  <c r="Q19" i="18" s="1"/>
  <c r="F19" i="19"/>
  <c r="Q19" i="19" s="1"/>
  <c r="F19" i="16"/>
  <c r="Q19" i="16" s="1"/>
  <c r="G19" i="18"/>
  <c r="R19" i="18" s="1"/>
  <c r="G19" i="19"/>
  <c r="R19" i="19" s="1"/>
  <c r="G19" i="16"/>
  <c r="R19" i="16" s="1"/>
  <c r="G19" i="17"/>
  <c r="R19" i="17" s="1"/>
  <c r="D30" i="19"/>
  <c r="D30" i="18"/>
  <c r="D30" i="17"/>
  <c r="M19" i="19"/>
  <c r="X19" i="19" s="1"/>
  <c r="K19" i="18"/>
  <c r="V19" i="18" s="1"/>
  <c r="N19" i="19"/>
  <c r="Y19" i="19" s="1"/>
  <c r="M19" i="18"/>
  <c r="X19" i="18" s="1"/>
  <c r="N19" i="17"/>
  <c r="Y19" i="17" s="1"/>
  <c r="J19" i="17"/>
  <c r="U19" i="17" s="1"/>
  <c r="M19" i="16"/>
  <c r="X19" i="16" s="1"/>
  <c r="L19" i="19"/>
  <c r="W19" i="19" s="1"/>
  <c r="L19" i="18"/>
  <c r="W19" i="18" s="1"/>
  <c r="M19" i="17"/>
  <c r="X19" i="17" s="1"/>
  <c r="K19" i="17"/>
  <c r="V19" i="17" s="1"/>
  <c r="N19" i="16"/>
  <c r="Y19" i="16" s="1"/>
  <c r="N19" i="18"/>
  <c r="Y19" i="18" s="1"/>
  <c r="J19" i="16"/>
  <c r="U19" i="16" s="1"/>
  <c r="J19" i="18"/>
  <c r="U19" i="18" s="1"/>
  <c r="L19" i="17"/>
  <c r="W19" i="17" s="1"/>
  <c r="K19" i="19"/>
  <c r="V19" i="19" s="1"/>
  <c r="K19" i="16"/>
  <c r="V19" i="16" s="1"/>
  <c r="J19" i="19"/>
  <c r="U19" i="19" s="1"/>
  <c r="L19" i="16"/>
  <c r="W19" i="16" s="1"/>
  <c r="D325" i="15"/>
  <c r="D326" i="15" s="1"/>
  <c r="D329" i="15" s="1"/>
  <c r="D330" i="15" s="1"/>
  <c r="E330" i="15" s="1"/>
  <c r="G426" i="15"/>
  <c r="H426" i="15"/>
  <c r="I426" i="15"/>
  <c r="F426" i="15"/>
  <c r="J426" i="15"/>
  <c r="D440" i="15"/>
  <c r="D310" i="15"/>
  <c r="E325" i="15" s="1"/>
  <c r="E371" i="15"/>
  <c r="A207" i="15"/>
  <c r="D203" i="15"/>
  <c r="C381" i="19" l="1"/>
  <c r="C368" i="19"/>
  <c r="C381" i="18"/>
  <c r="C368" i="18"/>
  <c r="C381" i="17"/>
  <c r="C368" i="17"/>
  <c r="C394" i="16"/>
  <c r="C420" i="16" s="1"/>
  <c r="C421" i="16" s="1"/>
  <c r="B394" i="16"/>
  <c r="C407" i="16"/>
  <c r="C433" i="16" s="1"/>
  <c r="C434" i="16" s="1"/>
  <c r="B407" i="16"/>
  <c r="E326" i="15"/>
  <c r="E457" i="15"/>
  <c r="D457" i="15"/>
  <c r="B5" i="23" s="1"/>
  <c r="N20" i="19"/>
  <c r="Y20" i="19" s="1"/>
  <c r="J20" i="19"/>
  <c r="U20" i="19" s="1"/>
  <c r="M20" i="18"/>
  <c r="X20" i="18" s="1"/>
  <c r="M20" i="19"/>
  <c r="X20" i="19" s="1"/>
  <c r="N20" i="18"/>
  <c r="Y20" i="18" s="1"/>
  <c r="K20" i="17"/>
  <c r="V20" i="17" s="1"/>
  <c r="L20" i="19"/>
  <c r="W20" i="19" s="1"/>
  <c r="L20" i="18"/>
  <c r="W20" i="18" s="1"/>
  <c r="N20" i="17"/>
  <c r="Y20" i="17" s="1"/>
  <c r="J20" i="17"/>
  <c r="U20" i="17" s="1"/>
  <c r="J20" i="18"/>
  <c r="U20" i="18" s="1"/>
  <c r="N20" i="16"/>
  <c r="Y20" i="16" s="1"/>
  <c r="L20" i="17"/>
  <c r="W20" i="17" s="1"/>
  <c r="L20" i="16"/>
  <c r="W20" i="16" s="1"/>
  <c r="M20" i="17"/>
  <c r="X20" i="17" s="1"/>
  <c r="K20" i="16"/>
  <c r="V20" i="16" s="1"/>
  <c r="J20" i="16"/>
  <c r="U20" i="16" s="1"/>
  <c r="M20" i="16"/>
  <c r="X20" i="16" s="1"/>
  <c r="K20" i="19"/>
  <c r="V20" i="19" s="1"/>
  <c r="K20" i="18"/>
  <c r="V20" i="18" s="1"/>
  <c r="G20" i="17"/>
  <c r="R20" i="17" s="1"/>
  <c r="G20" i="19"/>
  <c r="R20" i="19" s="1"/>
  <c r="G20" i="18"/>
  <c r="R20" i="18" s="1"/>
  <c r="G20" i="16"/>
  <c r="R20" i="16" s="1"/>
  <c r="D41" i="18"/>
  <c r="D42" i="18" s="1"/>
  <c r="O30" i="18"/>
  <c r="D44" i="18"/>
  <c r="C524" i="18" s="1"/>
  <c r="D32" i="18"/>
  <c r="F20" i="19"/>
  <c r="Q20" i="19" s="1"/>
  <c r="F20" i="17"/>
  <c r="Q20" i="17" s="1"/>
  <c r="F20" i="18"/>
  <c r="Q20" i="18" s="1"/>
  <c r="F20" i="16"/>
  <c r="Q20" i="16" s="1"/>
  <c r="I20" i="18"/>
  <c r="T20" i="18" s="1"/>
  <c r="I20" i="16"/>
  <c r="T20" i="16" s="1"/>
  <c r="I20" i="19"/>
  <c r="T20" i="19" s="1"/>
  <c r="I20" i="17"/>
  <c r="T20" i="17" s="1"/>
  <c r="O34" i="16"/>
  <c r="D34" i="19"/>
  <c r="O34" i="19" s="1"/>
  <c r="D34" i="17"/>
  <c r="O34" i="17" s="1"/>
  <c r="B485" i="15"/>
  <c r="D34" i="18"/>
  <c r="O34" i="18" s="1"/>
  <c r="D32" i="19"/>
  <c r="O30" i="19"/>
  <c r="D44" i="19"/>
  <c r="D41" i="19"/>
  <c r="D42" i="19" s="1"/>
  <c r="H59" i="19" s="1"/>
  <c r="H61" i="19" s="1"/>
  <c r="H62" i="19" s="1"/>
  <c r="I62" i="19" s="1"/>
  <c r="H20" i="19"/>
  <c r="S20" i="19" s="1"/>
  <c r="H20" i="18"/>
  <c r="S20" i="18" s="1"/>
  <c r="H20" i="17"/>
  <c r="S20" i="17" s="1"/>
  <c r="H20" i="16"/>
  <c r="S20" i="16" s="1"/>
  <c r="D44" i="17"/>
  <c r="O30" i="17"/>
  <c r="D41" i="17"/>
  <c r="D42" i="17" s="1"/>
  <c r="D32" i="17"/>
  <c r="D32" i="16"/>
  <c r="O30" i="16"/>
  <c r="O44" i="16"/>
  <c r="C349" i="15"/>
  <c r="I428" i="15" s="1"/>
  <c r="D331" i="15"/>
  <c r="O44" i="17" l="1"/>
  <c r="C524" i="17"/>
  <c r="D33" i="19"/>
  <c r="B381" i="19"/>
  <c r="B368" i="19"/>
  <c r="B382" i="19"/>
  <c r="B407" i="18"/>
  <c r="C407" i="18"/>
  <c r="C433" i="18" s="1"/>
  <c r="C434" i="18" s="1"/>
  <c r="B382" i="17"/>
  <c r="B381" i="17"/>
  <c r="B368" i="17"/>
  <c r="C394" i="17"/>
  <c r="C420" i="17" s="1"/>
  <c r="C421" i="17" s="1"/>
  <c r="B394" i="17"/>
  <c r="B394" i="19"/>
  <c r="C394" i="19"/>
  <c r="C420" i="19" s="1"/>
  <c r="C421" i="19" s="1"/>
  <c r="O44" i="19"/>
  <c r="C524" i="19"/>
  <c r="B381" i="18"/>
  <c r="B368" i="18"/>
  <c r="B382" i="18"/>
  <c r="C407" i="17"/>
  <c r="C433" i="17" s="1"/>
  <c r="C434" i="17" s="1"/>
  <c r="B407" i="17"/>
  <c r="B407" i="19"/>
  <c r="C407" i="19"/>
  <c r="C433" i="19" s="1"/>
  <c r="C434" i="19" s="1"/>
  <c r="B394" i="18"/>
  <c r="C394" i="18"/>
  <c r="C420" i="18" s="1"/>
  <c r="C421" i="18" s="1"/>
  <c r="O44" i="18"/>
  <c r="D33" i="18"/>
  <c r="D50" i="18" s="1"/>
  <c r="D52" i="18" s="1"/>
  <c r="D53" i="18" s="1"/>
  <c r="E53" i="18" s="1"/>
  <c r="D33" i="17"/>
  <c r="D50" i="17" s="1"/>
  <c r="D52" i="17" s="1"/>
  <c r="D53" i="17" s="1"/>
  <c r="E53" i="17" s="1"/>
  <c r="B382" i="16"/>
  <c r="D33" i="16"/>
  <c r="D36" i="16" s="1"/>
  <c r="D37" i="16" s="1"/>
  <c r="E37" i="16" s="1"/>
  <c r="B381" i="16"/>
  <c r="B368" i="16"/>
  <c r="E329" i="15"/>
  <c r="B6" i="23"/>
  <c r="C485" i="15"/>
  <c r="I429" i="15"/>
  <c r="I22" i="19"/>
  <c r="T22" i="19" s="1"/>
  <c r="I22" i="17"/>
  <c r="T22" i="17" s="1"/>
  <c r="I22" i="16"/>
  <c r="T22" i="16" s="1"/>
  <c r="I22" i="18"/>
  <c r="T22" i="18" s="1"/>
  <c r="D36" i="17"/>
  <c r="D37" i="17" s="1"/>
  <c r="E37" i="17" s="1"/>
  <c r="D36" i="18"/>
  <c r="D37" i="18" s="1"/>
  <c r="E37" i="18" s="1"/>
  <c r="O32" i="16"/>
  <c r="O33" i="16" s="1"/>
  <c r="O36" i="16" s="1"/>
  <c r="O37" i="16" s="1"/>
  <c r="P37" i="16" s="1"/>
  <c r="O41" i="16"/>
  <c r="O42" i="16" s="1"/>
  <c r="O32" i="17"/>
  <c r="O33" i="17" s="1"/>
  <c r="O36" i="17" s="1"/>
  <c r="O37" i="17" s="1"/>
  <c r="P37" i="17" s="1"/>
  <c r="O41" i="17"/>
  <c r="O42" i="17" s="1"/>
  <c r="O32" i="19"/>
  <c r="O33" i="19" s="1"/>
  <c r="O36" i="19" s="1"/>
  <c r="O37" i="19" s="1"/>
  <c r="P37" i="19" s="1"/>
  <c r="O41" i="19"/>
  <c r="O42" i="19" s="1"/>
  <c r="D50" i="16"/>
  <c r="D52" i="16" s="1"/>
  <c r="D53" i="16" s="1"/>
  <c r="E53" i="16" s="1"/>
  <c r="H50" i="19"/>
  <c r="H52" i="19" s="1"/>
  <c r="H53" i="19" s="1"/>
  <c r="I53" i="19" s="1"/>
  <c r="D36" i="19"/>
  <c r="D37" i="19" s="1"/>
  <c r="E37" i="19" s="1"/>
  <c r="O32" i="18"/>
  <c r="O33" i="18" s="1"/>
  <c r="O36" i="18" s="1"/>
  <c r="O37" i="18" s="1"/>
  <c r="P37" i="18" s="1"/>
  <c r="O41" i="18"/>
  <c r="O42" i="18" s="1"/>
  <c r="E34" i="18"/>
  <c r="P34" i="18" s="1"/>
  <c r="E34" i="17"/>
  <c r="P34" i="17" s="1"/>
  <c r="E34" i="16"/>
  <c r="P34" i="16" s="1"/>
  <c r="E34" i="19"/>
  <c r="P34" i="19" s="1"/>
  <c r="H428" i="15"/>
  <c r="F428" i="15"/>
  <c r="F429" i="15" s="1"/>
  <c r="D474" i="15" s="1"/>
  <c r="J428" i="15"/>
  <c r="G428" i="15"/>
  <c r="B3" i="24" l="1"/>
  <c r="C507" i="15"/>
  <c r="E331" i="15"/>
  <c r="F22" i="18"/>
  <c r="Q22" i="18" s="1"/>
  <c r="F22" i="17"/>
  <c r="Q22" i="17" s="1"/>
  <c r="F22" i="16"/>
  <c r="Q22" i="16" s="1"/>
  <c r="F22" i="19"/>
  <c r="Q22" i="19" s="1"/>
  <c r="G429" i="15"/>
  <c r="G22" i="18"/>
  <c r="R22" i="18" s="1"/>
  <c r="G22" i="16"/>
  <c r="R22" i="16" s="1"/>
  <c r="G22" i="17"/>
  <c r="R22" i="17" s="1"/>
  <c r="G22" i="19"/>
  <c r="R22" i="19" s="1"/>
  <c r="H429" i="15"/>
  <c r="H22" i="19"/>
  <c r="S22" i="19" s="1"/>
  <c r="H22" i="17"/>
  <c r="S22" i="17" s="1"/>
  <c r="H22" i="18"/>
  <c r="S22" i="18" s="1"/>
  <c r="H22" i="16"/>
  <c r="S22" i="16" s="1"/>
  <c r="J429" i="15"/>
  <c r="L474" i="15" s="1"/>
  <c r="K507" i="15" s="1"/>
  <c r="M22" i="19"/>
  <c r="X22" i="19" s="1"/>
  <c r="N22" i="18"/>
  <c r="Y22" i="18" s="1"/>
  <c r="J22" i="18"/>
  <c r="U22" i="18" s="1"/>
  <c r="J22" i="19"/>
  <c r="U22" i="19" s="1"/>
  <c r="L22" i="18"/>
  <c r="W22" i="18" s="1"/>
  <c r="M22" i="17"/>
  <c r="X22" i="17" s="1"/>
  <c r="N22" i="19"/>
  <c r="Y22" i="19" s="1"/>
  <c r="K22" i="18"/>
  <c r="V22" i="18" s="1"/>
  <c r="L22" i="17"/>
  <c r="W22" i="17" s="1"/>
  <c r="L22" i="19"/>
  <c r="W22" i="19" s="1"/>
  <c r="J22" i="17"/>
  <c r="U22" i="17" s="1"/>
  <c r="N22" i="16"/>
  <c r="Y22" i="16" s="1"/>
  <c r="N22" i="17"/>
  <c r="Y22" i="17" s="1"/>
  <c r="M22" i="16"/>
  <c r="X22" i="16" s="1"/>
  <c r="K22" i="19"/>
  <c r="V22" i="19" s="1"/>
  <c r="K22" i="16"/>
  <c r="V22" i="16" s="1"/>
  <c r="M22" i="18"/>
  <c r="X22" i="18" s="1"/>
  <c r="L22" i="16"/>
  <c r="W22" i="16" s="1"/>
  <c r="K22" i="17"/>
  <c r="V22" i="17" s="1"/>
  <c r="J22" i="16"/>
  <c r="U22" i="16" s="1"/>
  <c r="G474" i="15"/>
  <c r="I23" i="18"/>
  <c r="T23" i="18" s="1"/>
  <c r="I23" i="17"/>
  <c r="I23" i="19"/>
  <c r="T23" i="19" s="1"/>
  <c r="I23" i="16"/>
  <c r="T23" i="16" s="1"/>
  <c r="K474" i="15" l="1"/>
  <c r="J507" i="15" s="1"/>
  <c r="F507" i="15"/>
  <c r="B6" i="24"/>
  <c r="E373" i="15"/>
  <c r="F331" i="15"/>
  <c r="F320" i="15"/>
  <c r="F321" i="15"/>
  <c r="F322" i="15"/>
  <c r="F327" i="15"/>
  <c r="F328" i="15"/>
  <c r="F324" i="15"/>
  <c r="F323" i="15"/>
  <c r="F330" i="15"/>
  <c r="F325" i="15"/>
  <c r="F326" i="15"/>
  <c r="C335" i="15"/>
  <c r="A335" i="15"/>
  <c r="F329" i="15"/>
  <c r="T23" i="17"/>
  <c r="L23" i="19"/>
  <c r="L23" i="18"/>
  <c r="W23" i="18" s="1"/>
  <c r="M23" i="19"/>
  <c r="X23" i="19" s="1"/>
  <c r="N23" i="18"/>
  <c r="Y23" i="18" s="1"/>
  <c r="N23" i="17"/>
  <c r="J23" i="17"/>
  <c r="K23" i="19"/>
  <c r="M23" i="18"/>
  <c r="X23" i="18" s="1"/>
  <c r="M23" i="17"/>
  <c r="J23" i="19"/>
  <c r="U23" i="19" s="1"/>
  <c r="N23" i="16"/>
  <c r="Y23" i="16" s="1"/>
  <c r="L23" i="16"/>
  <c r="W23" i="16" s="1"/>
  <c r="N23" i="19"/>
  <c r="Y23" i="19" s="1"/>
  <c r="K23" i="18"/>
  <c r="L23" i="17"/>
  <c r="K23" i="16"/>
  <c r="V23" i="16" s="1"/>
  <c r="J23" i="16"/>
  <c r="J23" i="18"/>
  <c r="U23" i="18" s="1"/>
  <c r="K23" i="17"/>
  <c r="V23" i="17" s="1"/>
  <c r="M23" i="16"/>
  <c r="X23" i="16" s="1"/>
  <c r="H474" i="15"/>
  <c r="F474" i="15"/>
  <c r="H23" i="19"/>
  <c r="S23" i="19" s="1"/>
  <c r="H23" i="18"/>
  <c r="S23" i="18" s="1"/>
  <c r="H23" i="16"/>
  <c r="H23" i="17"/>
  <c r="I474" i="15"/>
  <c r="J474" i="15"/>
  <c r="E474" i="15"/>
  <c r="G23" i="19"/>
  <c r="R23" i="19" s="1"/>
  <c r="R41" i="19" s="1"/>
  <c r="R42" i="19" s="1"/>
  <c r="G23" i="18"/>
  <c r="R23" i="18" s="1"/>
  <c r="R41" i="18" s="1"/>
  <c r="R42" i="18" s="1"/>
  <c r="G23" i="17"/>
  <c r="R23" i="17" s="1"/>
  <c r="R41" i="17" s="1"/>
  <c r="R42" i="17" s="1"/>
  <c r="G23" i="16"/>
  <c r="F23" i="17"/>
  <c r="F23" i="19"/>
  <c r="F23" i="16"/>
  <c r="F23" i="18"/>
  <c r="C487" i="18" l="1"/>
  <c r="C488" i="18"/>
  <c r="C474" i="18"/>
  <c r="C500" i="18" s="1"/>
  <c r="B513" i="18" s="1"/>
  <c r="G507" i="15"/>
  <c r="B7" i="24"/>
  <c r="I507" i="15"/>
  <c r="B10" i="24"/>
  <c r="B9" i="24"/>
  <c r="B11" i="24"/>
  <c r="C488" i="17"/>
  <c r="C474" i="17"/>
  <c r="C500" i="17" s="1"/>
  <c r="B513" i="17" s="1"/>
  <c r="C487" i="17"/>
  <c r="E507" i="15"/>
  <c r="B5" i="24"/>
  <c r="D507" i="15"/>
  <c r="B4" i="24"/>
  <c r="C474" i="19"/>
  <c r="C500" i="19" s="1"/>
  <c r="B513" i="19" s="1"/>
  <c r="C488" i="19"/>
  <c r="C487" i="19"/>
  <c r="H507" i="15"/>
  <c r="B8" i="24"/>
  <c r="F41" i="16"/>
  <c r="F42" i="16" s="1"/>
  <c r="C474" i="16"/>
  <c r="C500" i="16" s="1"/>
  <c r="B513" i="16" s="1"/>
  <c r="C487" i="16"/>
  <c r="C488" i="16"/>
  <c r="D492" i="15"/>
  <c r="C371" i="15"/>
  <c r="B371" i="15"/>
  <c r="B336" i="15"/>
  <c r="E372" i="15"/>
  <c r="Q23" i="16"/>
  <c r="S23" i="16"/>
  <c r="V23" i="18"/>
  <c r="U23" i="17"/>
  <c r="Q23" i="19"/>
  <c r="Q41" i="19" s="1"/>
  <c r="Q42" i="19" s="1"/>
  <c r="F41" i="19"/>
  <c r="F42" i="19" s="1"/>
  <c r="J59" i="19" s="1"/>
  <c r="J61" i="19" s="1"/>
  <c r="J62" i="19" s="1"/>
  <c r="U23" i="16"/>
  <c r="X23" i="17"/>
  <c r="Y23" i="17"/>
  <c r="W23" i="19"/>
  <c r="Q23" i="18"/>
  <c r="Q41" i="18" s="1"/>
  <c r="Q42" i="18" s="1"/>
  <c r="F41" i="18"/>
  <c r="F42" i="18" s="1"/>
  <c r="R23" i="16"/>
  <c r="R41" i="16" s="1"/>
  <c r="R42" i="16" s="1"/>
  <c r="Q23" i="17"/>
  <c r="Q41" i="17" s="1"/>
  <c r="Q42" i="17" s="1"/>
  <c r="F41" i="17"/>
  <c r="F42" i="17" s="1"/>
  <c r="S23" i="17"/>
  <c r="W23" i="17"/>
  <c r="V23" i="19"/>
  <c r="B500" i="17" l="1"/>
  <c r="C513" i="17"/>
  <c r="B501" i="18"/>
  <c r="C514" i="18"/>
  <c r="C514" i="19"/>
  <c r="B501" i="19"/>
  <c r="B500" i="18"/>
  <c r="C513" i="18"/>
  <c r="B500" i="19"/>
  <c r="C513" i="19"/>
  <c r="C514" i="17"/>
  <c r="B501" i="17"/>
  <c r="D493" i="15"/>
  <c r="B121" i="24" s="1"/>
  <c r="B135" i="24"/>
  <c r="Q41" i="16"/>
  <c r="Q42" i="16" s="1"/>
  <c r="B500" i="16"/>
  <c r="C513" i="16"/>
  <c r="C514" i="16"/>
  <c r="B501" i="16"/>
  <c r="B374" i="15"/>
  <c r="C374" i="15"/>
  <c r="B372" i="15"/>
  <c r="C372" i="15"/>
  <c r="F409" i="15"/>
  <c r="C340" i="15"/>
  <c r="H409" i="15"/>
  <c r="I409" i="15"/>
  <c r="J409" i="15"/>
  <c r="G409" i="15"/>
  <c r="A6" i="22" l="1"/>
  <c r="T6" i="17"/>
  <c r="T7" i="17" s="1"/>
  <c r="I6" i="16"/>
  <c r="I6" i="19"/>
  <c r="I6" i="17"/>
  <c r="I7" i="17" s="1"/>
  <c r="I6" i="18"/>
  <c r="I410" i="15"/>
  <c r="I411" i="15" s="1"/>
  <c r="I412" i="15" s="1"/>
  <c r="G473" i="15" s="1"/>
  <c r="A5" i="22"/>
  <c r="H6" i="17"/>
  <c r="H7" i="17" s="1"/>
  <c r="H6" i="19"/>
  <c r="H6" i="18"/>
  <c r="H410" i="15"/>
  <c r="H411" i="15" s="1"/>
  <c r="H412" i="15" s="1"/>
  <c r="F473" i="15" s="1"/>
  <c r="S6" i="17"/>
  <c r="S7" i="17" s="1"/>
  <c r="H6" i="16"/>
  <c r="F2" i="22"/>
  <c r="F7" i="22"/>
  <c r="B7" i="22" s="1"/>
  <c r="F4" i="22"/>
  <c r="B4" i="22" s="1"/>
  <c r="F3" i="22"/>
  <c r="B3" i="22" s="1"/>
  <c r="F5" i="22"/>
  <c r="B5" i="22" s="1"/>
  <c r="F1" i="22"/>
  <c r="F6" i="22"/>
  <c r="B6" i="22" s="1"/>
  <c r="A4" i="22"/>
  <c r="R6" i="17"/>
  <c r="R7" i="17" s="1"/>
  <c r="G410" i="15"/>
  <c r="G411" i="15" s="1"/>
  <c r="G412" i="15" s="1"/>
  <c r="G6" i="17"/>
  <c r="G7" i="17" s="1"/>
  <c r="G6" i="16"/>
  <c r="G6" i="19"/>
  <c r="G6" i="18"/>
  <c r="A7" i="22"/>
  <c r="L6" i="18"/>
  <c r="M6" i="18"/>
  <c r="K6" i="18"/>
  <c r="J6" i="16"/>
  <c r="M6" i="17"/>
  <c r="M7" i="17" s="1"/>
  <c r="J6" i="18"/>
  <c r="J410" i="15"/>
  <c r="J411" i="15" s="1"/>
  <c r="J412" i="15" s="1"/>
  <c r="X6" i="17"/>
  <c r="X7" i="17" s="1"/>
  <c r="Y6" i="17"/>
  <c r="Y7" i="17" s="1"/>
  <c r="U6" i="17"/>
  <c r="U7" i="17" s="1"/>
  <c r="N6" i="17"/>
  <c r="N7" i="17" s="1"/>
  <c r="L6" i="16"/>
  <c r="N6" i="16"/>
  <c r="L6" i="17"/>
  <c r="L7" i="17" s="1"/>
  <c r="J6" i="17"/>
  <c r="J7" i="17" s="1"/>
  <c r="K6" i="17"/>
  <c r="K7" i="17" s="1"/>
  <c r="M6" i="16"/>
  <c r="W6" i="17"/>
  <c r="W7" i="17" s="1"/>
  <c r="N6" i="19"/>
  <c r="L6" i="19"/>
  <c r="M6" i="19"/>
  <c r="K6" i="19"/>
  <c r="K6" i="16"/>
  <c r="V6" i="17"/>
  <c r="V7" i="17" s="1"/>
  <c r="J6" i="19"/>
  <c r="N6" i="18"/>
  <c r="A3" i="22"/>
  <c r="F6" i="19"/>
  <c r="F6" i="18"/>
  <c r="F6" i="17"/>
  <c r="Q6" i="17"/>
  <c r="F6" i="16"/>
  <c r="F410" i="15"/>
  <c r="F411" i="15" s="1"/>
  <c r="F412" i="15" s="1"/>
  <c r="F432" i="15" s="1"/>
  <c r="G476" i="15"/>
  <c r="G489" i="15"/>
  <c r="G490" i="15" s="1"/>
  <c r="B110" i="24" s="1"/>
  <c r="C96" i="18" l="1"/>
  <c r="C83" i="18"/>
  <c r="C95" i="18"/>
  <c r="C82" i="18"/>
  <c r="B87" i="18"/>
  <c r="C85" i="18"/>
  <c r="C87" i="18"/>
  <c r="B85" i="18"/>
  <c r="B88" i="18"/>
  <c r="B86" i="18"/>
  <c r="C86" i="18"/>
  <c r="C88" i="18"/>
  <c r="C98" i="18"/>
  <c r="C101" i="18"/>
  <c r="B89" i="18"/>
  <c r="B90" i="18"/>
  <c r="B84" i="18"/>
  <c r="C91" i="18"/>
  <c r="C100" i="18"/>
  <c r="B92" i="18"/>
  <c r="B101" i="18"/>
  <c r="C89" i="18"/>
  <c r="C90" i="18"/>
  <c r="B99" i="18"/>
  <c r="C92" i="18"/>
  <c r="B98" i="18"/>
  <c r="B91" i="18"/>
  <c r="B100" i="18"/>
  <c r="C99" i="18"/>
  <c r="C84" i="18"/>
  <c r="B102" i="18"/>
  <c r="C102" i="18"/>
  <c r="C105" i="18"/>
  <c r="B104" i="18"/>
  <c r="B97" i="18"/>
  <c r="C103" i="18"/>
  <c r="C104" i="18"/>
  <c r="B105" i="18"/>
  <c r="B103" i="18"/>
  <c r="C97" i="18"/>
  <c r="C96" i="19"/>
  <c r="C83" i="19"/>
  <c r="C95" i="19"/>
  <c r="C82" i="19"/>
  <c r="C85" i="19"/>
  <c r="B85" i="19"/>
  <c r="B86" i="19"/>
  <c r="C101" i="19"/>
  <c r="C99" i="19"/>
  <c r="B87" i="19"/>
  <c r="C89" i="19"/>
  <c r="B92" i="19"/>
  <c r="B100" i="19"/>
  <c r="C90" i="19"/>
  <c r="B91" i="19"/>
  <c r="C92" i="19"/>
  <c r="C100" i="19"/>
  <c r="C98" i="19"/>
  <c r="B84" i="19"/>
  <c r="B89" i="19"/>
  <c r="C91" i="19"/>
  <c r="B90" i="19"/>
  <c r="B98" i="19"/>
  <c r="B99" i="19"/>
  <c r="B88" i="19"/>
  <c r="B101" i="19"/>
  <c r="C87" i="19"/>
  <c r="C88" i="19"/>
  <c r="C86" i="19"/>
  <c r="C84" i="19"/>
  <c r="B105" i="19"/>
  <c r="C102" i="19"/>
  <c r="B104" i="19"/>
  <c r="C104" i="19"/>
  <c r="C97" i="19"/>
  <c r="B103" i="19"/>
  <c r="B102" i="19"/>
  <c r="B97" i="19"/>
  <c r="C105" i="19"/>
  <c r="C103" i="19"/>
  <c r="Q7" i="17"/>
  <c r="C100" i="17"/>
  <c r="C97" i="17"/>
  <c r="B101" i="17"/>
  <c r="C98" i="17"/>
  <c r="B99" i="17"/>
  <c r="B97" i="17"/>
  <c r="B100" i="17"/>
  <c r="B98" i="17"/>
  <c r="C99" i="17"/>
  <c r="C101" i="17"/>
  <c r="B104" i="17"/>
  <c r="C103" i="17"/>
  <c r="C105" i="17"/>
  <c r="B105" i="17"/>
  <c r="C104" i="17"/>
  <c r="B102" i="17"/>
  <c r="C102" i="17"/>
  <c r="B103" i="17"/>
  <c r="G477" i="15"/>
  <c r="G478" i="15" s="1"/>
  <c r="G479" i="15" s="1"/>
  <c r="G484" i="15" s="1"/>
  <c r="B19" i="24"/>
  <c r="C95" i="17"/>
  <c r="C82" i="17"/>
  <c r="C96" i="17"/>
  <c r="C83" i="17"/>
  <c r="B88" i="17"/>
  <c r="B86" i="17"/>
  <c r="C84" i="17"/>
  <c r="C88" i="17"/>
  <c r="C87" i="17"/>
  <c r="C86" i="17"/>
  <c r="B87" i="17"/>
  <c r="B84" i="17"/>
  <c r="B85" i="17"/>
  <c r="C85" i="17"/>
  <c r="C91" i="17"/>
  <c r="B89" i="17"/>
  <c r="B92" i="17"/>
  <c r="B90" i="17"/>
  <c r="C89" i="17"/>
  <c r="C90" i="17"/>
  <c r="B91" i="17"/>
  <c r="C92" i="17"/>
  <c r="F7" i="17"/>
  <c r="F38" i="17" s="1"/>
  <c r="F39" i="17" s="1"/>
  <c r="Q8" i="17"/>
  <c r="Q9" i="17" s="1"/>
  <c r="Q25" i="17" s="1"/>
  <c r="Q27" i="17" s="1"/>
  <c r="Q28" i="17" s="1"/>
  <c r="Q38" i="17"/>
  <c r="Q39" i="17" s="1"/>
  <c r="V6" i="16"/>
  <c r="V7" i="16" s="1"/>
  <c r="K7" i="16"/>
  <c r="N7" i="19"/>
  <c r="Y6" i="19"/>
  <c r="Y7" i="19" s="1"/>
  <c r="J8" i="17"/>
  <c r="J9" i="17" s="1"/>
  <c r="J25" i="17" s="1"/>
  <c r="J26" i="17" s="1"/>
  <c r="J38" i="17"/>
  <c r="J39" i="17" s="1"/>
  <c r="N8" i="17"/>
  <c r="N9" i="17" s="1"/>
  <c r="N25" i="17" s="1"/>
  <c r="N26" i="17" s="1"/>
  <c r="N38" i="17"/>
  <c r="N39" i="17" s="1"/>
  <c r="J473" i="15"/>
  <c r="I473" i="15"/>
  <c r="H473" i="15"/>
  <c r="L473" i="15"/>
  <c r="K473" i="15"/>
  <c r="V6" i="18"/>
  <c r="V7" i="18" s="1"/>
  <c r="K7" i="18"/>
  <c r="R6" i="18"/>
  <c r="R7" i="18" s="1"/>
  <c r="G7" i="18"/>
  <c r="E473" i="15"/>
  <c r="B16" i="22"/>
  <c r="A25" i="22" s="1"/>
  <c r="F476" i="15"/>
  <c r="B18" i="24" s="1"/>
  <c r="F489" i="15"/>
  <c r="F490" i="15" s="1"/>
  <c r="B109" i="24" s="1"/>
  <c r="T6" i="19"/>
  <c r="T7" i="19" s="1"/>
  <c r="I7" i="19"/>
  <c r="Y6" i="18"/>
  <c r="Y7" i="18" s="1"/>
  <c r="N7" i="18"/>
  <c r="V6" i="19"/>
  <c r="V7" i="19" s="1"/>
  <c r="K7" i="19"/>
  <c r="W38" i="17"/>
  <c r="W39" i="17" s="1"/>
  <c r="W8" i="17"/>
  <c r="W9" i="17" s="1"/>
  <c r="W25" i="17" s="1"/>
  <c r="L38" i="17"/>
  <c r="L39" i="17" s="1"/>
  <c r="L8" i="17"/>
  <c r="L9" i="17" s="1"/>
  <c r="L25" i="17" s="1"/>
  <c r="L26" i="17" s="1"/>
  <c r="U8" i="17"/>
  <c r="U9" i="17" s="1"/>
  <c r="U25" i="17" s="1"/>
  <c r="U26" i="17" s="1"/>
  <c r="U38" i="17"/>
  <c r="U39" i="17" s="1"/>
  <c r="U6" i="18"/>
  <c r="U7" i="18" s="1"/>
  <c r="J7" i="18"/>
  <c r="X6" i="18"/>
  <c r="X7" i="18" s="1"/>
  <c r="M7" i="18"/>
  <c r="R6" i="19"/>
  <c r="R7" i="19" s="1"/>
  <c r="G7" i="19"/>
  <c r="R38" i="17"/>
  <c r="R39" i="17" s="1"/>
  <c r="R8" i="17"/>
  <c r="R9" i="17" s="1"/>
  <c r="R25" i="17" s="1"/>
  <c r="R27" i="17" s="1"/>
  <c r="R28" i="17" s="1"/>
  <c r="R33" i="17" s="1"/>
  <c r="R36" i="17" s="1"/>
  <c r="B14" i="22"/>
  <c r="B23" i="22" s="1"/>
  <c r="S6" i="18"/>
  <c r="S7" i="18" s="1"/>
  <c r="H7" i="18"/>
  <c r="T6" i="16"/>
  <c r="T7" i="16" s="1"/>
  <c r="I7" i="16"/>
  <c r="D473" i="15"/>
  <c r="D476" i="15" s="1"/>
  <c r="F434" i="15"/>
  <c r="B59" i="22"/>
  <c r="Q6" i="18"/>
  <c r="Q7" i="18" s="1"/>
  <c r="F7" i="18"/>
  <c r="U6" i="19"/>
  <c r="U7" i="19" s="1"/>
  <c r="J7" i="19"/>
  <c r="X6" i="19"/>
  <c r="X7" i="19" s="1"/>
  <c r="M7" i="19"/>
  <c r="M7" i="16"/>
  <c r="X6" i="16"/>
  <c r="X7" i="16" s="1"/>
  <c r="N7" i="16"/>
  <c r="Y6" i="16"/>
  <c r="Y7" i="16" s="1"/>
  <c r="Y38" i="17"/>
  <c r="Y39" i="17" s="1"/>
  <c r="Y8" i="17"/>
  <c r="Y9" i="17" s="1"/>
  <c r="Y25" i="17" s="1"/>
  <c r="M8" i="17"/>
  <c r="M9" i="17" s="1"/>
  <c r="M25" i="17" s="1"/>
  <c r="M26" i="17" s="1"/>
  <c r="M38" i="17"/>
  <c r="M39" i="17" s="1"/>
  <c r="W6" i="18"/>
  <c r="W7" i="18" s="1"/>
  <c r="L7" i="18"/>
  <c r="G7" i="16"/>
  <c r="R6" i="16"/>
  <c r="R7" i="16" s="1"/>
  <c r="B12" i="22"/>
  <c r="B21" i="22" s="1"/>
  <c r="S6" i="16"/>
  <c r="S7" i="16" s="1"/>
  <c r="H7" i="16"/>
  <c r="S6" i="19"/>
  <c r="S7" i="19" s="1"/>
  <c r="H7" i="19"/>
  <c r="T6" i="18"/>
  <c r="T7" i="18" s="1"/>
  <c r="I7" i="18"/>
  <c r="T38" i="17"/>
  <c r="T39" i="17" s="1"/>
  <c r="T8" i="17"/>
  <c r="T9" i="17" s="1"/>
  <c r="T25" i="17" s="1"/>
  <c r="T26" i="17" s="1"/>
  <c r="C82" i="16"/>
  <c r="C84" i="16"/>
  <c r="B97" i="16"/>
  <c r="C100" i="16"/>
  <c r="C101" i="16"/>
  <c r="C85" i="16"/>
  <c r="B104" i="16"/>
  <c r="B102" i="16"/>
  <c r="C102" i="16"/>
  <c r="B103" i="16"/>
  <c r="F7" i="16"/>
  <c r="F38" i="16" s="1"/>
  <c r="F39" i="16" s="1"/>
  <c r="B87" i="16"/>
  <c r="C99" i="16"/>
  <c r="B98" i="16"/>
  <c r="B100" i="16"/>
  <c r="C88" i="16"/>
  <c r="B90" i="16"/>
  <c r="C105" i="16"/>
  <c r="C92" i="16"/>
  <c r="C89" i="16"/>
  <c r="C83" i="16"/>
  <c r="B84" i="16"/>
  <c r="C87" i="16"/>
  <c r="B88" i="16"/>
  <c r="B99" i="16"/>
  <c r="B86" i="16"/>
  <c r="B85" i="16"/>
  <c r="C90" i="16"/>
  <c r="C91" i="16"/>
  <c r="C104" i="16"/>
  <c r="B89" i="16"/>
  <c r="Q6" i="16"/>
  <c r="Q7" i="16" s="1"/>
  <c r="C96" i="16"/>
  <c r="C95" i="16"/>
  <c r="C97" i="16"/>
  <c r="B101" i="16"/>
  <c r="C98" i="16"/>
  <c r="C86" i="16"/>
  <c r="B92" i="16"/>
  <c r="B91" i="16"/>
  <c r="C103" i="16"/>
  <c r="B105" i="16"/>
  <c r="Q6" i="19"/>
  <c r="Q7" i="19" s="1"/>
  <c r="F7" i="19"/>
  <c r="V38" i="17"/>
  <c r="V39" i="17" s="1"/>
  <c r="V8" i="17"/>
  <c r="V9" i="17" s="1"/>
  <c r="V25" i="17" s="1"/>
  <c r="W6" i="19"/>
  <c r="W7" i="19" s="1"/>
  <c r="L7" i="19"/>
  <c r="K38" i="17"/>
  <c r="K39" i="17" s="1"/>
  <c r="K8" i="17"/>
  <c r="K9" i="17" s="1"/>
  <c r="K25" i="17" s="1"/>
  <c r="W6" i="16"/>
  <c r="W7" i="16" s="1"/>
  <c r="L7" i="16"/>
  <c r="X8" i="17"/>
  <c r="X9" i="17" s="1"/>
  <c r="X25" i="17" s="1"/>
  <c r="X38" i="17"/>
  <c r="X39" i="17" s="1"/>
  <c r="U6" i="16"/>
  <c r="U7" i="16" s="1"/>
  <c r="J7" i="16"/>
  <c r="G38" i="17"/>
  <c r="G39" i="17" s="1"/>
  <c r="G8" i="17"/>
  <c r="G9" i="17" s="1"/>
  <c r="G25" i="17" s="1"/>
  <c r="B15" i="22"/>
  <c r="B24" i="22" s="1"/>
  <c r="B13" i="22"/>
  <c r="B22" i="22" s="1"/>
  <c r="S38" i="17"/>
  <c r="S39" i="17" s="1"/>
  <c r="S8" i="17"/>
  <c r="S9" i="17" s="1"/>
  <c r="S25" i="17" s="1"/>
  <c r="S26" i="17" s="1"/>
  <c r="H8" i="17"/>
  <c r="H9" i="17" s="1"/>
  <c r="H25" i="17" s="1"/>
  <c r="H26" i="17" s="1"/>
  <c r="H38" i="17"/>
  <c r="H39" i="17" s="1"/>
  <c r="I38" i="17"/>
  <c r="I39" i="17" s="1"/>
  <c r="I8" i="17"/>
  <c r="I9" i="17" s="1"/>
  <c r="I25" i="17" s="1"/>
  <c r="F508" i="15"/>
  <c r="G492" i="15" s="1"/>
  <c r="G493" i="15" l="1"/>
  <c r="B124" i="24" s="1"/>
  <c r="B138" i="24"/>
  <c r="B460" i="17"/>
  <c r="C122" i="17"/>
  <c r="C148" i="17" s="1"/>
  <c r="C460" i="17"/>
  <c r="B468" i="17"/>
  <c r="C468" i="17"/>
  <c r="C130" i="17"/>
  <c r="C156" i="17" s="1"/>
  <c r="C286" i="17" s="1"/>
  <c r="C129" i="19"/>
  <c r="C155" i="19" s="1"/>
  <c r="C285" i="19" s="1"/>
  <c r="B467" i="19"/>
  <c r="C467" i="19"/>
  <c r="C154" i="19"/>
  <c r="C284" i="19" s="1"/>
  <c r="C128" i="19"/>
  <c r="B466" i="19"/>
  <c r="C466" i="19"/>
  <c r="C140" i="19"/>
  <c r="C270" i="19" s="1"/>
  <c r="C114" i="19"/>
  <c r="C452" i="19"/>
  <c r="B452" i="19"/>
  <c r="C456" i="19"/>
  <c r="B456" i="19"/>
  <c r="C118" i="19"/>
  <c r="C144" i="19" s="1"/>
  <c r="C274" i="19" s="1"/>
  <c r="B465" i="19"/>
  <c r="C465" i="19"/>
  <c r="C127" i="19"/>
  <c r="C153" i="19" s="1"/>
  <c r="C283" i="19" s="1"/>
  <c r="C446" i="19"/>
  <c r="B446" i="19"/>
  <c r="C108" i="19"/>
  <c r="C134" i="19" s="1"/>
  <c r="C264" i="19" s="1"/>
  <c r="B461" i="18"/>
  <c r="C461" i="18"/>
  <c r="C123" i="18"/>
  <c r="C149" i="18" s="1"/>
  <c r="C279" i="18" s="1"/>
  <c r="C129" i="18"/>
  <c r="C155" i="18" s="1"/>
  <c r="C285" i="18" s="1"/>
  <c r="B467" i="18"/>
  <c r="C467" i="18"/>
  <c r="B466" i="18"/>
  <c r="C466" i="18"/>
  <c r="C128" i="18"/>
  <c r="C154" i="18" s="1"/>
  <c r="C284" i="18" s="1"/>
  <c r="B452" i="18"/>
  <c r="C140" i="18"/>
  <c r="C270" i="18" s="1"/>
  <c r="C114" i="18"/>
  <c r="C452" i="18"/>
  <c r="B446" i="18"/>
  <c r="C108" i="18"/>
  <c r="C134" i="18" s="1"/>
  <c r="C264" i="18" s="1"/>
  <c r="C446" i="18"/>
  <c r="D478" i="15"/>
  <c r="D479" i="15" s="1"/>
  <c r="B16" i="24"/>
  <c r="B42" i="24" s="1"/>
  <c r="B55" i="24" s="1"/>
  <c r="B68" i="24" s="1"/>
  <c r="F8" i="17"/>
  <c r="F9" i="17" s="1"/>
  <c r="F25" i="17" s="1"/>
  <c r="F27" i="17" s="1"/>
  <c r="F28" i="17" s="1"/>
  <c r="F33" i="17" s="1"/>
  <c r="F50" i="17" s="1"/>
  <c r="F52" i="17" s="1"/>
  <c r="F53" i="17" s="1"/>
  <c r="C456" i="17"/>
  <c r="B456" i="17"/>
  <c r="C118" i="17"/>
  <c r="C144" i="17" s="1"/>
  <c r="C274" i="17" s="1"/>
  <c r="B449" i="17"/>
  <c r="C111" i="17"/>
  <c r="C137" i="17" s="1"/>
  <c r="C267" i="17" s="1"/>
  <c r="C449" i="17"/>
  <c r="C450" i="17"/>
  <c r="B450" i="17"/>
  <c r="C112" i="17"/>
  <c r="C138" i="17" s="1"/>
  <c r="C268" i="17" s="1"/>
  <c r="C446" i="17"/>
  <c r="C108" i="17"/>
  <c r="C134" i="17" s="1"/>
  <c r="C264" i="17" s="1"/>
  <c r="B446" i="17"/>
  <c r="C127" i="17"/>
  <c r="C153" i="17" s="1"/>
  <c r="C283" i="17" s="1"/>
  <c r="B465" i="17"/>
  <c r="C465" i="17"/>
  <c r="C461" i="17"/>
  <c r="C123" i="17"/>
  <c r="C149" i="17" s="1"/>
  <c r="C279" i="17" s="1"/>
  <c r="B461" i="17"/>
  <c r="B469" i="19"/>
  <c r="C469" i="19"/>
  <c r="C131" i="19"/>
  <c r="C157" i="19" s="1"/>
  <c r="C287" i="19" s="1"/>
  <c r="C461" i="19"/>
  <c r="C123" i="19"/>
  <c r="C149" i="19" s="1"/>
  <c r="C279" i="19" s="1"/>
  <c r="B461" i="19"/>
  <c r="C451" i="19"/>
  <c r="C113" i="19"/>
  <c r="C139" i="19" s="1"/>
  <c r="C269" i="19" s="1"/>
  <c r="B451" i="19"/>
  <c r="B453" i="19"/>
  <c r="C453" i="19"/>
  <c r="C115" i="19"/>
  <c r="C141" i="19" s="1"/>
  <c r="C271" i="19" s="1"/>
  <c r="B459" i="19"/>
  <c r="C121" i="19"/>
  <c r="C147" i="19" s="1"/>
  <c r="C277" i="19" s="1"/>
  <c r="C459" i="19"/>
  <c r="C116" i="18"/>
  <c r="C142" i="18" s="1"/>
  <c r="C272" i="18" s="1"/>
  <c r="C454" i="18"/>
  <c r="B454" i="18"/>
  <c r="B464" i="18"/>
  <c r="C464" i="18"/>
  <c r="C126" i="18"/>
  <c r="C152" i="18" s="1"/>
  <c r="C282" i="18" s="1"/>
  <c r="C450" i="18"/>
  <c r="B450" i="18"/>
  <c r="C112" i="18"/>
  <c r="C138" i="18" s="1"/>
  <c r="C268" i="18" s="1"/>
  <c r="C451" i="18"/>
  <c r="B451" i="18"/>
  <c r="C113" i="18"/>
  <c r="C139" i="18" s="1"/>
  <c r="C269" i="18" s="1"/>
  <c r="B459" i="18"/>
  <c r="C121" i="18"/>
  <c r="C147" i="18" s="1"/>
  <c r="C277" i="18" s="1"/>
  <c r="C459" i="18"/>
  <c r="C141" i="17"/>
  <c r="C271" i="17" s="1"/>
  <c r="C115" i="17"/>
  <c r="C453" i="17"/>
  <c r="B453" i="17"/>
  <c r="C455" i="17"/>
  <c r="B455" i="17"/>
  <c r="C143" i="17"/>
  <c r="C273" i="17" s="1"/>
  <c r="C117" i="17"/>
  <c r="B448" i="17"/>
  <c r="C110" i="17"/>
  <c r="C136" i="17" s="1"/>
  <c r="C266" i="17" s="1"/>
  <c r="C448" i="17"/>
  <c r="B31" i="24"/>
  <c r="B44" i="24" s="1"/>
  <c r="B57" i="24" s="1"/>
  <c r="B70" i="24" s="1"/>
  <c r="O40" i="17"/>
  <c r="C113" i="17"/>
  <c r="C139" i="17" s="1"/>
  <c r="C269" i="17" s="1"/>
  <c r="C451" i="17"/>
  <c r="B451" i="17"/>
  <c r="C459" i="17"/>
  <c r="C147" i="17"/>
  <c r="C277" i="17" s="1"/>
  <c r="B459" i="17"/>
  <c r="C121" i="17"/>
  <c r="B466" i="17"/>
  <c r="C466" i="17"/>
  <c r="C128" i="17"/>
  <c r="C154" i="17" s="1"/>
  <c r="C284" i="17" s="1"/>
  <c r="B469" i="17"/>
  <c r="C469" i="17"/>
  <c r="C131" i="17"/>
  <c r="C157" i="17" s="1"/>
  <c r="C287" i="17" s="1"/>
  <c r="B463" i="17"/>
  <c r="C463" i="17"/>
  <c r="C125" i="17"/>
  <c r="C151" i="17" s="1"/>
  <c r="C281" i="17" s="1"/>
  <c r="C464" i="17"/>
  <c r="C126" i="17"/>
  <c r="C152" i="17" s="1"/>
  <c r="C282" i="17" s="1"/>
  <c r="B464" i="17"/>
  <c r="C130" i="19"/>
  <c r="C156" i="19" s="1"/>
  <c r="C286" i="19" s="1"/>
  <c r="B468" i="19"/>
  <c r="C468" i="19"/>
  <c r="C448" i="19"/>
  <c r="B448" i="19"/>
  <c r="C110" i="19"/>
  <c r="C136" i="19" s="1"/>
  <c r="C266" i="19" s="1"/>
  <c r="B462" i="19"/>
  <c r="C124" i="19"/>
  <c r="C150" i="19" s="1"/>
  <c r="C280" i="19" s="1"/>
  <c r="C462" i="19"/>
  <c r="C454" i="19"/>
  <c r="B454" i="19"/>
  <c r="C116" i="19"/>
  <c r="C142" i="19" s="1"/>
  <c r="C272" i="19" s="1"/>
  <c r="B447" i="19"/>
  <c r="C109" i="19"/>
  <c r="C135" i="19" s="1"/>
  <c r="C265" i="19" s="1"/>
  <c r="C447" i="19"/>
  <c r="B448" i="18"/>
  <c r="C110" i="18"/>
  <c r="C136" i="18" s="1"/>
  <c r="C266" i="18" s="1"/>
  <c r="C448" i="18"/>
  <c r="C453" i="18"/>
  <c r="C115" i="18"/>
  <c r="C141" i="18" s="1"/>
  <c r="C271" i="18" s="1"/>
  <c r="B453" i="18"/>
  <c r="B455" i="18"/>
  <c r="C117" i="18"/>
  <c r="C143" i="18" s="1"/>
  <c r="C273" i="18" s="1"/>
  <c r="C455" i="18"/>
  <c r="B465" i="18"/>
  <c r="C465" i="18"/>
  <c r="C127" i="18"/>
  <c r="C153" i="18" s="1"/>
  <c r="C283" i="18" s="1"/>
  <c r="C137" i="18"/>
  <c r="C267" i="18" s="1"/>
  <c r="C111" i="18"/>
  <c r="B449" i="18"/>
  <c r="C449" i="18"/>
  <c r="B447" i="18"/>
  <c r="C109" i="18"/>
  <c r="C135" i="18" s="1"/>
  <c r="C265" i="18" s="1"/>
  <c r="C447" i="18"/>
  <c r="Q33" i="17"/>
  <c r="Q36" i="17" s="1"/>
  <c r="Q37" i="17" s="1"/>
  <c r="R37" i="17" s="1"/>
  <c r="S37" i="17" s="1"/>
  <c r="T37" i="17" s="1"/>
  <c r="B454" i="17"/>
  <c r="C116" i="17"/>
  <c r="C142" i="17" s="1"/>
  <c r="C272" i="17" s="1"/>
  <c r="C454" i="17"/>
  <c r="B452" i="17"/>
  <c r="C114" i="17"/>
  <c r="C140" i="17" s="1"/>
  <c r="C270" i="17" s="1"/>
  <c r="C452" i="17"/>
  <c r="B447" i="17"/>
  <c r="C447" i="17"/>
  <c r="C109" i="17"/>
  <c r="C135" i="17" s="1"/>
  <c r="C265" i="17" s="1"/>
  <c r="B45" i="24"/>
  <c r="B58" i="24" s="1"/>
  <c r="B71" i="24" s="1"/>
  <c r="B32" i="24"/>
  <c r="C467" i="17"/>
  <c r="C129" i="17"/>
  <c r="C155" i="17" s="1"/>
  <c r="C285" i="17" s="1"/>
  <c r="B467" i="17"/>
  <c r="B462" i="17"/>
  <c r="C462" i="17"/>
  <c r="C124" i="17"/>
  <c r="C150" i="17" s="1"/>
  <c r="C280" i="17" s="1"/>
  <c r="C138" i="19"/>
  <c r="C268" i="19" s="1"/>
  <c r="C112" i="19"/>
  <c r="C450" i="19"/>
  <c r="B450" i="19"/>
  <c r="B455" i="19"/>
  <c r="C117" i="19"/>
  <c r="C143" i="19" s="1"/>
  <c r="C273" i="19" s="1"/>
  <c r="C455" i="19"/>
  <c r="C126" i="19"/>
  <c r="C152" i="19" s="1"/>
  <c r="C282" i="19" s="1"/>
  <c r="B464" i="19"/>
  <c r="C464" i="19"/>
  <c r="C463" i="19"/>
  <c r="C125" i="19"/>
  <c r="C151" i="19" s="1"/>
  <c r="C281" i="19" s="1"/>
  <c r="B463" i="19"/>
  <c r="B449" i="19"/>
  <c r="C111" i="19"/>
  <c r="C137" i="19" s="1"/>
  <c r="C267" i="19" s="1"/>
  <c r="C449" i="19"/>
  <c r="C460" i="19"/>
  <c r="C148" i="19"/>
  <c r="C278" i="19" s="1"/>
  <c r="C122" i="19"/>
  <c r="B460" i="19"/>
  <c r="C468" i="18"/>
  <c r="C156" i="18"/>
  <c r="C286" i="18" s="1"/>
  <c r="C130" i="18"/>
  <c r="B468" i="18"/>
  <c r="C131" i="18"/>
  <c r="C157" i="18" s="1"/>
  <c r="C287" i="18" s="1"/>
  <c r="B469" i="18"/>
  <c r="C469" i="18"/>
  <c r="B463" i="18"/>
  <c r="C463" i="18"/>
  <c r="C125" i="18"/>
  <c r="C151" i="18" s="1"/>
  <c r="C281" i="18" s="1"/>
  <c r="C456" i="18"/>
  <c r="B456" i="18"/>
  <c r="C118" i="18"/>
  <c r="C144" i="18" s="1"/>
  <c r="C274" i="18" s="1"/>
  <c r="C462" i="18"/>
  <c r="B462" i="18"/>
  <c r="C150" i="18"/>
  <c r="C280" i="18" s="1"/>
  <c r="C124" i="18"/>
  <c r="C122" i="18"/>
  <c r="C148" i="18" s="1"/>
  <c r="C278" i="18" s="1"/>
  <c r="B460" i="18"/>
  <c r="C460" i="18"/>
  <c r="B454" i="16"/>
  <c r="C454" i="16"/>
  <c r="C115" i="16"/>
  <c r="C141" i="16" s="1"/>
  <c r="C271" i="16" s="1"/>
  <c r="C453" i="16"/>
  <c r="B453" i="16"/>
  <c r="C114" i="16"/>
  <c r="C140" i="16" s="1"/>
  <c r="C270" i="16" s="1"/>
  <c r="B452" i="16"/>
  <c r="C452" i="16"/>
  <c r="C126" i="16"/>
  <c r="C152" i="16" s="1"/>
  <c r="C282" i="16" s="1"/>
  <c r="C464" i="16"/>
  <c r="B464" i="16"/>
  <c r="C113" i="16"/>
  <c r="C139" i="16" s="1"/>
  <c r="C269" i="16" s="1"/>
  <c r="B451" i="16"/>
  <c r="C451" i="16"/>
  <c r="B456" i="16"/>
  <c r="C456" i="16"/>
  <c r="B461" i="16"/>
  <c r="C461" i="16"/>
  <c r="C112" i="16"/>
  <c r="C138" i="16" s="1"/>
  <c r="C268" i="16" s="1"/>
  <c r="C450" i="16"/>
  <c r="B450" i="16"/>
  <c r="C121" i="16"/>
  <c r="C147" i="16" s="1"/>
  <c r="B459" i="16"/>
  <c r="C459" i="16"/>
  <c r="C130" i="16"/>
  <c r="C156" i="16" s="1"/>
  <c r="C286" i="16" s="1"/>
  <c r="C468" i="16"/>
  <c r="B468" i="16"/>
  <c r="B469" i="16"/>
  <c r="C469" i="16"/>
  <c r="C111" i="16"/>
  <c r="C137" i="16" s="1"/>
  <c r="C267" i="16" s="1"/>
  <c r="B449" i="16"/>
  <c r="C449" i="16"/>
  <c r="B448" i="16"/>
  <c r="C448" i="16"/>
  <c r="C467" i="16"/>
  <c r="B467" i="16"/>
  <c r="B462" i="16"/>
  <c r="C462" i="16"/>
  <c r="C122" i="16"/>
  <c r="C148" i="16" s="1"/>
  <c r="C460" i="16"/>
  <c r="B460" i="16"/>
  <c r="C117" i="16"/>
  <c r="C143" i="16" s="1"/>
  <c r="C273" i="16" s="1"/>
  <c r="B455" i="16"/>
  <c r="C455" i="16"/>
  <c r="C109" i="16"/>
  <c r="C135" i="16" s="1"/>
  <c r="C265" i="16" s="1"/>
  <c r="B447" i="16"/>
  <c r="C447" i="16"/>
  <c r="C125" i="16"/>
  <c r="C151" i="16" s="1"/>
  <c r="C281" i="16" s="1"/>
  <c r="C463" i="16"/>
  <c r="B463" i="16"/>
  <c r="B466" i="16"/>
  <c r="C466" i="16"/>
  <c r="C127" i="16"/>
  <c r="C153" i="16" s="1"/>
  <c r="C283" i="16" s="1"/>
  <c r="B465" i="16"/>
  <c r="C465" i="16"/>
  <c r="C108" i="16"/>
  <c r="C134" i="16" s="1"/>
  <c r="C264" i="16" s="1"/>
  <c r="B446" i="16"/>
  <c r="C446" i="16"/>
  <c r="A22" i="22"/>
  <c r="A21" i="22"/>
  <c r="A24" i="22"/>
  <c r="A23" i="22"/>
  <c r="J38" i="16"/>
  <c r="J39" i="16" s="1"/>
  <c r="J8" i="16"/>
  <c r="J9" i="16" s="1"/>
  <c r="J25" i="16" s="1"/>
  <c r="L8" i="16"/>
  <c r="L9" i="16" s="1"/>
  <c r="L25" i="16" s="1"/>
  <c r="L38" i="16"/>
  <c r="L39" i="16" s="1"/>
  <c r="L38" i="19"/>
  <c r="L39" i="19" s="1"/>
  <c r="L8" i="19"/>
  <c r="L9" i="19" s="1"/>
  <c r="L25" i="19" s="1"/>
  <c r="F8" i="19"/>
  <c r="F9" i="19" s="1"/>
  <c r="F25" i="19" s="1"/>
  <c r="F27" i="19" s="1"/>
  <c r="F28" i="19" s="1"/>
  <c r="F33" i="19" s="1"/>
  <c r="F38" i="19"/>
  <c r="F39" i="19" s="1"/>
  <c r="Q38" i="16"/>
  <c r="Q39" i="16" s="1"/>
  <c r="Q8" i="16"/>
  <c r="Q9" i="16" s="1"/>
  <c r="Q25" i="16" s="1"/>
  <c r="Q27" i="16" s="1"/>
  <c r="Q28" i="16" s="1"/>
  <c r="Q33" i="16" s="1"/>
  <c r="Q36" i="16" s="1"/>
  <c r="Q37" i="16" s="1"/>
  <c r="C116" i="16"/>
  <c r="C142" i="16" s="1"/>
  <c r="C272" i="16" s="1"/>
  <c r="T27" i="17"/>
  <c r="T28" i="17" s="1"/>
  <c r="T33" i="17" s="1"/>
  <c r="T36" i="17" s="1"/>
  <c r="T41" i="17"/>
  <c r="T42" i="17" s="1"/>
  <c r="H38" i="19"/>
  <c r="H39" i="19" s="1"/>
  <c r="H8" i="19"/>
  <c r="H9" i="19" s="1"/>
  <c r="H25" i="19" s="1"/>
  <c r="L38" i="18"/>
  <c r="L39" i="18" s="1"/>
  <c r="L8" i="18"/>
  <c r="L9" i="18" s="1"/>
  <c r="L25" i="18" s="1"/>
  <c r="Y26" i="17"/>
  <c r="Y41" i="17" s="1"/>
  <c r="Y42" i="17" s="1"/>
  <c r="X38" i="16"/>
  <c r="X39" i="16" s="1"/>
  <c r="X8" i="16"/>
  <c r="X9" i="16" s="1"/>
  <c r="X25" i="16" s="1"/>
  <c r="J8" i="19"/>
  <c r="J9" i="19" s="1"/>
  <c r="J25" i="19" s="1"/>
  <c r="J38" i="19"/>
  <c r="J39" i="19" s="1"/>
  <c r="B68" i="22"/>
  <c r="A77" i="22"/>
  <c r="A68" i="22"/>
  <c r="T38" i="16"/>
  <c r="T39" i="16" s="1"/>
  <c r="T8" i="16"/>
  <c r="T9" i="16" s="1"/>
  <c r="T25" i="16" s="1"/>
  <c r="R38" i="19"/>
  <c r="R39" i="19" s="1"/>
  <c r="R8" i="19"/>
  <c r="R9" i="19" s="1"/>
  <c r="R25" i="19" s="1"/>
  <c r="R27" i="19" s="1"/>
  <c r="R28" i="19" s="1"/>
  <c r="R33" i="19" s="1"/>
  <c r="R36" i="19" s="1"/>
  <c r="U8" i="18"/>
  <c r="U9" i="18" s="1"/>
  <c r="U25" i="18" s="1"/>
  <c r="U38" i="18"/>
  <c r="U39" i="18" s="1"/>
  <c r="V8" i="19"/>
  <c r="V9" i="19" s="1"/>
  <c r="V25" i="19" s="1"/>
  <c r="V38" i="19"/>
  <c r="V39" i="19" s="1"/>
  <c r="D40" i="17"/>
  <c r="F477" i="15"/>
  <c r="E508" i="15" s="1"/>
  <c r="F492" i="15" s="1"/>
  <c r="F478" i="15"/>
  <c r="F479" i="15" s="1"/>
  <c r="F484" i="15" s="1"/>
  <c r="E476" i="15"/>
  <c r="B17" i="24" s="1"/>
  <c r="E489" i="15"/>
  <c r="E490" i="15" s="1"/>
  <c r="B108" i="24" s="1"/>
  <c r="V38" i="18"/>
  <c r="V39" i="18" s="1"/>
  <c r="V8" i="18"/>
  <c r="V9" i="18" s="1"/>
  <c r="V25" i="18" s="1"/>
  <c r="I476" i="15"/>
  <c r="B21" i="24" s="1"/>
  <c r="I489" i="15"/>
  <c r="I490" i="15" s="1"/>
  <c r="B112" i="24" s="1"/>
  <c r="K8" i="16"/>
  <c r="K9" i="16" s="1"/>
  <c r="K25" i="16" s="1"/>
  <c r="K38" i="16"/>
  <c r="K39" i="16" s="1"/>
  <c r="U38" i="16"/>
  <c r="U39" i="16" s="1"/>
  <c r="U8" i="16"/>
  <c r="U9" i="16" s="1"/>
  <c r="U25" i="16" s="1"/>
  <c r="W38" i="16"/>
  <c r="W39" i="16" s="1"/>
  <c r="W8" i="16"/>
  <c r="W9" i="16" s="1"/>
  <c r="W25" i="16" s="1"/>
  <c r="W38" i="19"/>
  <c r="W39" i="19" s="1"/>
  <c r="W8" i="19"/>
  <c r="W9" i="19" s="1"/>
  <c r="W25" i="19" s="1"/>
  <c r="Q38" i="19"/>
  <c r="Q39" i="19" s="1"/>
  <c r="Q8" i="19"/>
  <c r="Q9" i="19" s="1"/>
  <c r="Q25" i="19" s="1"/>
  <c r="Q27" i="19" s="1"/>
  <c r="Q28" i="19" s="1"/>
  <c r="Q33" i="19" s="1"/>
  <c r="Q36" i="19" s="1"/>
  <c r="Q37" i="19" s="1"/>
  <c r="C123" i="16"/>
  <c r="C149" i="16" s="1"/>
  <c r="C279" i="16" s="1"/>
  <c r="C118" i="16"/>
  <c r="C144" i="16" s="1"/>
  <c r="C274" i="16" s="1"/>
  <c r="F8" i="16"/>
  <c r="F9" i="16" s="1"/>
  <c r="S38" i="19"/>
  <c r="S39" i="19" s="1"/>
  <c r="S8" i="19"/>
  <c r="S9" i="19" s="1"/>
  <c r="S25" i="19" s="1"/>
  <c r="W38" i="18"/>
  <c r="W39" i="18" s="1"/>
  <c r="W8" i="18"/>
  <c r="W9" i="18" s="1"/>
  <c r="W25" i="18" s="1"/>
  <c r="M38" i="16"/>
  <c r="M39" i="16" s="1"/>
  <c r="M8" i="16"/>
  <c r="M9" i="16" s="1"/>
  <c r="M25" i="16" s="1"/>
  <c r="U38" i="19"/>
  <c r="U39" i="19" s="1"/>
  <c r="U8" i="19"/>
  <c r="U9" i="19" s="1"/>
  <c r="U25" i="19" s="1"/>
  <c r="B77" i="22"/>
  <c r="F435" i="15"/>
  <c r="E464" i="15" s="1"/>
  <c r="H8" i="18"/>
  <c r="H9" i="18" s="1"/>
  <c r="H25" i="18" s="1"/>
  <c r="H38" i="18"/>
  <c r="H39" i="18" s="1"/>
  <c r="M38" i="18"/>
  <c r="M39" i="18" s="1"/>
  <c r="M8" i="18"/>
  <c r="M9" i="18" s="1"/>
  <c r="M25" i="18" s="1"/>
  <c r="W26" i="17"/>
  <c r="W41" i="17" s="1"/>
  <c r="W42" i="17" s="1"/>
  <c r="N38" i="18"/>
  <c r="N39" i="18" s="1"/>
  <c r="N8" i="18"/>
  <c r="N9" i="18" s="1"/>
  <c r="N25" i="18" s="1"/>
  <c r="I8" i="19"/>
  <c r="I9" i="19" s="1"/>
  <c r="I25" i="19" s="1"/>
  <c r="I38" i="19"/>
  <c r="I39" i="19" s="1"/>
  <c r="B25" i="22"/>
  <c r="G38" i="18"/>
  <c r="G39" i="18" s="1"/>
  <c r="G8" i="18"/>
  <c r="G9" i="18" s="1"/>
  <c r="G25" i="18" s="1"/>
  <c r="K476" i="15"/>
  <c r="K489" i="15"/>
  <c r="K490" i="15" s="1"/>
  <c r="B114" i="24" s="1"/>
  <c r="J476" i="15"/>
  <c r="J489" i="15"/>
  <c r="J490" i="15" s="1"/>
  <c r="B113" i="24" s="1"/>
  <c r="J27" i="17"/>
  <c r="J28" i="17" s="1"/>
  <c r="J33" i="17" s="1"/>
  <c r="J41" i="17"/>
  <c r="J42" i="17" s="1"/>
  <c r="V8" i="16"/>
  <c r="V9" i="16" s="1"/>
  <c r="V25" i="16" s="1"/>
  <c r="V38" i="16"/>
  <c r="V39" i="16" s="1"/>
  <c r="H27" i="17"/>
  <c r="H28" i="17" s="1"/>
  <c r="H33" i="17" s="1"/>
  <c r="H41" i="17"/>
  <c r="H42" i="17" s="1"/>
  <c r="G26" i="17"/>
  <c r="G41" i="17" s="1"/>
  <c r="G42" i="17" s="1"/>
  <c r="K26" i="17"/>
  <c r="K41" i="17" s="1"/>
  <c r="K42" i="17" s="1"/>
  <c r="V26" i="17"/>
  <c r="V41" i="17" s="1"/>
  <c r="V42" i="17" s="1"/>
  <c r="C131" i="16"/>
  <c r="C157" i="16" s="1"/>
  <c r="C287" i="16" s="1"/>
  <c r="C110" i="16"/>
  <c r="C136" i="16" s="1"/>
  <c r="C266" i="16" s="1"/>
  <c r="I38" i="18"/>
  <c r="I39" i="18" s="1"/>
  <c r="I8" i="18"/>
  <c r="I9" i="18" s="1"/>
  <c r="I25" i="18" s="1"/>
  <c r="H38" i="16"/>
  <c r="H39" i="16" s="1"/>
  <c r="H8" i="16"/>
  <c r="H9" i="16" s="1"/>
  <c r="H25" i="16" s="1"/>
  <c r="R8" i="16"/>
  <c r="R9" i="16" s="1"/>
  <c r="R25" i="16" s="1"/>
  <c r="R27" i="16" s="1"/>
  <c r="R28" i="16" s="1"/>
  <c r="R33" i="16" s="1"/>
  <c r="R36" i="16" s="1"/>
  <c r="R38" i="16"/>
  <c r="R39" i="16" s="1"/>
  <c r="Y8" i="16"/>
  <c r="Y9" i="16" s="1"/>
  <c r="Y25" i="16" s="1"/>
  <c r="Y38" i="16"/>
  <c r="Y39" i="16" s="1"/>
  <c r="M8" i="19"/>
  <c r="M9" i="19" s="1"/>
  <c r="M25" i="19" s="1"/>
  <c r="M38" i="19"/>
  <c r="M39" i="19" s="1"/>
  <c r="F38" i="18"/>
  <c r="F39" i="18" s="1"/>
  <c r="F8" i="18"/>
  <c r="F9" i="18" s="1"/>
  <c r="F25" i="18" s="1"/>
  <c r="F27" i="18" s="1"/>
  <c r="F28" i="18" s="1"/>
  <c r="F33" i="18" s="1"/>
  <c r="D489" i="15"/>
  <c r="D490" i="15" s="1"/>
  <c r="B107" i="24" s="1"/>
  <c r="D484" i="15"/>
  <c r="S8" i="18"/>
  <c r="S9" i="18" s="1"/>
  <c r="S25" i="18" s="1"/>
  <c r="S38" i="18"/>
  <c r="S39" i="18" s="1"/>
  <c r="X38" i="18"/>
  <c r="X39" i="18" s="1"/>
  <c r="X8" i="18"/>
  <c r="X9" i="18" s="1"/>
  <c r="X25" i="18" s="1"/>
  <c r="U27" i="17"/>
  <c r="U28" i="17" s="1"/>
  <c r="U33" i="17" s="1"/>
  <c r="U36" i="17" s="1"/>
  <c r="U41" i="17"/>
  <c r="U42" i="17" s="1"/>
  <c r="Y8" i="18"/>
  <c r="Y9" i="18" s="1"/>
  <c r="Y25" i="18" s="1"/>
  <c r="Y38" i="18"/>
  <c r="Y39" i="18" s="1"/>
  <c r="T38" i="19"/>
  <c r="T39" i="19" s="1"/>
  <c r="T8" i="19"/>
  <c r="T9" i="19" s="1"/>
  <c r="T25" i="19" s="1"/>
  <c r="R8" i="18"/>
  <c r="R9" i="18" s="1"/>
  <c r="R25" i="18" s="1"/>
  <c r="R27" i="18" s="1"/>
  <c r="R28" i="18" s="1"/>
  <c r="R33" i="18" s="1"/>
  <c r="R36" i="18" s="1"/>
  <c r="R38" i="18"/>
  <c r="R39" i="18" s="1"/>
  <c r="L476" i="15"/>
  <c r="L489" i="15"/>
  <c r="L490" i="15" s="1"/>
  <c r="B115" i="24" s="1"/>
  <c r="Y8" i="19"/>
  <c r="Y9" i="19" s="1"/>
  <c r="Y25" i="19" s="1"/>
  <c r="Y38" i="19"/>
  <c r="Y39" i="19" s="1"/>
  <c r="I26" i="17"/>
  <c r="I41" i="17" s="1"/>
  <c r="I42" i="17" s="1"/>
  <c r="S27" i="17"/>
  <c r="S28" i="17" s="1"/>
  <c r="S33" i="17" s="1"/>
  <c r="S36" i="17" s="1"/>
  <c r="S41" i="17"/>
  <c r="S42" i="17" s="1"/>
  <c r="X26" i="17"/>
  <c r="X41" i="17" s="1"/>
  <c r="X42" i="17" s="1"/>
  <c r="C129" i="16"/>
  <c r="C155" i="16" s="1"/>
  <c r="C285" i="16" s="1"/>
  <c r="C124" i="16"/>
  <c r="C150" i="16" s="1"/>
  <c r="C280" i="16" s="1"/>
  <c r="C128" i="16"/>
  <c r="C154" i="16" s="1"/>
  <c r="C284" i="16" s="1"/>
  <c r="T8" i="18"/>
  <c r="T9" i="18" s="1"/>
  <c r="T25" i="18" s="1"/>
  <c r="T38" i="18"/>
  <c r="T39" i="18" s="1"/>
  <c r="S38" i="16"/>
  <c r="S39" i="16" s="1"/>
  <c r="S8" i="16"/>
  <c r="S9" i="16" s="1"/>
  <c r="S25" i="16" s="1"/>
  <c r="G8" i="16"/>
  <c r="G9" i="16" s="1"/>
  <c r="G25" i="16" s="1"/>
  <c r="G38" i="16"/>
  <c r="G39" i="16" s="1"/>
  <c r="M27" i="17"/>
  <c r="M28" i="17" s="1"/>
  <c r="M33" i="17" s="1"/>
  <c r="M41" i="17"/>
  <c r="M42" i="17" s="1"/>
  <c r="N38" i="16"/>
  <c r="N39" i="16" s="1"/>
  <c r="N8" i="16"/>
  <c r="N9" i="16" s="1"/>
  <c r="N25" i="16" s="1"/>
  <c r="X38" i="19"/>
  <c r="X39" i="19" s="1"/>
  <c r="X8" i="19"/>
  <c r="X9" i="19" s="1"/>
  <c r="X25" i="19" s="1"/>
  <c r="Q38" i="18"/>
  <c r="Q39" i="18" s="1"/>
  <c r="Q8" i="18"/>
  <c r="Q9" i="18" s="1"/>
  <c r="Q25" i="18" s="1"/>
  <c r="Q27" i="18" s="1"/>
  <c r="Q28" i="18" s="1"/>
  <c r="Q33" i="18" s="1"/>
  <c r="Q36" i="18" s="1"/>
  <c r="Q37" i="18" s="1"/>
  <c r="I38" i="16"/>
  <c r="I39" i="16" s="1"/>
  <c r="I8" i="16"/>
  <c r="I9" i="16" s="1"/>
  <c r="I25" i="16" s="1"/>
  <c r="G8" i="19"/>
  <c r="G9" i="19" s="1"/>
  <c r="G25" i="19" s="1"/>
  <c r="G38" i="19"/>
  <c r="G39" i="19" s="1"/>
  <c r="J8" i="18"/>
  <c r="J9" i="18" s="1"/>
  <c r="J25" i="18" s="1"/>
  <c r="J38" i="18"/>
  <c r="J39" i="18" s="1"/>
  <c r="L27" i="17"/>
  <c r="L28" i="17" s="1"/>
  <c r="L33" i="17" s="1"/>
  <c r="L41" i="17"/>
  <c r="L42" i="17" s="1"/>
  <c r="K38" i="19"/>
  <c r="K39" i="19" s="1"/>
  <c r="K8" i="19"/>
  <c r="K9" i="19" s="1"/>
  <c r="K25" i="19" s="1"/>
  <c r="F36" i="17"/>
  <c r="F37" i="17" s="1"/>
  <c r="K8" i="18"/>
  <c r="K9" i="18" s="1"/>
  <c r="K25" i="18" s="1"/>
  <c r="K38" i="18"/>
  <c r="K39" i="18" s="1"/>
  <c r="H476" i="15"/>
  <c r="B20" i="24" s="1"/>
  <c r="H489" i="15"/>
  <c r="H490" i="15" s="1"/>
  <c r="B111" i="24" s="1"/>
  <c r="N27" i="17"/>
  <c r="N28" i="17" s="1"/>
  <c r="N33" i="17" s="1"/>
  <c r="N36" i="17" s="1"/>
  <c r="N41" i="17"/>
  <c r="N42" i="17" s="1"/>
  <c r="N8" i="19"/>
  <c r="N9" i="19" s="1"/>
  <c r="N25" i="19" s="1"/>
  <c r="N38" i="19"/>
  <c r="N39" i="19" s="1"/>
  <c r="G487" i="15"/>
  <c r="B84" i="24" s="1"/>
  <c r="G523" i="15"/>
  <c r="G525" i="15" s="1"/>
  <c r="C312" i="19" l="1"/>
  <c r="B299" i="19"/>
  <c r="C338" i="19"/>
  <c r="B296" i="17"/>
  <c r="C309" i="17"/>
  <c r="C491" i="17" s="1"/>
  <c r="C335" i="17"/>
  <c r="B335" i="17"/>
  <c r="C293" i="17"/>
  <c r="C311" i="18"/>
  <c r="C493" i="18" s="1"/>
  <c r="B337" i="18"/>
  <c r="B298" i="18"/>
  <c r="C337" i="18"/>
  <c r="B322" i="17"/>
  <c r="C296" i="17"/>
  <c r="B332" i="19"/>
  <c r="C332" i="19"/>
  <c r="C290" i="19"/>
  <c r="B290" i="19"/>
  <c r="C293" i="19"/>
  <c r="B319" i="19" s="1"/>
  <c r="C298" i="18"/>
  <c r="B324" i="18"/>
  <c r="C324" i="18"/>
  <c r="C350" i="18" s="1"/>
  <c r="C295" i="19"/>
  <c r="B321" i="19"/>
  <c r="C321" i="19"/>
  <c r="C347" i="19" s="1"/>
  <c r="C294" i="19"/>
  <c r="B320" i="19" s="1"/>
  <c r="C293" i="18"/>
  <c r="B319" i="18"/>
  <c r="C297" i="18"/>
  <c r="B323" i="18"/>
  <c r="C298" i="19"/>
  <c r="B324" i="19"/>
  <c r="C313" i="17"/>
  <c r="C495" i="17" s="1"/>
  <c r="B300" i="17"/>
  <c r="C339" i="17"/>
  <c r="C290" i="17"/>
  <c r="B290" i="17"/>
  <c r="C295" i="17"/>
  <c r="B321" i="17" s="1"/>
  <c r="C299" i="17"/>
  <c r="B325" i="17"/>
  <c r="C325" i="17"/>
  <c r="C351" i="17" s="1"/>
  <c r="C290" i="18"/>
  <c r="B290" i="18"/>
  <c r="B295" i="18"/>
  <c r="C308" i="18"/>
  <c r="C490" i="18" s="1"/>
  <c r="B334" i="18"/>
  <c r="C334" i="18"/>
  <c r="C316" i="17"/>
  <c r="B316" i="17"/>
  <c r="C322" i="18"/>
  <c r="C348" i="18" s="1"/>
  <c r="C296" i="18"/>
  <c r="B322" i="18"/>
  <c r="C316" i="19"/>
  <c r="B316" i="19"/>
  <c r="C296" i="19"/>
  <c r="C310" i="19"/>
  <c r="C492" i="19" s="1"/>
  <c r="B297" i="19"/>
  <c r="B336" i="19"/>
  <c r="C336" i="19"/>
  <c r="C312" i="17"/>
  <c r="C494" i="17" s="1"/>
  <c r="B299" i="17"/>
  <c r="C338" i="17"/>
  <c r="B338" i="17"/>
  <c r="C278" i="17"/>
  <c r="O43" i="17"/>
  <c r="B116" i="24"/>
  <c r="B47" i="24"/>
  <c r="B60" i="24" s="1"/>
  <c r="B73" i="24" s="1"/>
  <c r="B34" i="24"/>
  <c r="B43" i="24"/>
  <c r="B56" i="24" s="1"/>
  <c r="B69" i="24" s="1"/>
  <c r="B30" i="24"/>
  <c r="B333" i="19"/>
  <c r="C307" i="19"/>
  <c r="C489" i="19" s="1"/>
  <c r="B294" i="19"/>
  <c r="C333" i="19"/>
  <c r="B295" i="19"/>
  <c r="C308" i="19"/>
  <c r="C334" i="19"/>
  <c r="C332" i="17"/>
  <c r="B332" i="17"/>
  <c r="B298" i="17"/>
  <c r="C311" i="17"/>
  <c r="B296" i="18"/>
  <c r="C309" i="18"/>
  <c r="C491" i="18" s="1"/>
  <c r="C299" i="18"/>
  <c r="B325" i="18" s="1"/>
  <c r="C333" i="17"/>
  <c r="B294" i="17"/>
  <c r="C307" i="17"/>
  <c r="C470" i="17"/>
  <c r="B318" i="17"/>
  <c r="C318" i="17"/>
  <c r="C344" i="17" s="1"/>
  <c r="C294" i="18"/>
  <c r="B320" i="18" s="1"/>
  <c r="C320" i="18"/>
  <c r="C346" i="18" s="1"/>
  <c r="C313" i="19"/>
  <c r="C495" i="19" s="1"/>
  <c r="B300" i="19"/>
  <c r="C339" i="19"/>
  <c r="B339" i="19"/>
  <c r="C331" i="17"/>
  <c r="B331" i="17"/>
  <c r="C457" i="17"/>
  <c r="C300" i="17"/>
  <c r="C331" i="18"/>
  <c r="B331" i="18"/>
  <c r="B46" i="24"/>
  <c r="B59" i="24" s="1"/>
  <c r="B72" i="24" s="1"/>
  <c r="B33" i="24"/>
  <c r="B22" i="24"/>
  <c r="B23" i="24"/>
  <c r="B24" i="24"/>
  <c r="B291" i="18"/>
  <c r="C291" i="18"/>
  <c r="C307" i="18"/>
  <c r="C333" i="18" s="1"/>
  <c r="B294" i="18"/>
  <c r="C338" i="18"/>
  <c r="B299" i="18"/>
  <c r="C312" i="18"/>
  <c r="C291" i="19"/>
  <c r="B291" i="19"/>
  <c r="C298" i="17"/>
  <c r="C324" i="17"/>
  <c r="C350" i="17" s="1"/>
  <c r="B324" i="17"/>
  <c r="C457" i="18"/>
  <c r="B317" i="19"/>
  <c r="C317" i="19"/>
  <c r="B323" i="17"/>
  <c r="C297" i="17"/>
  <c r="C323" i="17" s="1"/>
  <c r="C349" i="17" s="1"/>
  <c r="C321" i="18"/>
  <c r="C347" i="18" s="1"/>
  <c r="C295" i="18"/>
  <c r="C294" i="17"/>
  <c r="B320" i="17" s="1"/>
  <c r="C320" i="17"/>
  <c r="C346" i="17" s="1"/>
  <c r="C310" i="18"/>
  <c r="B336" i="18" s="1"/>
  <c r="B297" i="18"/>
  <c r="C457" i="19"/>
  <c r="C300" i="19"/>
  <c r="B326" i="19" s="1"/>
  <c r="C332" i="18"/>
  <c r="B332" i="18"/>
  <c r="D40" i="16"/>
  <c r="F493" i="15"/>
  <c r="B123" i="24" s="1"/>
  <c r="B137" i="24"/>
  <c r="C300" i="18"/>
  <c r="B326" i="18"/>
  <c r="C313" i="18"/>
  <c r="C495" i="18" s="1"/>
  <c r="B300" i="18"/>
  <c r="B339" i="18"/>
  <c r="C339" i="18"/>
  <c r="C299" i="19"/>
  <c r="C325" i="19"/>
  <c r="C351" i="19" s="1"/>
  <c r="C317" i="18"/>
  <c r="B317" i="18"/>
  <c r="C318" i="18"/>
  <c r="C344" i="18" s="1"/>
  <c r="B318" i="18"/>
  <c r="B318" i="19"/>
  <c r="C318" i="19"/>
  <c r="C344" i="19" s="1"/>
  <c r="C308" i="17"/>
  <c r="C490" i="17" s="1"/>
  <c r="B295" i="17"/>
  <c r="C310" i="17"/>
  <c r="C336" i="17" s="1"/>
  <c r="B297" i="17"/>
  <c r="C470" i="18"/>
  <c r="C470" i="19"/>
  <c r="C297" i="19"/>
  <c r="B323" i="19" s="1"/>
  <c r="C331" i="19"/>
  <c r="B331" i="19"/>
  <c r="C309" i="19"/>
  <c r="C491" i="19" s="1"/>
  <c r="B296" i="19"/>
  <c r="B298" i="19"/>
  <c r="C311" i="19"/>
  <c r="C493" i="19" s="1"/>
  <c r="C278" i="16"/>
  <c r="B291" i="16" s="1"/>
  <c r="C332" i="16"/>
  <c r="B332" i="16"/>
  <c r="C291" i="16"/>
  <c r="C294" i="16"/>
  <c r="B320" i="16" s="1"/>
  <c r="C295" i="16"/>
  <c r="C321" i="16" s="1"/>
  <c r="C347" i="16" s="1"/>
  <c r="C311" i="16"/>
  <c r="C493" i="16" s="1"/>
  <c r="B298" i="16"/>
  <c r="B318" i="16"/>
  <c r="C318" i="16"/>
  <c r="C344" i="16" s="1"/>
  <c r="C457" i="16"/>
  <c r="C299" i="16"/>
  <c r="B319" i="16"/>
  <c r="C293" i="16"/>
  <c r="C319" i="16" s="1"/>
  <c r="C345" i="16" s="1"/>
  <c r="C277" i="16"/>
  <c r="B323" i="16"/>
  <c r="C297" i="16"/>
  <c r="C323" i="16" s="1"/>
  <c r="C349" i="16" s="1"/>
  <c r="F25" i="16"/>
  <c r="F27" i="16" s="1"/>
  <c r="F28" i="16" s="1"/>
  <c r="F33" i="16" s="1"/>
  <c r="C298" i="16"/>
  <c r="B324" i="16" s="1"/>
  <c r="B296" i="16"/>
  <c r="C309" i="16"/>
  <c r="C491" i="16" s="1"/>
  <c r="C317" i="16"/>
  <c r="B317" i="16"/>
  <c r="C312" i="16"/>
  <c r="C494" i="16" s="1"/>
  <c r="B299" i="16"/>
  <c r="C296" i="16"/>
  <c r="C322" i="16" s="1"/>
  <c r="C348" i="16" s="1"/>
  <c r="B322" i="16"/>
  <c r="B331" i="16"/>
  <c r="C331" i="16"/>
  <c r="C313" i="16"/>
  <c r="C495" i="16" s="1"/>
  <c r="B300" i="16"/>
  <c r="B297" i="16"/>
  <c r="C310" i="16"/>
  <c r="C492" i="16" s="1"/>
  <c r="C300" i="16"/>
  <c r="C326" i="16" s="1"/>
  <c r="C352" i="16" s="1"/>
  <c r="C307" i="16"/>
  <c r="C489" i="16" s="1"/>
  <c r="B294" i="16"/>
  <c r="C470" i="16"/>
  <c r="C308" i="16"/>
  <c r="C490" i="16" s="1"/>
  <c r="B295" i="16"/>
  <c r="R37" i="18"/>
  <c r="R37" i="19"/>
  <c r="O40" i="18"/>
  <c r="K27" i="17"/>
  <c r="K28" i="17" s="1"/>
  <c r="K33" i="17" s="1"/>
  <c r="I26" i="16"/>
  <c r="I41" i="16" s="1"/>
  <c r="I42" i="16" s="1"/>
  <c r="S26" i="18"/>
  <c r="S41" i="18" s="1"/>
  <c r="S42" i="18" s="1"/>
  <c r="N26" i="16"/>
  <c r="N41" i="16" s="1"/>
  <c r="N42" i="16" s="1"/>
  <c r="X27" i="17"/>
  <c r="X28" i="17" s="1"/>
  <c r="X33" i="17" s="1"/>
  <c r="X36" i="17" s="1"/>
  <c r="I27" i="17"/>
  <c r="I28" i="17" s="1"/>
  <c r="I33" i="17" s="1"/>
  <c r="Y26" i="19"/>
  <c r="Y41" i="19" s="1"/>
  <c r="Y42" i="19" s="1"/>
  <c r="Y26" i="18"/>
  <c r="Y41" i="18" s="1"/>
  <c r="Y42" i="18" s="1"/>
  <c r="C491" i="15"/>
  <c r="M26" i="19"/>
  <c r="M41" i="19" s="1"/>
  <c r="M42" i="19" s="1"/>
  <c r="Q59" i="19" s="1"/>
  <c r="Q61" i="19" s="1"/>
  <c r="H36" i="17"/>
  <c r="H50" i="17"/>
  <c r="H52" i="17" s="1"/>
  <c r="J50" i="17"/>
  <c r="J52" i="17" s="1"/>
  <c r="J36" i="17"/>
  <c r="K477" i="15"/>
  <c r="J508" i="15" s="1"/>
  <c r="K492" i="15" s="1"/>
  <c r="W27" i="17"/>
  <c r="W28" i="17" s="1"/>
  <c r="W33" i="17" s="1"/>
  <c r="W36" i="17" s="1"/>
  <c r="U26" i="19"/>
  <c r="U41" i="19" s="1"/>
  <c r="U42" i="19" s="1"/>
  <c r="W26" i="18"/>
  <c r="W41" i="18" s="1"/>
  <c r="W42" i="18" s="1"/>
  <c r="W26" i="19"/>
  <c r="W41" i="19" s="1"/>
  <c r="W42" i="19" s="1"/>
  <c r="U26" i="16"/>
  <c r="U41" i="16" s="1"/>
  <c r="U42" i="16" s="1"/>
  <c r="U26" i="18"/>
  <c r="U41" i="18" s="1"/>
  <c r="U42" i="18" s="1"/>
  <c r="Y27" i="17"/>
  <c r="Y28" i="17" s="1"/>
  <c r="Y33" i="17" s="1"/>
  <c r="Y36" i="17" s="1"/>
  <c r="H26" i="19"/>
  <c r="H41" i="19" s="1"/>
  <c r="H42" i="19" s="1"/>
  <c r="L59" i="19" s="1"/>
  <c r="L61" i="19" s="1"/>
  <c r="D40" i="19"/>
  <c r="N26" i="19"/>
  <c r="N41" i="19" s="1"/>
  <c r="N42" i="19" s="1"/>
  <c r="H477" i="15"/>
  <c r="G508" i="15" s="1"/>
  <c r="H492" i="15" s="1"/>
  <c r="H478" i="15"/>
  <c r="H479" i="15" s="1"/>
  <c r="H484" i="15" s="1"/>
  <c r="L50" i="17"/>
  <c r="L52" i="17" s="1"/>
  <c r="L36" i="17"/>
  <c r="G26" i="19"/>
  <c r="G41" i="19" s="1"/>
  <c r="G42" i="19" s="1"/>
  <c r="G27" i="19"/>
  <c r="G28" i="19" s="1"/>
  <c r="G33" i="19" s="1"/>
  <c r="G26" i="16"/>
  <c r="G41" i="16" s="1"/>
  <c r="G42" i="16" s="1"/>
  <c r="T26" i="18"/>
  <c r="T41" i="18" s="1"/>
  <c r="T42" i="18" s="1"/>
  <c r="T26" i="19"/>
  <c r="T41" i="19" s="1"/>
  <c r="T42" i="19" s="1"/>
  <c r="F50" i="18"/>
  <c r="F52" i="18" s="1"/>
  <c r="F53" i="18" s="1"/>
  <c r="F36" i="18"/>
  <c r="F37" i="18" s="1"/>
  <c r="H26" i="16"/>
  <c r="H41" i="16" s="1"/>
  <c r="H42" i="16" s="1"/>
  <c r="V27" i="17"/>
  <c r="V28" i="17" s="1"/>
  <c r="V33" i="17" s="1"/>
  <c r="V36" i="17" s="1"/>
  <c r="G27" i="17"/>
  <c r="G28" i="17" s="1"/>
  <c r="G33" i="17" s="1"/>
  <c r="G26" i="18"/>
  <c r="G41" i="18" s="1"/>
  <c r="G42" i="18" s="1"/>
  <c r="I26" i="19"/>
  <c r="I41" i="19" s="1"/>
  <c r="I42" i="19" s="1"/>
  <c r="M59" i="19" s="1"/>
  <c r="M61" i="19" s="1"/>
  <c r="H26" i="18"/>
  <c r="H41" i="18" s="1"/>
  <c r="H42" i="18" s="1"/>
  <c r="I477" i="15"/>
  <c r="H508" i="15" s="1"/>
  <c r="I492" i="15" s="1"/>
  <c r="E477" i="15"/>
  <c r="D508" i="15" s="1"/>
  <c r="E492" i="15" s="1"/>
  <c r="J26" i="19"/>
  <c r="J41" i="19" s="1"/>
  <c r="J42" i="19" s="1"/>
  <c r="N59" i="19" s="1"/>
  <c r="N61" i="19" s="1"/>
  <c r="J50" i="19"/>
  <c r="J52" i="19" s="1"/>
  <c r="J53" i="19" s="1"/>
  <c r="F36" i="19"/>
  <c r="F37" i="19" s="1"/>
  <c r="L26" i="16"/>
  <c r="L41" i="16" s="1"/>
  <c r="L42" i="16" s="1"/>
  <c r="X26" i="19"/>
  <c r="X41" i="19" s="1"/>
  <c r="X42" i="19" s="1"/>
  <c r="L477" i="15"/>
  <c r="K508" i="15" s="1"/>
  <c r="L492" i="15" s="1"/>
  <c r="D40" i="18"/>
  <c r="Y26" i="16"/>
  <c r="Y41" i="16" s="1"/>
  <c r="Y42" i="16" s="1"/>
  <c r="D43" i="17"/>
  <c r="C46" i="17" s="1"/>
  <c r="C47" i="17" s="1"/>
  <c r="V26" i="16"/>
  <c r="V41" i="16" s="1"/>
  <c r="V42" i="16" s="1"/>
  <c r="J477" i="15"/>
  <c r="I508" i="15" s="1"/>
  <c r="J492" i="15" s="1"/>
  <c r="N26" i="18"/>
  <c r="N41" i="18" s="1"/>
  <c r="N42" i="18" s="1"/>
  <c r="M26" i="18"/>
  <c r="M41" i="18" s="1"/>
  <c r="M42" i="18" s="1"/>
  <c r="M26" i="16"/>
  <c r="M41" i="16" s="1"/>
  <c r="M42" i="16" s="1"/>
  <c r="S26" i="19"/>
  <c r="S41" i="19" s="1"/>
  <c r="S42" i="19" s="1"/>
  <c r="W26" i="16"/>
  <c r="W41" i="16" s="1"/>
  <c r="W42" i="16" s="1"/>
  <c r="V26" i="18"/>
  <c r="V41" i="18" s="1"/>
  <c r="V42" i="18" s="1"/>
  <c r="F487" i="15"/>
  <c r="B83" i="24" s="1"/>
  <c r="F523" i="15"/>
  <c r="F525" i="15" s="1"/>
  <c r="V26" i="19"/>
  <c r="V41" i="19" s="1"/>
  <c r="V42" i="19" s="1"/>
  <c r="X26" i="16"/>
  <c r="X41" i="16" s="1"/>
  <c r="X42" i="16" s="1"/>
  <c r="L26" i="18"/>
  <c r="L41" i="18" s="1"/>
  <c r="L42" i="18" s="1"/>
  <c r="R37" i="16"/>
  <c r="L26" i="19"/>
  <c r="L41" i="19" s="1"/>
  <c r="L42" i="19" s="1"/>
  <c r="P59" i="19" s="1"/>
  <c r="P61" i="19" s="1"/>
  <c r="J26" i="16"/>
  <c r="J41" i="16" s="1"/>
  <c r="J42" i="16" s="1"/>
  <c r="K26" i="19"/>
  <c r="K41" i="19" s="1"/>
  <c r="K42" i="19" s="1"/>
  <c r="O59" i="19" s="1"/>
  <c r="O61" i="19" s="1"/>
  <c r="S26" i="16"/>
  <c r="S41" i="16" s="1"/>
  <c r="S42" i="16" s="1"/>
  <c r="U37" i="17"/>
  <c r="K26" i="18"/>
  <c r="K41" i="18" s="1"/>
  <c r="K42" i="18" s="1"/>
  <c r="J26" i="18"/>
  <c r="J41" i="18" s="1"/>
  <c r="J42" i="18" s="1"/>
  <c r="M50" i="17"/>
  <c r="M52" i="17" s="1"/>
  <c r="M36" i="17"/>
  <c r="X26" i="18"/>
  <c r="X41" i="18" s="1"/>
  <c r="X42" i="18" s="1"/>
  <c r="D523" i="15"/>
  <c r="D525" i="15" s="1"/>
  <c r="D526" i="15" s="1"/>
  <c r="D487" i="15"/>
  <c r="I26" i="18"/>
  <c r="I41" i="18" s="1"/>
  <c r="I42" i="18" s="1"/>
  <c r="K36" i="17"/>
  <c r="K50" i="17"/>
  <c r="K52" i="17" s="1"/>
  <c r="B86" i="22"/>
  <c r="A86" i="22"/>
  <c r="O40" i="19"/>
  <c r="K26" i="16"/>
  <c r="K41" i="16" s="1"/>
  <c r="K42" i="16" s="1"/>
  <c r="T26" i="16"/>
  <c r="T41" i="16" s="1"/>
  <c r="T42" i="16" s="1"/>
  <c r="O40" i="16"/>
  <c r="B362" i="17" l="1"/>
  <c r="C375" i="17"/>
  <c r="B375" i="17"/>
  <c r="C362" i="17"/>
  <c r="B349" i="17"/>
  <c r="B346" i="18"/>
  <c r="C359" i="18"/>
  <c r="K493" i="15"/>
  <c r="B128" i="24" s="1"/>
  <c r="B142" i="24"/>
  <c r="B504" i="19"/>
  <c r="C517" i="19"/>
  <c r="B503" i="17"/>
  <c r="C516" i="17"/>
  <c r="B37" i="24"/>
  <c r="B50" i="24" s="1"/>
  <c r="B63" i="24" s="1"/>
  <c r="B76" i="24" s="1"/>
  <c r="C372" i="18"/>
  <c r="B372" i="18"/>
  <c r="B359" i="18"/>
  <c r="C517" i="18"/>
  <c r="B504" i="18"/>
  <c r="B303" i="18"/>
  <c r="C303" i="18"/>
  <c r="C472" i="18"/>
  <c r="C498" i="18" s="1"/>
  <c r="B373" i="19"/>
  <c r="B360" i="19"/>
  <c r="C373" i="19"/>
  <c r="B345" i="19"/>
  <c r="C358" i="19"/>
  <c r="D488" i="15"/>
  <c r="B81" i="24"/>
  <c r="B94" i="24" s="1"/>
  <c r="O43" i="16"/>
  <c r="J493" i="15"/>
  <c r="B127" i="24" s="1"/>
  <c r="B141" i="24"/>
  <c r="I493" i="15"/>
  <c r="B126" i="24" s="1"/>
  <c r="B140" i="24"/>
  <c r="W27" i="19"/>
  <c r="W28" i="19" s="1"/>
  <c r="W33" i="19" s="1"/>
  <c r="W36" i="19" s="1"/>
  <c r="B334" i="16"/>
  <c r="B321" i="16"/>
  <c r="C337" i="19"/>
  <c r="C335" i="19"/>
  <c r="B334" i="17"/>
  <c r="B357" i="18"/>
  <c r="C370" i="18"/>
  <c r="B370" i="18"/>
  <c r="B325" i="19"/>
  <c r="B312" i="19"/>
  <c r="C481" i="19"/>
  <c r="C507" i="19" s="1"/>
  <c r="B520" i="19" s="1"/>
  <c r="C521" i="18"/>
  <c r="B508" i="18"/>
  <c r="C358" i="18"/>
  <c r="B345" i="18"/>
  <c r="B311" i="17"/>
  <c r="C480" i="17"/>
  <c r="C506" i="17" s="1"/>
  <c r="B519" i="17" s="1"/>
  <c r="C473" i="19"/>
  <c r="C499" i="19" s="1"/>
  <c r="B512" i="19" s="1"/>
  <c r="B304" i="19"/>
  <c r="C304" i="19"/>
  <c r="B36" i="24"/>
  <c r="B49" i="24" s="1"/>
  <c r="B62" i="24" s="1"/>
  <c r="B75" i="24" s="1"/>
  <c r="B352" i="19"/>
  <c r="C365" i="19"/>
  <c r="B335" i="18"/>
  <c r="B334" i="19"/>
  <c r="C490" i="19"/>
  <c r="B502" i="19"/>
  <c r="C515" i="19"/>
  <c r="B291" i="17"/>
  <c r="C291" i="17"/>
  <c r="C520" i="17"/>
  <c r="B507" i="17"/>
  <c r="C518" i="19"/>
  <c r="B505" i="19"/>
  <c r="B316" i="18"/>
  <c r="B347" i="18"/>
  <c r="C360" i="18"/>
  <c r="B364" i="17"/>
  <c r="B377" i="17"/>
  <c r="C377" i="17"/>
  <c r="B311" i="19"/>
  <c r="C480" i="19"/>
  <c r="C506" i="19" s="1"/>
  <c r="B519" i="19" s="1"/>
  <c r="C319" i="18"/>
  <c r="C345" i="18" s="1"/>
  <c r="B306" i="18"/>
  <c r="C475" i="18"/>
  <c r="C501" i="18" s="1"/>
  <c r="B514" i="18" s="1"/>
  <c r="B311" i="18"/>
  <c r="C480" i="18"/>
  <c r="C506" i="18" s="1"/>
  <c r="B519" i="18" s="1"/>
  <c r="C519" i="18"/>
  <c r="B506" i="18"/>
  <c r="C364" i="19"/>
  <c r="B351" i="19"/>
  <c r="C519" i="19"/>
  <c r="B506" i="19"/>
  <c r="E493" i="15"/>
  <c r="B122" i="24" s="1"/>
  <c r="B136" i="24"/>
  <c r="D43" i="16"/>
  <c r="C46" i="16" s="1"/>
  <c r="B336" i="17"/>
  <c r="C492" i="17"/>
  <c r="B377" i="19"/>
  <c r="C377" i="19"/>
  <c r="B364" i="19"/>
  <c r="B313" i="18"/>
  <c r="C482" i="18"/>
  <c r="C508" i="18" s="1"/>
  <c r="B521" i="18" s="1"/>
  <c r="B359" i="17"/>
  <c r="C372" i="17"/>
  <c r="B372" i="17"/>
  <c r="C373" i="18"/>
  <c r="B373" i="18"/>
  <c r="B360" i="18"/>
  <c r="B363" i="17"/>
  <c r="C376" i="17"/>
  <c r="B376" i="17"/>
  <c r="C364" i="18"/>
  <c r="B351" i="18"/>
  <c r="B326" i="17"/>
  <c r="B313" i="17"/>
  <c r="C482" i="17"/>
  <c r="C508" i="17" s="1"/>
  <c r="B521" i="17" s="1"/>
  <c r="C359" i="17"/>
  <c r="B346" i="17"/>
  <c r="B337" i="17"/>
  <c r="C493" i="17"/>
  <c r="C360" i="19"/>
  <c r="B347" i="19"/>
  <c r="B374" i="18"/>
  <c r="B361" i="18"/>
  <c r="C374" i="18"/>
  <c r="B308" i="17"/>
  <c r="C477" i="17"/>
  <c r="C503" i="17" s="1"/>
  <c r="B516" i="17" s="1"/>
  <c r="B352" i="17"/>
  <c r="C365" i="17"/>
  <c r="B306" i="17"/>
  <c r="C475" i="17"/>
  <c r="C501" i="17" s="1"/>
  <c r="B514" i="17" s="1"/>
  <c r="L493" i="15"/>
  <c r="B129" i="24" s="1"/>
  <c r="B143" i="24"/>
  <c r="H493" i="15"/>
  <c r="B125" i="24" s="1"/>
  <c r="B139" i="24"/>
  <c r="K478" i="15"/>
  <c r="K479" i="15" s="1"/>
  <c r="K484" i="15" s="1"/>
  <c r="B339" i="16"/>
  <c r="B337" i="19"/>
  <c r="B335" i="19"/>
  <c r="C357" i="19"/>
  <c r="B344" i="19"/>
  <c r="C334" i="17"/>
  <c r="C370" i="19"/>
  <c r="B370" i="19"/>
  <c r="B357" i="19"/>
  <c r="C365" i="18"/>
  <c r="B352" i="18"/>
  <c r="C326" i="18"/>
  <c r="C352" i="18" s="1"/>
  <c r="B307" i="17"/>
  <c r="C476" i="17"/>
  <c r="C502" i="17" s="1"/>
  <c r="B515" i="17" s="1"/>
  <c r="B310" i="17"/>
  <c r="C479" i="17"/>
  <c r="C505" i="17" s="1"/>
  <c r="B518" i="17" s="1"/>
  <c r="B338" i="18"/>
  <c r="C494" i="18"/>
  <c r="B304" i="18"/>
  <c r="C473" i="18"/>
  <c r="C499" i="18" s="1"/>
  <c r="B512" i="18" s="1"/>
  <c r="C304" i="18"/>
  <c r="B35" i="24"/>
  <c r="B48" i="24" s="1"/>
  <c r="B61" i="24" s="1"/>
  <c r="B74" i="24" s="1"/>
  <c r="C357" i="18"/>
  <c r="B344" i="18"/>
  <c r="B307" i="18"/>
  <c r="C476" i="18"/>
  <c r="C502" i="18" s="1"/>
  <c r="B515" i="18" s="1"/>
  <c r="B333" i="17"/>
  <c r="C489" i="17"/>
  <c r="C325" i="18"/>
  <c r="C351" i="18" s="1"/>
  <c r="B312" i="18"/>
  <c r="C481" i="18"/>
  <c r="C507" i="18" s="1"/>
  <c r="B520" i="18" s="1"/>
  <c r="C362" i="19"/>
  <c r="B349" i="19"/>
  <c r="C322" i="19"/>
  <c r="C348" i="19" s="1"/>
  <c r="B309" i="19"/>
  <c r="C478" i="19"/>
  <c r="C504" i="19" s="1"/>
  <c r="B517" i="19" s="1"/>
  <c r="C316" i="18"/>
  <c r="C321" i="17"/>
  <c r="C347" i="17" s="1"/>
  <c r="B303" i="17"/>
  <c r="C303" i="17"/>
  <c r="C472" i="17"/>
  <c r="C498" i="17" s="1"/>
  <c r="C521" i="17"/>
  <c r="B508" i="17"/>
  <c r="B308" i="19"/>
  <c r="C477" i="19"/>
  <c r="C503" i="19" s="1"/>
  <c r="B516" i="19" s="1"/>
  <c r="C322" i="17"/>
  <c r="C348" i="17" s="1"/>
  <c r="B309" i="17"/>
  <c r="C478" i="17"/>
  <c r="C504" i="17" s="1"/>
  <c r="B517" i="17" s="1"/>
  <c r="C363" i="18"/>
  <c r="B350" i="18"/>
  <c r="C319" i="17"/>
  <c r="C345" i="17" s="1"/>
  <c r="C361" i="17"/>
  <c r="B348" i="17"/>
  <c r="C323" i="19"/>
  <c r="C349" i="19" s="1"/>
  <c r="B310" i="19"/>
  <c r="C479" i="19"/>
  <c r="C505" i="19" s="1"/>
  <c r="B518" i="19" s="1"/>
  <c r="C326" i="19"/>
  <c r="C352" i="19" s="1"/>
  <c r="B313" i="19"/>
  <c r="C482" i="19"/>
  <c r="C508" i="19" s="1"/>
  <c r="B521" i="19" s="1"/>
  <c r="C336" i="18"/>
  <c r="C492" i="18"/>
  <c r="B321" i="18"/>
  <c r="B308" i="18"/>
  <c r="C477" i="18"/>
  <c r="C503" i="18" s="1"/>
  <c r="B516" i="18" s="1"/>
  <c r="B333" i="18"/>
  <c r="C489" i="18"/>
  <c r="C326" i="17"/>
  <c r="C352" i="17" s="1"/>
  <c r="C357" i="17"/>
  <c r="B344" i="17"/>
  <c r="C521" i="19"/>
  <c r="B508" i="19"/>
  <c r="B357" i="17"/>
  <c r="B370" i="17"/>
  <c r="C370" i="17"/>
  <c r="C335" i="18"/>
  <c r="C337" i="17"/>
  <c r="C358" i="17"/>
  <c r="B345" i="17"/>
  <c r="C359" i="19"/>
  <c r="B346" i="19"/>
  <c r="C364" i="17"/>
  <c r="B351" i="17"/>
  <c r="B322" i="19"/>
  <c r="B309" i="18"/>
  <c r="C478" i="18"/>
  <c r="C504" i="18" s="1"/>
  <c r="B517" i="18" s="1"/>
  <c r="C516" i="18"/>
  <c r="B503" i="18"/>
  <c r="B312" i="17"/>
  <c r="C481" i="17"/>
  <c r="C507" i="17" s="1"/>
  <c r="B520" i="17" s="1"/>
  <c r="B339" i="17"/>
  <c r="C324" i="19"/>
  <c r="C350" i="19" s="1"/>
  <c r="C323" i="18"/>
  <c r="C349" i="18" s="1"/>
  <c r="B310" i="18"/>
  <c r="C479" i="18"/>
  <c r="C505" i="18" s="1"/>
  <c r="B518" i="18" s="1"/>
  <c r="C320" i="19"/>
  <c r="C346" i="19" s="1"/>
  <c r="B307" i="19"/>
  <c r="C476" i="19"/>
  <c r="C502" i="19" s="1"/>
  <c r="B515" i="19" s="1"/>
  <c r="B363" i="18"/>
  <c r="C376" i="18"/>
  <c r="B376" i="18"/>
  <c r="C319" i="19"/>
  <c r="C345" i="19" s="1"/>
  <c r="B306" i="19"/>
  <c r="C475" i="19"/>
  <c r="C501" i="19" s="1"/>
  <c r="B514" i="19" s="1"/>
  <c r="B303" i="19"/>
  <c r="C303" i="19"/>
  <c r="C472" i="19"/>
  <c r="C498" i="19" s="1"/>
  <c r="B319" i="17"/>
  <c r="B504" i="17"/>
  <c r="C517" i="17"/>
  <c r="B338" i="19"/>
  <c r="C494" i="19"/>
  <c r="F36" i="16"/>
  <c r="F37" i="16" s="1"/>
  <c r="F50" i="16"/>
  <c r="F52" i="16" s="1"/>
  <c r="F53" i="16" s="1"/>
  <c r="C336" i="16"/>
  <c r="B349" i="16" s="1"/>
  <c r="B338" i="16"/>
  <c r="C320" i="16"/>
  <c r="C346" i="16" s="1"/>
  <c r="C334" i="16"/>
  <c r="B326" i="16"/>
  <c r="B336" i="16"/>
  <c r="C338" i="16"/>
  <c r="T27" i="16"/>
  <c r="T28" i="16" s="1"/>
  <c r="T33" i="16" s="1"/>
  <c r="T36" i="16" s="1"/>
  <c r="B365" i="16"/>
  <c r="B378" i="16"/>
  <c r="C378" i="16"/>
  <c r="B375" i="16"/>
  <c r="C375" i="16"/>
  <c r="B362" i="16"/>
  <c r="B360" i="16"/>
  <c r="B373" i="16"/>
  <c r="C373" i="16"/>
  <c r="B374" i="16"/>
  <c r="C374" i="16"/>
  <c r="B361" i="16"/>
  <c r="B371" i="16"/>
  <c r="C371" i="16"/>
  <c r="B358" i="16"/>
  <c r="B312" i="16"/>
  <c r="C481" i="16"/>
  <c r="C507" i="16" s="1"/>
  <c r="B520" i="16" s="1"/>
  <c r="C372" i="16"/>
  <c r="B372" i="16"/>
  <c r="B359" i="16"/>
  <c r="B504" i="16"/>
  <c r="C517" i="16"/>
  <c r="B333" i="16"/>
  <c r="B507" i="16"/>
  <c r="C520" i="16"/>
  <c r="C337" i="16"/>
  <c r="C360" i="16"/>
  <c r="B347" i="16"/>
  <c r="C515" i="16"/>
  <c r="B502" i="16"/>
  <c r="C333" i="16"/>
  <c r="B313" i="16"/>
  <c r="C482" i="16"/>
  <c r="C508" i="16" s="1"/>
  <c r="B521" i="16" s="1"/>
  <c r="B508" i="16"/>
  <c r="C521" i="16"/>
  <c r="C335" i="16"/>
  <c r="B311" i="16"/>
  <c r="C480" i="16"/>
  <c r="C506" i="16" s="1"/>
  <c r="B519" i="16" s="1"/>
  <c r="C290" i="16"/>
  <c r="B290" i="16"/>
  <c r="B325" i="16"/>
  <c r="B370" i="16"/>
  <c r="C370" i="16"/>
  <c r="B357" i="16"/>
  <c r="C519" i="16"/>
  <c r="B506" i="16"/>
  <c r="B308" i="16"/>
  <c r="C477" i="16"/>
  <c r="C503" i="16" s="1"/>
  <c r="B516" i="16" s="1"/>
  <c r="C304" i="16"/>
  <c r="B304" i="16"/>
  <c r="C473" i="16"/>
  <c r="C499" i="16" s="1"/>
  <c r="B512" i="16" s="1"/>
  <c r="B503" i="16"/>
  <c r="C516" i="16"/>
  <c r="B505" i="16"/>
  <c r="C518" i="16"/>
  <c r="C339" i="16"/>
  <c r="C357" i="16"/>
  <c r="B344" i="16"/>
  <c r="B309" i="16"/>
  <c r="C478" i="16"/>
  <c r="C504" i="16" s="1"/>
  <c r="B517" i="16" s="1"/>
  <c r="C364" i="16"/>
  <c r="B351" i="16"/>
  <c r="B335" i="16"/>
  <c r="C324" i="16"/>
  <c r="C350" i="16" s="1"/>
  <c r="B310" i="16"/>
  <c r="C479" i="16"/>
  <c r="C505" i="16" s="1"/>
  <c r="B518" i="16" s="1"/>
  <c r="B306" i="16"/>
  <c r="C475" i="16"/>
  <c r="C501" i="16" s="1"/>
  <c r="B514" i="16" s="1"/>
  <c r="C325" i="16"/>
  <c r="C351" i="16" s="1"/>
  <c r="B337" i="16"/>
  <c r="B307" i="16"/>
  <c r="C476" i="16"/>
  <c r="C502" i="16" s="1"/>
  <c r="B515" i="16" s="1"/>
  <c r="C358" i="16"/>
  <c r="B345" i="16"/>
  <c r="K27" i="19"/>
  <c r="K28" i="19" s="1"/>
  <c r="K33" i="19" s="1"/>
  <c r="O50" i="19" s="1"/>
  <c r="O52" i="19" s="1"/>
  <c r="I27" i="19"/>
  <c r="I28" i="19" s="1"/>
  <c r="I33" i="19" s="1"/>
  <c r="M50" i="19" s="1"/>
  <c r="M52" i="19" s="1"/>
  <c r="Y27" i="16"/>
  <c r="Y28" i="16" s="1"/>
  <c r="Y33" i="16" s="1"/>
  <c r="Y36" i="16" s="1"/>
  <c r="Y27" i="19"/>
  <c r="Y28" i="19" s="1"/>
  <c r="Y33" i="19" s="1"/>
  <c r="Y36" i="19" s="1"/>
  <c r="N27" i="16"/>
  <c r="N28" i="16" s="1"/>
  <c r="N33" i="16" s="1"/>
  <c r="N36" i="16" s="1"/>
  <c r="W27" i="18"/>
  <c r="W28" i="18" s="1"/>
  <c r="W33" i="18" s="1"/>
  <c r="W36" i="18" s="1"/>
  <c r="I27" i="16"/>
  <c r="I28" i="16" s="1"/>
  <c r="I33" i="16" s="1"/>
  <c r="I36" i="16" s="1"/>
  <c r="L27" i="19"/>
  <c r="L28" i="19" s="1"/>
  <c r="L33" i="19" s="1"/>
  <c r="P50" i="19" s="1"/>
  <c r="P52" i="19" s="1"/>
  <c r="T27" i="18"/>
  <c r="T28" i="18" s="1"/>
  <c r="T33" i="18" s="1"/>
  <c r="T36" i="18" s="1"/>
  <c r="U27" i="18"/>
  <c r="U28" i="18" s="1"/>
  <c r="U33" i="18" s="1"/>
  <c r="U36" i="18" s="1"/>
  <c r="K27" i="16"/>
  <c r="K28" i="16" s="1"/>
  <c r="K33" i="16" s="1"/>
  <c r="K36" i="16" s="1"/>
  <c r="S27" i="16"/>
  <c r="S28" i="16" s="1"/>
  <c r="S33" i="16" s="1"/>
  <c r="S36" i="16" s="1"/>
  <c r="S37" i="16" s="1"/>
  <c r="J27" i="16"/>
  <c r="J28" i="16" s="1"/>
  <c r="J33" i="16" s="1"/>
  <c r="J36" i="16" s="1"/>
  <c r="K36" i="19"/>
  <c r="L36" i="19"/>
  <c r="O43" i="19"/>
  <c r="D43" i="18"/>
  <c r="C46" i="18" s="1"/>
  <c r="U27" i="16"/>
  <c r="U28" i="16" s="1"/>
  <c r="U33" i="16" s="1"/>
  <c r="U36" i="16" s="1"/>
  <c r="M27" i="19"/>
  <c r="M28" i="19" s="1"/>
  <c r="M33" i="19" s="1"/>
  <c r="S27" i="18"/>
  <c r="S28" i="18" s="1"/>
  <c r="S33" i="18" s="1"/>
  <c r="S36" i="18" s="1"/>
  <c r="S37" i="18" s="1"/>
  <c r="I27" i="18"/>
  <c r="I28" i="18" s="1"/>
  <c r="I33" i="18" s="1"/>
  <c r="X27" i="18"/>
  <c r="X28" i="18" s="1"/>
  <c r="X33" i="18" s="1"/>
  <c r="X36" i="18" s="1"/>
  <c r="J27" i="18"/>
  <c r="J28" i="18" s="1"/>
  <c r="J33" i="18" s="1"/>
  <c r="X27" i="16"/>
  <c r="X28" i="16" s="1"/>
  <c r="X33" i="16" s="1"/>
  <c r="X36" i="16" s="1"/>
  <c r="W27" i="16"/>
  <c r="W28" i="16" s="1"/>
  <c r="W33" i="16" s="1"/>
  <c r="W36" i="16" s="1"/>
  <c r="M27" i="16"/>
  <c r="M28" i="16" s="1"/>
  <c r="M33" i="16" s="1"/>
  <c r="N27" i="18"/>
  <c r="N28" i="18" s="1"/>
  <c r="N33" i="18" s="1"/>
  <c r="N36" i="18" s="1"/>
  <c r="V27" i="16"/>
  <c r="V28" i="16" s="1"/>
  <c r="V33" i="16" s="1"/>
  <c r="V36" i="16" s="1"/>
  <c r="X27" i="19"/>
  <c r="X28" i="19" s="1"/>
  <c r="X33" i="19" s="1"/>
  <c r="X36" i="19" s="1"/>
  <c r="E478" i="15"/>
  <c r="E479" i="15" s="1"/>
  <c r="E484" i="15" s="1"/>
  <c r="I36" i="19"/>
  <c r="G36" i="17"/>
  <c r="G37" i="17" s="1"/>
  <c r="H37" i="17" s="1"/>
  <c r="G50" i="17"/>
  <c r="G52" i="17" s="1"/>
  <c r="G53" i="17" s="1"/>
  <c r="H53" i="17" s="1"/>
  <c r="K50" i="19"/>
  <c r="K52" i="19" s="1"/>
  <c r="K53" i="19" s="1"/>
  <c r="G36" i="19"/>
  <c r="G37" i="19" s="1"/>
  <c r="H487" i="15"/>
  <c r="B85" i="24" s="1"/>
  <c r="H523" i="15"/>
  <c r="H525" i="15" s="1"/>
  <c r="O43" i="18"/>
  <c r="T37" i="16"/>
  <c r="V37" i="17"/>
  <c r="W37" i="17" s="1"/>
  <c r="X37" i="17" s="1"/>
  <c r="Y37" i="17" s="1"/>
  <c r="K59" i="19"/>
  <c r="K61" i="19" s="1"/>
  <c r="K62" i="19" s="1"/>
  <c r="L62" i="19" s="1"/>
  <c r="M62" i="19" s="1"/>
  <c r="N62" i="19" s="1"/>
  <c r="O62" i="19" s="1"/>
  <c r="P62" i="19" s="1"/>
  <c r="Q62" i="19" s="1"/>
  <c r="D43" i="19"/>
  <c r="G46" i="19" s="1"/>
  <c r="K487" i="15"/>
  <c r="B88" i="24" s="1"/>
  <c r="K523" i="15"/>
  <c r="K525" i="15" s="1"/>
  <c r="I50" i="16"/>
  <c r="I52" i="16" s="1"/>
  <c r="K27" i="18"/>
  <c r="K28" i="18" s="1"/>
  <c r="K33" i="18" s="1"/>
  <c r="L27" i="18"/>
  <c r="L28" i="18" s="1"/>
  <c r="L33" i="18" s="1"/>
  <c r="V27" i="19"/>
  <c r="V28" i="19" s="1"/>
  <c r="V33" i="19" s="1"/>
  <c r="V36" i="19" s="1"/>
  <c r="V27" i="18"/>
  <c r="V28" i="18" s="1"/>
  <c r="V33" i="18" s="1"/>
  <c r="V36" i="18" s="1"/>
  <c r="S27" i="19"/>
  <c r="S28" i="19" s="1"/>
  <c r="S33" i="19" s="1"/>
  <c r="S36" i="19" s="1"/>
  <c r="S37" i="19" s="1"/>
  <c r="M27" i="18"/>
  <c r="M28" i="18" s="1"/>
  <c r="M33" i="18" s="1"/>
  <c r="J478" i="15"/>
  <c r="J479" i="15" s="1"/>
  <c r="J484" i="15" s="1"/>
  <c r="L478" i="15"/>
  <c r="L479" i="15" s="1"/>
  <c r="L484" i="15" s="1"/>
  <c r="L27" i="16"/>
  <c r="L28" i="16" s="1"/>
  <c r="L33" i="16" s="1"/>
  <c r="J27" i="19"/>
  <c r="J28" i="19" s="1"/>
  <c r="J33" i="19" s="1"/>
  <c r="I478" i="15"/>
  <c r="I479" i="15" s="1"/>
  <c r="I484" i="15" s="1"/>
  <c r="H27" i="18"/>
  <c r="H28" i="18" s="1"/>
  <c r="H33" i="18" s="1"/>
  <c r="G27" i="18"/>
  <c r="G28" i="18" s="1"/>
  <c r="G33" i="18" s="1"/>
  <c r="H27" i="16"/>
  <c r="H28" i="16" s="1"/>
  <c r="H33" i="16" s="1"/>
  <c r="T27" i="19"/>
  <c r="T28" i="19" s="1"/>
  <c r="T33" i="19" s="1"/>
  <c r="T36" i="19" s="1"/>
  <c r="G27" i="16"/>
  <c r="G28" i="16" s="1"/>
  <c r="G33" i="16" s="1"/>
  <c r="N27" i="19"/>
  <c r="N28" i="19" s="1"/>
  <c r="N33" i="19" s="1"/>
  <c r="N36" i="19" s="1"/>
  <c r="H27" i="19"/>
  <c r="H28" i="19" s="1"/>
  <c r="H33" i="19" s="1"/>
  <c r="U27" i="19"/>
  <c r="U28" i="19" s="1"/>
  <c r="U33" i="19" s="1"/>
  <c r="U36" i="19" s="1"/>
  <c r="Y27" i="18"/>
  <c r="Y28" i="18" s="1"/>
  <c r="Y33" i="18" s="1"/>
  <c r="Y36" i="18" s="1"/>
  <c r="I36" i="17"/>
  <c r="I50" i="17"/>
  <c r="I52" i="17" s="1"/>
  <c r="B375" i="15"/>
  <c r="C375" i="15"/>
  <c r="H431" i="15"/>
  <c r="H432" i="15" s="1"/>
  <c r="J431" i="15"/>
  <c r="J432" i="15" s="1"/>
  <c r="B63" i="22" s="1"/>
  <c r="I431" i="15"/>
  <c r="I432" i="15" s="1"/>
  <c r="G431" i="15"/>
  <c r="F453" i="15"/>
  <c r="B396" i="17" l="1"/>
  <c r="C396" i="17"/>
  <c r="C422" i="17" s="1"/>
  <c r="C375" i="19"/>
  <c r="B362" i="19"/>
  <c r="B375" i="19"/>
  <c r="C403" i="19"/>
  <c r="B403" i="19"/>
  <c r="C403" i="17"/>
  <c r="B403" i="17"/>
  <c r="B358" i="19"/>
  <c r="B371" i="19"/>
  <c r="C371" i="19"/>
  <c r="B390" i="17"/>
  <c r="C390" i="17"/>
  <c r="B384" i="17"/>
  <c r="C384" i="17"/>
  <c r="C518" i="18"/>
  <c r="B505" i="18"/>
  <c r="B365" i="19"/>
  <c r="C378" i="19"/>
  <c r="B378" i="19"/>
  <c r="C389" i="18"/>
  <c r="B389" i="18"/>
  <c r="B511" i="17"/>
  <c r="C377" i="18"/>
  <c r="B377" i="18"/>
  <c r="B364" i="18"/>
  <c r="C520" i="18"/>
  <c r="B507" i="18"/>
  <c r="C391" i="18"/>
  <c r="B391" i="18"/>
  <c r="C360" i="17"/>
  <c r="B347" i="17"/>
  <c r="B402" i="17"/>
  <c r="C402" i="17"/>
  <c r="C399" i="18"/>
  <c r="B399" i="18"/>
  <c r="C371" i="18"/>
  <c r="B358" i="18"/>
  <c r="B371" i="18"/>
  <c r="C384" i="18"/>
  <c r="B384" i="18"/>
  <c r="C509" i="18"/>
  <c r="B511" i="18"/>
  <c r="C385" i="18"/>
  <c r="B385" i="18"/>
  <c r="B396" i="19"/>
  <c r="C396" i="19"/>
  <c r="C422" i="19" s="1"/>
  <c r="C516" i="19"/>
  <c r="B503" i="19"/>
  <c r="C363" i="19"/>
  <c r="B350" i="19"/>
  <c r="B375" i="18"/>
  <c r="C375" i="18"/>
  <c r="B362" i="18"/>
  <c r="C363" i="17"/>
  <c r="B350" i="17"/>
  <c r="B383" i="17"/>
  <c r="C383" i="17"/>
  <c r="C362" i="18"/>
  <c r="B349" i="18"/>
  <c r="B387" i="17"/>
  <c r="C387" i="17"/>
  <c r="C485" i="17"/>
  <c r="C329" i="17"/>
  <c r="B342" i="17" s="1"/>
  <c r="B329" i="17"/>
  <c r="C388" i="19"/>
  <c r="B388" i="19"/>
  <c r="C515" i="17"/>
  <c r="B502" i="17"/>
  <c r="C486" i="18"/>
  <c r="B330" i="18"/>
  <c r="C330" i="18"/>
  <c r="B343" i="18" s="1"/>
  <c r="B391" i="17"/>
  <c r="C391" i="17"/>
  <c r="C400" i="18"/>
  <c r="B400" i="18"/>
  <c r="B386" i="19"/>
  <c r="C386" i="19"/>
  <c r="B385" i="17"/>
  <c r="C385" i="17"/>
  <c r="C518" i="17"/>
  <c r="B505" i="17"/>
  <c r="B130" i="24"/>
  <c r="B390" i="19"/>
  <c r="C390" i="19"/>
  <c r="B399" i="19"/>
  <c r="C399" i="19"/>
  <c r="C485" i="18"/>
  <c r="C329" i="18"/>
  <c r="B342" i="18" s="1"/>
  <c r="B329" i="18"/>
  <c r="B401" i="17"/>
  <c r="C401" i="17"/>
  <c r="B511" i="19"/>
  <c r="C509" i="19"/>
  <c r="C515" i="18"/>
  <c r="B502" i="18"/>
  <c r="B361" i="17"/>
  <c r="C374" i="17"/>
  <c r="B374" i="17"/>
  <c r="B360" i="17"/>
  <c r="B373" i="17"/>
  <c r="C373" i="17"/>
  <c r="B361" i="19"/>
  <c r="B374" i="19"/>
  <c r="C374" i="19"/>
  <c r="C304" i="17"/>
  <c r="B304" i="17"/>
  <c r="C473" i="17"/>
  <c r="C499" i="17" s="1"/>
  <c r="B512" i="17" s="1"/>
  <c r="B317" i="17"/>
  <c r="C317" i="17"/>
  <c r="C396" i="18"/>
  <c r="C422" i="18" s="1"/>
  <c r="B396" i="18"/>
  <c r="C384" i="19"/>
  <c r="B384" i="19"/>
  <c r="B398" i="18"/>
  <c r="C398" i="18"/>
  <c r="B388" i="17"/>
  <c r="C388" i="17"/>
  <c r="C362" i="16"/>
  <c r="C485" i="19"/>
  <c r="C329" i="19"/>
  <c r="B342" i="19" s="1"/>
  <c r="B329" i="19"/>
  <c r="B494" i="15"/>
  <c r="A505" i="15" s="1"/>
  <c r="C520" i="19"/>
  <c r="B507" i="19"/>
  <c r="C402" i="18"/>
  <c r="B402" i="18"/>
  <c r="B359" i="19"/>
  <c r="C372" i="19"/>
  <c r="B372" i="19"/>
  <c r="C376" i="19"/>
  <c r="B376" i="19"/>
  <c r="B363" i="19"/>
  <c r="B385" i="19"/>
  <c r="C385" i="19"/>
  <c r="B348" i="18"/>
  <c r="C361" i="18"/>
  <c r="B365" i="17"/>
  <c r="B378" i="17"/>
  <c r="C378" i="17"/>
  <c r="B358" i="17"/>
  <c r="C371" i="17"/>
  <c r="B371" i="17"/>
  <c r="C383" i="18"/>
  <c r="B383" i="18"/>
  <c r="C378" i="18"/>
  <c r="B365" i="18"/>
  <c r="B378" i="18"/>
  <c r="B383" i="19"/>
  <c r="C383" i="19"/>
  <c r="B506" i="17"/>
  <c r="C519" i="17"/>
  <c r="C390" i="18"/>
  <c r="B390" i="18"/>
  <c r="C398" i="17"/>
  <c r="B398" i="17"/>
  <c r="C386" i="18"/>
  <c r="B386" i="18"/>
  <c r="C391" i="19"/>
  <c r="B391" i="19"/>
  <c r="C486" i="19"/>
  <c r="C330" i="19"/>
  <c r="B343" i="19" s="1"/>
  <c r="B330" i="19"/>
  <c r="B348" i="19"/>
  <c r="C361" i="19"/>
  <c r="C376" i="16"/>
  <c r="B376" i="16"/>
  <c r="B363" i="16"/>
  <c r="C365" i="16"/>
  <c r="B352" i="16"/>
  <c r="C363" i="16"/>
  <c r="B350" i="16"/>
  <c r="C398" i="16"/>
  <c r="B398" i="16"/>
  <c r="C396" i="16"/>
  <c r="C422" i="16" s="1"/>
  <c r="B396" i="16"/>
  <c r="C400" i="16"/>
  <c r="B400" i="16"/>
  <c r="C404" i="16"/>
  <c r="B404" i="16"/>
  <c r="B303" i="16"/>
  <c r="C303" i="16"/>
  <c r="C472" i="16"/>
  <c r="C498" i="16" s="1"/>
  <c r="C316" i="16"/>
  <c r="B316" i="16"/>
  <c r="C361" i="16"/>
  <c r="B348" i="16"/>
  <c r="C397" i="16"/>
  <c r="B397" i="16"/>
  <c r="C384" i="16"/>
  <c r="B384" i="16"/>
  <c r="B364" i="16"/>
  <c r="B377" i="16"/>
  <c r="C377" i="16"/>
  <c r="B390" i="16"/>
  <c r="C390" i="16"/>
  <c r="B383" i="16"/>
  <c r="C383" i="16"/>
  <c r="C486" i="16"/>
  <c r="B330" i="16"/>
  <c r="C330" i="16"/>
  <c r="B343" i="16" s="1"/>
  <c r="C359" i="16"/>
  <c r="B346" i="16"/>
  <c r="B386" i="16"/>
  <c r="C386" i="16"/>
  <c r="C388" i="16"/>
  <c r="B388" i="16"/>
  <c r="C399" i="16"/>
  <c r="B399" i="16"/>
  <c r="B401" i="16"/>
  <c r="C401" i="16"/>
  <c r="K50" i="16"/>
  <c r="K52" i="16" s="1"/>
  <c r="G55" i="19"/>
  <c r="T37" i="18"/>
  <c r="U37" i="18" s="1"/>
  <c r="J50" i="16"/>
  <c r="J52" i="16" s="1"/>
  <c r="U37" i="16"/>
  <c r="V37" i="16" s="1"/>
  <c r="W37" i="16" s="1"/>
  <c r="X37" i="16" s="1"/>
  <c r="Y37" i="16" s="1"/>
  <c r="I433" i="15"/>
  <c r="B62" i="22"/>
  <c r="G36" i="16"/>
  <c r="G37" i="16" s="1"/>
  <c r="G50" i="16"/>
  <c r="G52" i="16" s="1"/>
  <c r="G53" i="16" s="1"/>
  <c r="H50" i="18"/>
  <c r="H52" i="18" s="1"/>
  <c r="H36" i="18"/>
  <c r="L487" i="15"/>
  <c r="B89" i="24" s="1"/>
  <c r="L523" i="15"/>
  <c r="L525" i="15" s="1"/>
  <c r="K36" i="18"/>
  <c r="K50" i="18"/>
  <c r="K52" i="18" s="1"/>
  <c r="I37" i="17"/>
  <c r="J37" i="17" s="1"/>
  <c r="K37" i="17" s="1"/>
  <c r="L37" i="17" s="1"/>
  <c r="M37" i="17" s="1"/>
  <c r="N37" i="17" s="1"/>
  <c r="I36" i="18"/>
  <c r="I50" i="18"/>
  <c r="I52" i="18" s="1"/>
  <c r="F456" i="15"/>
  <c r="F457" i="15"/>
  <c r="I487" i="15"/>
  <c r="B86" i="24" s="1"/>
  <c r="I523" i="15"/>
  <c r="I525" i="15" s="1"/>
  <c r="J487" i="15"/>
  <c r="B87" i="24" s="1"/>
  <c r="J523" i="15"/>
  <c r="J525" i="15" s="1"/>
  <c r="H453" i="15"/>
  <c r="G434" i="15"/>
  <c r="B78" i="22" s="1"/>
  <c r="B61" i="22"/>
  <c r="H36" i="19"/>
  <c r="H37" i="19" s="1"/>
  <c r="I37" i="19" s="1"/>
  <c r="L50" i="19"/>
  <c r="L52" i="19" s="1"/>
  <c r="L53" i="19" s="1"/>
  <c r="M53" i="19" s="1"/>
  <c r="H36" i="16"/>
  <c r="H50" i="16"/>
  <c r="H52" i="16" s="1"/>
  <c r="N50" i="19"/>
  <c r="N52" i="19" s="1"/>
  <c r="J36" i="19"/>
  <c r="M50" i="18"/>
  <c r="M52" i="18" s="1"/>
  <c r="M36" i="18"/>
  <c r="L50" i="18"/>
  <c r="L52" i="18" s="1"/>
  <c r="L36" i="18"/>
  <c r="V37" i="18"/>
  <c r="W37" i="18" s="1"/>
  <c r="X37" i="18" s="1"/>
  <c r="Y37" i="18" s="1"/>
  <c r="J50" i="18"/>
  <c r="J52" i="18" s="1"/>
  <c r="J36" i="18"/>
  <c r="Q50" i="19"/>
  <c r="Q52" i="19" s="1"/>
  <c r="M36" i="19"/>
  <c r="A72" i="22"/>
  <c r="B72" i="22"/>
  <c r="A81" i="22" s="1"/>
  <c r="G50" i="18"/>
  <c r="G52" i="18" s="1"/>
  <c r="G53" i="18" s="1"/>
  <c r="G36" i="18"/>
  <c r="G37" i="18" s="1"/>
  <c r="H37" i="18" s="1"/>
  <c r="I37" i="18" s="1"/>
  <c r="L36" i="16"/>
  <c r="L50" i="16"/>
  <c r="L52" i="16" s="1"/>
  <c r="T37" i="19"/>
  <c r="U37" i="19" s="1"/>
  <c r="V37" i="19" s="1"/>
  <c r="W37" i="19" s="1"/>
  <c r="X37" i="19" s="1"/>
  <c r="Y37" i="19" s="1"/>
  <c r="G57" i="19" s="1"/>
  <c r="B505" i="15"/>
  <c r="I53" i="17"/>
  <c r="J53" i="17" s="1"/>
  <c r="K53" i="17" s="1"/>
  <c r="L53" i="17" s="1"/>
  <c r="M53" i="17" s="1"/>
  <c r="C48" i="17" s="1"/>
  <c r="E487" i="15"/>
  <c r="E523" i="15"/>
  <c r="E525" i="15" s="1"/>
  <c r="E526" i="15" s="1"/>
  <c r="F526" i="15" s="1"/>
  <c r="G526" i="15" s="1"/>
  <c r="H526" i="15" s="1"/>
  <c r="I526" i="15" s="1"/>
  <c r="J526" i="15" s="1"/>
  <c r="K526" i="15" s="1"/>
  <c r="L526" i="15" s="1"/>
  <c r="M50" i="16"/>
  <c r="M52" i="16" s="1"/>
  <c r="M36" i="16"/>
  <c r="G435" i="15"/>
  <c r="D485" i="15"/>
  <c r="H456" i="15"/>
  <c r="J433" i="15"/>
  <c r="J434" i="15" s="1"/>
  <c r="J435" i="15" s="1"/>
  <c r="I464" i="15" s="1"/>
  <c r="I434" i="15"/>
  <c r="G432" i="15"/>
  <c r="B60" i="22" s="1"/>
  <c r="I453" i="15"/>
  <c r="H433" i="15"/>
  <c r="H434" i="15" s="1"/>
  <c r="H459" i="15" s="1"/>
  <c r="H458" i="15" s="1"/>
  <c r="G453" i="15"/>
  <c r="J453" i="15"/>
  <c r="J456" i="15" s="1"/>
  <c r="F461" i="15"/>
  <c r="C387" i="19" l="1"/>
  <c r="B387" i="19"/>
  <c r="B499" i="19"/>
  <c r="C512" i="19"/>
  <c r="C412" i="18"/>
  <c r="B412" i="18"/>
  <c r="C416" i="18"/>
  <c r="B416" i="18"/>
  <c r="C387" i="18"/>
  <c r="B387" i="18"/>
  <c r="B398" i="19"/>
  <c r="C398" i="19"/>
  <c r="B410" i="19"/>
  <c r="C410" i="19"/>
  <c r="B400" i="19"/>
  <c r="C400" i="19"/>
  <c r="B412" i="19"/>
  <c r="C412" i="19"/>
  <c r="C417" i="17"/>
  <c r="B417" i="17"/>
  <c r="B499" i="18"/>
  <c r="C512" i="18"/>
  <c r="C414" i="19"/>
  <c r="B414" i="19"/>
  <c r="B413" i="17"/>
  <c r="C413" i="17"/>
  <c r="C409" i="17"/>
  <c r="C435" i="17" s="1"/>
  <c r="B409" i="17"/>
  <c r="C389" i="19"/>
  <c r="B389" i="19"/>
  <c r="B404" i="19"/>
  <c r="C404" i="19"/>
  <c r="C410" i="17"/>
  <c r="B410" i="17"/>
  <c r="C397" i="19"/>
  <c r="B397" i="19"/>
  <c r="C409" i="18"/>
  <c r="C435" i="18" s="1"/>
  <c r="B409" i="18"/>
  <c r="B404" i="17"/>
  <c r="C404" i="17"/>
  <c r="B498" i="19"/>
  <c r="C511" i="19"/>
  <c r="C522" i="19" s="1"/>
  <c r="C511" i="18"/>
  <c r="C522" i="18" s="1"/>
  <c r="B498" i="18"/>
  <c r="B416" i="19"/>
  <c r="C416" i="19"/>
  <c r="C401" i="18"/>
  <c r="B401" i="18"/>
  <c r="C397" i="18"/>
  <c r="B397" i="18"/>
  <c r="C417" i="18"/>
  <c r="B417" i="18"/>
  <c r="C401" i="19"/>
  <c r="B401" i="19"/>
  <c r="E488" i="15"/>
  <c r="F488" i="15" s="1"/>
  <c r="G488" i="15" s="1"/>
  <c r="H488" i="15" s="1"/>
  <c r="I488" i="15" s="1"/>
  <c r="J488" i="15" s="1"/>
  <c r="K488" i="15" s="1"/>
  <c r="L488" i="15" s="1"/>
  <c r="A530" i="15" s="1"/>
  <c r="B82" i="24"/>
  <c r="B95" i="24" s="1"/>
  <c r="B96" i="24" s="1"/>
  <c r="B97" i="24" s="1"/>
  <c r="B98" i="24" s="1"/>
  <c r="B99" i="24" s="1"/>
  <c r="B100" i="24" s="1"/>
  <c r="B101" i="24" s="1"/>
  <c r="B102" i="24" s="1"/>
  <c r="B417" i="19"/>
  <c r="C417" i="19"/>
  <c r="C411" i="19"/>
  <c r="B411" i="19"/>
  <c r="B402" i="19"/>
  <c r="C402" i="19"/>
  <c r="C423" i="18"/>
  <c r="C424" i="18" s="1"/>
  <c r="C425" i="18" s="1"/>
  <c r="C426" i="18" s="1"/>
  <c r="C427" i="18" s="1"/>
  <c r="C428" i="18" s="1"/>
  <c r="C411" i="17"/>
  <c r="B411" i="17"/>
  <c r="C411" i="18"/>
  <c r="B411" i="18"/>
  <c r="C410" i="18"/>
  <c r="B410" i="18"/>
  <c r="C403" i="18"/>
  <c r="B403" i="18"/>
  <c r="C415" i="18"/>
  <c r="B415" i="18"/>
  <c r="B416" i="17"/>
  <c r="C416" i="17"/>
  <c r="C409" i="19"/>
  <c r="C435" i="19" s="1"/>
  <c r="C436" i="19" s="1"/>
  <c r="C437" i="19" s="1"/>
  <c r="C438" i="19" s="1"/>
  <c r="B409" i="19"/>
  <c r="C404" i="18"/>
  <c r="B404" i="18"/>
  <c r="C397" i="17"/>
  <c r="C423" i="17" s="1"/>
  <c r="C424" i="17" s="1"/>
  <c r="C425" i="17" s="1"/>
  <c r="C426" i="17" s="1"/>
  <c r="C427" i="17" s="1"/>
  <c r="C428" i="17" s="1"/>
  <c r="C429" i="17" s="1"/>
  <c r="C430" i="17" s="1"/>
  <c r="B397" i="17"/>
  <c r="C414" i="17"/>
  <c r="B414" i="17"/>
  <c r="C486" i="17"/>
  <c r="C330" i="17"/>
  <c r="B343" i="17" s="1"/>
  <c r="B330" i="17"/>
  <c r="C399" i="17"/>
  <c r="B399" i="17"/>
  <c r="C400" i="17"/>
  <c r="B400" i="17"/>
  <c r="C511" i="17"/>
  <c r="B498" i="17"/>
  <c r="B388" i="18"/>
  <c r="C388" i="18"/>
  <c r="B389" i="17"/>
  <c r="C389" i="17"/>
  <c r="C423" i="19"/>
  <c r="C424" i="19" s="1"/>
  <c r="C425" i="19" s="1"/>
  <c r="C426" i="19" s="1"/>
  <c r="C427" i="19" s="1"/>
  <c r="C428" i="19" s="1"/>
  <c r="C429" i="19" s="1"/>
  <c r="C430" i="19" s="1"/>
  <c r="B386" i="17"/>
  <c r="C386" i="17"/>
  <c r="C509" i="17"/>
  <c r="G56" i="19"/>
  <c r="H53" i="18"/>
  <c r="I53" i="18" s="1"/>
  <c r="J53" i="18" s="1"/>
  <c r="K53" i="18" s="1"/>
  <c r="L53" i="18" s="1"/>
  <c r="M53" i="18" s="1"/>
  <c r="C423" i="16"/>
  <c r="C424" i="16" s="1"/>
  <c r="C425" i="16" s="1"/>
  <c r="C426" i="16" s="1"/>
  <c r="C427" i="16" s="1"/>
  <c r="C509" i="16"/>
  <c r="B511" i="16"/>
  <c r="C412" i="16"/>
  <c r="B412" i="16"/>
  <c r="C391" i="16"/>
  <c r="B391" i="16"/>
  <c r="C416" i="16"/>
  <c r="B416" i="16"/>
  <c r="B499" i="16"/>
  <c r="C512" i="16"/>
  <c r="B389" i="16"/>
  <c r="C389" i="16"/>
  <c r="C414" i="16"/>
  <c r="B414" i="16"/>
  <c r="B385" i="16"/>
  <c r="C385" i="16"/>
  <c r="C409" i="16"/>
  <c r="C435" i="16" s="1"/>
  <c r="B409" i="16"/>
  <c r="C403" i="16"/>
  <c r="B403" i="16"/>
  <c r="C410" i="16"/>
  <c r="B410" i="16"/>
  <c r="B387" i="16"/>
  <c r="C387" i="16"/>
  <c r="C485" i="16"/>
  <c r="C329" i="16"/>
  <c r="B342" i="16" s="1"/>
  <c r="B329" i="16"/>
  <c r="C402" i="16"/>
  <c r="B402" i="16"/>
  <c r="J37" i="19"/>
  <c r="K37" i="19" s="1"/>
  <c r="L37" i="19" s="1"/>
  <c r="M37" i="19" s="1"/>
  <c r="N37" i="19" s="1"/>
  <c r="H53" i="16"/>
  <c r="I53" i="16" s="1"/>
  <c r="J53" i="16" s="1"/>
  <c r="K53" i="16" s="1"/>
  <c r="L53" i="16" s="1"/>
  <c r="M53" i="16" s="1"/>
  <c r="J37" i="18"/>
  <c r="K37" i="18" s="1"/>
  <c r="L37" i="18" s="1"/>
  <c r="M37" i="18" s="1"/>
  <c r="N37" i="18" s="1"/>
  <c r="C47" i="18" s="1"/>
  <c r="B81" i="22"/>
  <c r="B90" i="22" s="1"/>
  <c r="N53" i="19"/>
  <c r="O53" i="19" s="1"/>
  <c r="P53" i="19" s="1"/>
  <c r="Q53" i="19" s="1"/>
  <c r="I458" i="15"/>
  <c r="B87" i="22"/>
  <c r="A87" i="22"/>
  <c r="A506" i="15"/>
  <c r="B506" i="15"/>
  <c r="H37" i="16"/>
  <c r="I37" i="16" s="1"/>
  <c r="J37" i="16" s="1"/>
  <c r="K37" i="16" s="1"/>
  <c r="L37" i="16" s="1"/>
  <c r="M37" i="16" s="1"/>
  <c r="N37" i="16" s="1"/>
  <c r="A71" i="22"/>
  <c r="B71" i="22"/>
  <c r="B80" i="22" s="1"/>
  <c r="A69" i="22"/>
  <c r="B69" i="22"/>
  <c r="A78" i="22"/>
  <c r="A70" i="22"/>
  <c r="B70" i="22"/>
  <c r="B79" i="22" s="1"/>
  <c r="B7" i="23"/>
  <c r="G457" i="15"/>
  <c r="B8" i="23" s="1"/>
  <c r="F34" i="18"/>
  <c r="Q34" i="18" s="1"/>
  <c r="F34" i="17"/>
  <c r="Q34" i="17" s="1"/>
  <c r="E485" i="15"/>
  <c r="F34" i="19"/>
  <c r="Q34" i="19" s="1"/>
  <c r="F34" i="16"/>
  <c r="Q34" i="16" s="1"/>
  <c r="H435" i="15"/>
  <c r="I459" i="15"/>
  <c r="I456" i="15"/>
  <c r="I461" i="15"/>
  <c r="B18" i="23" s="1"/>
  <c r="I435" i="15"/>
  <c r="G34" i="16"/>
  <c r="R34" i="16" s="1"/>
  <c r="G34" i="17"/>
  <c r="R34" i="17" s="1"/>
  <c r="G461" i="15"/>
  <c r="G456" i="15"/>
  <c r="F464" i="15"/>
  <c r="B412" i="17" l="1"/>
  <c r="C412" i="17"/>
  <c r="G48" i="19"/>
  <c r="C414" i="18"/>
  <c r="B414" i="18"/>
  <c r="C429" i="18"/>
  <c r="C430" i="18" s="1"/>
  <c r="C436" i="17"/>
  <c r="C437" i="17" s="1"/>
  <c r="B415" i="17"/>
  <c r="C415" i="17"/>
  <c r="B499" i="17"/>
  <c r="C512" i="17"/>
  <c r="C522" i="17" s="1"/>
  <c r="C439" i="19"/>
  <c r="C440" i="19" s="1"/>
  <c r="C441" i="19" s="1"/>
  <c r="C442" i="19" s="1"/>
  <c r="C443" i="19" s="1"/>
  <c r="C436" i="18"/>
  <c r="C437" i="18" s="1"/>
  <c r="C438" i="18" s="1"/>
  <c r="C415" i="19"/>
  <c r="B415" i="19"/>
  <c r="C413" i="18"/>
  <c r="B413" i="18"/>
  <c r="C413" i="19"/>
  <c r="B413" i="19"/>
  <c r="G47" i="19"/>
  <c r="C48" i="18"/>
  <c r="C428" i="16"/>
  <c r="C429" i="16" s="1"/>
  <c r="C430" i="16" s="1"/>
  <c r="C511" i="16"/>
  <c r="C522" i="16" s="1"/>
  <c r="B498" i="16"/>
  <c r="C436" i="16"/>
  <c r="C413" i="16"/>
  <c r="B413" i="16"/>
  <c r="C411" i="16"/>
  <c r="B411" i="16"/>
  <c r="C415" i="16"/>
  <c r="B415" i="16"/>
  <c r="C417" i="16"/>
  <c r="B417" i="16"/>
  <c r="A90" i="22"/>
  <c r="A80" i="22"/>
  <c r="A88" i="22"/>
  <c r="B88" i="22"/>
  <c r="A89" i="22"/>
  <c r="B89" i="22"/>
  <c r="A79" i="22"/>
  <c r="C48" i="16"/>
  <c r="C47" i="16"/>
  <c r="H461" i="15"/>
  <c r="G34" i="18"/>
  <c r="R34" i="18" s="1"/>
  <c r="G34" i="19"/>
  <c r="R34" i="19" s="1"/>
  <c r="H457" i="15"/>
  <c r="H464" i="15"/>
  <c r="G464" i="15" l="1"/>
  <c r="B17" i="23"/>
  <c r="C438" i="17"/>
  <c r="C439" i="17" s="1"/>
  <c r="C440" i="17" s="1"/>
  <c r="C441" i="17" s="1"/>
  <c r="C442" i="17" s="1"/>
  <c r="C443" i="17" s="1"/>
  <c r="C439" i="18"/>
  <c r="C440" i="18" s="1"/>
  <c r="C441" i="18" s="1"/>
  <c r="C442" i="18" s="1"/>
  <c r="C443" i="18" s="1"/>
  <c r="C437" i="16"/>
  <c r="C438" i="16" s="1"/>
  <c r="C439" i="16" s="1"/>
  <c r="C440" i="16" s="1"/>
  <c r="C441" i="16" s="1"/>
  <c r="C442" i="16" s="1"/>
  <c r="C443" i="16" s="1"/>
  <c r="H34" i="19"/>
  <c r="S34" i="19" s="1"/>
  <c r="B9" i="23"/>
  <c r="I457" i="15"/>
  <c r="H34" i="17"/>
  <c r="S34" i="17" s="1"/>
  <c r="H34" i="18"/>
  <c r="S34" i="18" s="1"/>
  <c r="F485" i="15"/>
  <c r="H34" i="16"/>
  <c r="S34" i="16" s="1"/>
  <c r="I34" i="16"/>
  <c r="T34" i="16" s="1"/>
  <c r="I34" i="18"/>
  <c r="T34" i="18" s="1"/>
  <c r="I34" i="19"/>
  <c r="T34" i="19" s="1"/>
  <c r="I34" i="17" l="1"/>
  <c r="T34" i="17" s="1"/>
  <c r="B10" i="23"/>
  <c r="J457" i="15"/>
  <c r="B11" i="23" s="1"/>
  <c r="G485" i="15"/>
  <c r="J485" i="15" l="1"/>
  <c r="H485" i="15"/>
  <c r="J34" i="16"/>
  <c r="U34" i="16" s="1"/>
  <c r="K485" i="15"/>
  <c r="J34" i="17"/>
  <c r="K34" i="17" s="1"/>
  <c r="V34" i="17" s="1"/>
  <c r="J34" i="19"/>
  <c r="U34" i="19" s="1"/>
  <c r="L485" i="15"/>
  <c r="I485" i="15"/>
  <c r="J34" i="18"/>
  <c r="L34" i="18" s="1"/>
  <c r="W34" i="18" s="1"/>
  <c r="L34" i="16"/>
  <c r="W34" i="16" s="1"/>
  <c r="N34" i="16"/>
  <c r="Y34" i="16" s="1"/>
  <c r="N34" i="17" l="1"/>
  <c r="Y34" i="17" s="1"/>
  <c r="M34" i="17"/>
  <c r="X34" i="17" s="1"/>
  <c r="L34" i="17"/>
  <c r="W34" i="17" s="1"/>
  <c r="L34" i="19"/>
  <c r="W34" i="19" s="1"/>
  <c r="K34" i="19"/>
  <c r="V34" i="19" s="1"/>
  <c r="M34" i="19"/>
  <c r="X34" i="19" s="1"/>
  <c r="U34" i="17"/>
  <c r="N34" i="19"/>
  <c r="Y34" i="19" s="1"/>
  <c r="M34" i="16"/>
  <c r="X34" i="16" s="1"/>
  <c r="K34" i="16"/>
  <c r="V34" i="16" s="1"/>
  <c r="N34" i="18"/>
  <c r="Y34" i="18" s="1"/>
  <c r="U34" i="18"/>
  <c r="K34" i="18"/>
  <c r="V34" i="18" s="1"/>
  <c r="M34" i="18"/>
  <c r="X34" i="18" s="1"/>
</calcChain>
</file>

<file path=xl/sharedStrings.xml><?xml version="1.0" encoding="utf-8"?>
<sst xmlns="http://schemas.openxmlformats.org/spreadsheetml/2006/main" count="1413" uniqueCount="456">
  <si>
    <t>Наименование операции</t>
  </si>
  <si>
    <t>Наименование оборудования</t>
  </si>
  <si>
    <t>Мощность, кВт</t>
  </si>
  <si>
    <t>Коэффициент загрузки, %</t>
  </si>
  <si>
    <t>Кол-во единиц оборудования</t>
  </si>
  <si>
    <t>Цена за единицу оборудования, тыс. руб</t>
  </si>
  <si>
    <t>Норма времени, мин.</t>
  </si>
  <si>
    <t>Категория ремонтной сложности</t>
  </si>
  <si>
    <t>Работа оборудования в две смены</t>
  </si>
  <si>
    <t>Количество</t>
  </si>
  <si>
    <t>R явочное =</t>
  </si>
  <si>
    <t>H обслуживания =</t>
  </si>
  <si>
    <t>Количество смен =</t>
  </si>
  <si>
    <t>R наладчиков =</t>
  </si>
  <si>
    <t>R кол-во ставок вспом. рабочих =</t>
  </si>
  <si>
    <t>Всего человек (ставок)</t>
  </si>
  <si>
    <t>Сводная ведомость общего состава работающих на участке</t>
  </si>
  <si>
    <t>Категория работающих</t>
  </si>
  <si>
    <t>В % от общего кол-ва работающих</t>
  </si>
  <si>
    <t>По сменам</t>
  </si>
  <si>
    <t>Первая смена</t>
  </si>
  <si>
    <t>Вторая смена</t>
  </si>
  <si>
    <t>Производственные рабочие</t>
  </si>
  <si>
    <t>Вспомогательные рабочие</t>
  </si>
  <si>
    <t>РСС</t>
  </si>
  <si>
    <t>Всего</t>
  </si>
  <si>
    <t>ГПП =</t>
  </si>
  <si>
    <t>Часовая тарифная ставка</t>
  </si>
  <si>
    <r>
      <rPr>
        <sz val="14"/>
        <color theme="1"/>
        <rFont val="Calibri"/>
        <family val="2"/>
        <charset val="204"/>
      </rPr>
      <t xml:space="preserve">β </t>
    </r>
    <r>
      <rPr>
        <sz val="12"/>
        <color theme="1"/>
        <rFont val="Comic Sans MS"/>
        <family val="4"/>
        <charset val="204"/>
      </rPr>
      <t>=</t>
    </r>
  </si>
  <si>
    <t>Наименование профессий</t>
  </si>
  <si>
    <t>Кол-во рабочих</t>
  </si>
  <si>
    <t>Разряд работы</t>
  </si>
  <si>
    <t>Норма времени на операцию</t>
  </si>
  <si>
    <t>Сдельная расценка на операцию</t>
  </si>
  <si>
    <t>Прямая з.п.</t>
  </si>
  <si>
    <t>Размер премии</t>
  </si>
  <si>
    <t>Основная з.п.</t>
  </si>
  <si>
    <t>Доп. з.п.</t>
  </si>
  <si>
    <t>ФЗП</t>
  </si>
  <si>
    <t>З.П. основных рабочих по операциям</t>
  </si>
  <si>
    <t>З.П. вспомогательных рабочих по операциям</t>
  </si>
  <si>
    <t>Контролер</t>
  </si>
  <si>
    <t>Раздатчик инструмента</t>
  </si>
  <si>
    <t>Слесарь-ремонтник</t>
  </si>
  <si>
    <t>Дежурный э/м</t>
  </si>
  <si>
    <t>Дежурный ремонтный слесарь</t>
  </si>
  <si>
    <t>Уборщик</t>
  </si>
  <si>
    <t>Наладчик</t>
  </si>
  <si>
    <t>З.П. Мастера</t>
  </si>
  <si>
    <t>Итого по уч-ку</t>
  </si>
  <si>
    <t>Профессия</t>
  </si>
  <si>
    <t>Разряд</t>
  </si>
  <si>
    <t>Наименование категории</t>
  </si>
  <si>
    <t>Среднегодовая зарплата работающего, руб.</t>
  </si>
  <si>
    <t>Среднемесячная зарплата работающего, руб</t>
  </si>
  <si>
    <t>По участку в целом, в том числе:</t>
  </si>
  <si>
    <t>производственные рабочие</t>
  </si>
  <si>
    <t>вспомогательные рабочие</t>
  </si>
  <si>
    <t>Формулы для таблицы 4</t>
  </si>
  <si>
    <t>Расчет для таблицы 4</t>
  </si>
  <si>
    <t>Таблица 4</t>
  </si>
  <si>
    <t>Всп. Рабочие</t>
  </si>
  <si>
    <t>Формулы для таблицы 5</t>
  </si>
  <si>
    <t>Важное</t>
  </si>
  <si>
    <t>R списочное = (1 + 0,11) * 2 * 28=</t>
  </si>
  <si>
    <t>R контроллеров = 62 * 5% =</t>
  </si>
  <si>
    <t>R раздатчиков инструментов = 62/33 =</t>
  </si>
  <si>
    <t>R слесарей ремонтников = 10% * 28 * 2 =</t>
  </si>
  <si>
    <t>R дежурный э/м = (28 * 2)/100 =</t>
  </si>
  <si>
    <t>R дежурный рем. слесарей = (28 * 2)/25 =</t>
  </si>
  <si>
    <t>R уборщиц = 2% * 62 =</t>
  </si>
  <si>
    <t>R рсс = 62/20 =</t>
  </si>
  <si>
    <t>Расчеты для таблицы 5</t>
  </si>
  <si>
    <t>Год. выработка на 1 работающего = 75 000/85,32 =</t>
  </si>
  <si>
    <t>Год. выработка на 1 рабочего = 75 000/62 =</t>
  </si>
  <si>
    <t>Мес. выработка на 1 рабочего = 1209,68/12 =</t>
  </si>
  <si>
    <t>Мес. выработка на 1 работающего = 879,04/12 =</t>
  </si>
  <si>
    <t>Сдельная расценка 1 = (0,67 * 124,36)/60 =</t>
  </si>
  <si>
    <t>Сдельная расценка 2 = (0,56 * 124,36)/60 =</t>
  </si>
  <si>
    <t>Сдельная расценка 3 = (0,45 * 124,36)/60 =</t>
  </si>
  <si>
    <t>Сдельная расценка 4 = (0,30 * 124,36)/60 =</t>
  </si>
  <si>
    <t>Сдельная расценка 5 = (0,39 * 124,36)/60 =</t>
  </si>
  <si>
    <t>Сдельная расценка 6 = (0,43 * 124,36)/60 =</t>
  </si>
  <si>
    <t>Сумма премии 1 = 50% * прямая ЗП 1 =</t>
  </si>
  <si>
    <t>Сумма премии 2 = 50% * прямая ЗП 2 =</t>
  </si>
  <si>
    <t>Сумма премии 3 = 50% * прямая ЗП 3 =</t>
  </si>
  <si>
    <t>Сумма премии 4 = 50% * прямая ЗП 4 =</t>
  </si>
  <si>
    <t>Сумма премии 5 = 50% * прямая ЗП 5 =</t>
  </si>
  <si>
    <t>Сумма премии 6 = 50% * прямая ЗП 6 =</t>
  </si>
  <si>
    <t>Районный коэффициент =</t>
  </si>
  <si>
    <t>Часовая тарифная ставка =</t>
  </si>
  <si>
    <t>Основная з.п. 1 = (прямая ЗП 1 + сумма премии 1) * 1,15 =</t>
  </si>
  <si>
    <t>Основная з.п. 2 = (прямая ЗП 2 + сумма премии 2) * 1,15 =</t>
  </si>
  <si>
    <t>Основная з.п. 3 = (прямая ЗП 3 + сумма премии 3) * 1,15 =</t>
  </si>
  <si>
    <t>Основная з.п. 4 = (прямая ЗП 4 + сумма премии 4) * 1,15 =</t>
  </si>
  <si>
    <t>Основная з.п. 5 = (прямая ЗП 5 + сумма премии 5) * 1,15 =</t>
  </si>
  <si>
    <t>Основная з.п. 6 = (прямая ЗП 6 + сумма премии 6) * 1,15 =</t>
  </si>
  <si>
    <t>Доп. з.п. 1 = 20% * Основная ЗП 1 =</t>
  </si>
  <si>
    <t>Доп. з.п. 2 = 20% * Основная ЗП 2 =</t>
  </si>
  <si>
    <t>Доп. з.п. 3 = 20% * Основная ЗП 3 =</t>
  </si>
  <si>
    <t>Доп. з.п. 4 = 20% * Основная ЗП 4 =</t>
  </si>
  <si>
    <t>Доп. з.п. 5 = 20% * Основная ЗП 5 =</t>
  </si>
  <si>
    <t>Доп. з.п. 6 = 20% * Основная ЗП 6 =</t>
  </si>
  <si>
    <t>ФЗП 1 = Основная ЗП 1 + Доп. ЗП 1 =</t>
  </si>
  <si>
    <t>ФЗП 2 = Основная ЗП 2 + Доп. ЗП 2 =</t>
  </si>
  <si>
    <t>ФЗП 3 = Основная ЗП 3 + Доп. ЗП 3 =</t>
  </si>
  <si>
    <t>ФЗП 4 = Основная ЗП 4 + Доп. ЗП 4 =</t>
  </si>
  <si>
    <t>ФЗП 5 = Основная ЗП 5 + Доп. ЗП 5 =</t>
  </si>
  <si>
    <t>ФЗП 6 = Основная ЗП 6 + Доп. ЗП 6 =</t>
  </si>
  <si>
    <t>Номинальный фонд времени работы рабочего за год = (365 - 115) * 8 - 6 =</t>
  </si>
  <si>
    <t>Эффективный фонд времени работы рабочего в течение года = номинальный фонд * (1 - 0,11) =</t>
  </si>
  <si>
    <t>Прямая з.п. всп. р. 1 = эффективный фонд * 124,36 * 3,1 =</t>
  </si>
  <si>
    <t>Прямая з.п. всп. р. 2 = эффективный фонд * 124,36 * 1,88 =</t>
  </si>
  <si>
    <t>Прямая з.п. всп. р. 3 = эффективный фонд * 124,36 * 5,6 =</t>
  </si>
  <si>
    <t>Прямая з.п. всп. р. 7 = эффективный фонд * 124,36 * 5,6 =</t>
  </si>
  <si>
    <t>Прямая з.п. всп. р. 6 = эффективный фонд * 124,36 * 1,24 =</t>
  </si>
  <si>
    <t>Прямая з.п. всп. р. 5 = эффективный фонд * 124,36 * 2,24 =</t>
  </si>
  <si>
    <t>Прямая з.п. всп. р. 4 = эффективный фонд * 124,36 * 0,56 =</t>
  </si>
  <si>
    <t>Сумма премии всп. р. 1 = 40% * прямая ЗП всп. р. 1 =</t>
  </si>
  <si>
    <t>Сумма премии всп. р. 7 = 40% * прямая ЗП всп. р. 7 =</t>
  </si>
  <si>
    <t>Сумма премии всп. р. 2 = 40% * прямая ЗП всп. р. 2 =</t>
  </si>
  <si>
    <t>Сумма премии всп. р. 3 = 40% * прямая ЗП всп. р. 3 =</t>
  </si>
  <si>
    <t>Сумма премии всп. р. 4 = 40% * прямая ЗП всп. р. 4 =</t>
  </si>
  <si>
    <t>Сумма премии всп. р. 5 = 40% * прямая ЗП всп. р. 5 =</t>
  </si>
  <si>
    <t>Сумма премии всп. р. 6 = 40% * прямая ЗП всп. р. 6 =</t>
  </si>
  <si>
    <t>Основная з.п. всп. р. 1 = (прямая ЗП всп. р. 1 + премия всп. р. 1) * 1,15 =</t>
  </si>
  <si>
    <t>Основная з.п. всп. р. 7 = (прямая ЗП всп. р. 7 + премия всп. р. 7) * 1,15 =</t>
  </si>
  <si>
    <t>Основная з.п. всп. р. 2 = (прямая ЗП всп. р. 2 + премия всп. р. 2) * 1,15 =</t>
  </si>
  <si>
    <t>Основная з.п. всп. р. 3 = (прямая ЗП всп. р. 3 + премия всп. р. 3) * 1,15 =</t>
  </si>
  <si>
    <t>Основная з.п. всп. р. 4 = (прямая ЗП всп. р. 4 + премия всп. р. 4) * 1,15 =</t>
  </si>
  <si>
    <t>Основная з.п. всп. р. 5 = (прямая ЗП всп. р. 5 + премия всп. р. 5) * 1,15 =</t>
  </si>
  <si>
    <t>Основная з.п. всп. р. 6 = (прямая ЗП всп. р. 6 + премия всп. р. 6) * 1,15 =</t>
  </si>
  <si>
    <t>Доп. з.п. всп. р. 1 = Основная ЗП всп. р. 1 * 20% =</t>
  </si>
  <si>
    <t>Доп. з.п. всп. р. 2 = Основная ЗП всп. р. 2 * 20% =</t>
  </si>
  <si>
    <t>Доп. з.п. всп. р. 3 = Основная ЗП всп. р. 3 * 20% =</t>
  </si>
  <si>
    <t>Доп. з.п. всп. р. 4 = Основная ЗП всп. р. 4 * 20% =</t>
  </si>
  <si>
    <t>Доп. з.п. всп. р. 5 = Основная ЗП всп. р. 5 * 20% =</t>
  </si>
  <si>
    <t>Доп. з.п. всп. р. 6 = Основная ЗП всп. р. 6 * 20% =</t>
  </si>
  <si>
    <t>Доп. з.п. всп. р. 7 = Основная ЗП всп. р. 7 * 20% =</t>
  </si>
  <si>
    <t>ФЗП всп. р. 1 = Основная ЗП всп. р. 1 + Доп. ЗП всп. р. 1 =</t>
  </si>
  <si>
    <t>ФЗП всп. р. 2 = Основная ЗП всп. р. 2 + Доп. ЗП всп. р. 2 =</t>
  </si>
  <si>
    <t>ФЗП всп. р. 3 = Основная ЗП всп. р. 3 + Доп. ЗП всп. р. 3 =</t>
  </si>
  <si>
    <t>ФЗП всп. р. 4 = Основная ЗП всп. р. 4 + Доп. ЗП всп. р. 4 =</t>
  </si>
  <si>
    <t>ФЗП всп. р. 5 = Основная ЗП всп. р. 5 + Доп. ЗП всп. р. 5 =</t>
  </si>
  <si>
    <t>ФЗП всп. р. 6 = Основная ЗП всп. р. 6 + Доп. ЗП всп. р. 6 =</t>
  </si>
  <si>
    <t>ФЗП всп. р. 7 = Основная ЗП всп. р. 7 + Доп. ЗП всп. р. 7 =</t>
  </si>
  <si>
    <t>Прямая з.п. Мастера = Оклад * 11 * 3,1 =</t>
  </si>
  <si>
    <t>Премия Мастера = прямая ЗП мастера * 60% =</t>
  </si>
  <si>
    <t>Основная з.п. Мастера = (прямая ЗП Мастера + премия Мастера) * 1,15 =</t>
  </si>
  <si>
    <t>Доп. з.п. Мастера = Основная ЗП Мастера * 20% =</t>
  </si>
  <si>
    <t>ФЗП Мастера = Основная ЗП Мастера + Доп. ЗП Мастера =</t>
  </si>
  <si>
    <t>Таблица 6</t>
  </si>
  <si>
    <t>Таблица 5</t>
  </si>
  <si>
    <t>прямая ЗП 1 = 75 000 * 1,39 =</t>
  </si>
  <si>
    <t>прямая ЗП 2 = 75 000 * 1,16 =</t>
  </si>
  <si>
    <t>прямая ЗП 3 = 75 000 * 0,93 =</t>
  </si>
  <si>
    <t>прямая ЗП 4 = 75 000 * 0,62 =</t>
  </si>
  <si>
    <t>прямая ЗП 5 = 75 000 * 0,81 =</t>
  </si>
  <si>
    <t>прямая ЗП 6 = 75 000 * 0,89 =</t>
  </si>
  <si>
    <t>Формулы для таблицы 6</t>
  </si>
  <si>
    <t>Сверлильная</t>
  </si>
  <si>
    <t>Резьбонарезная</t>
  </si>
  <si>
    <t>Фрезерный 6Т80</t>
  </si>
  <si>
    <t>Сверлильный НС12А</t>
  </si>
  <si>
    <t>Резьбонарезной Р1130</t>
  </si>
  <si>
    <t>Годовая производственная программа - 275 000 шт</t>
  </si>
  <si>
    <t>Материал детали - сплав ЛД-32</t>
  </si>
  <si>
    <t>Масса заготовки - 3,15 кг.</t>
  </si>
  <si>
    <t>Масса детали - 2,98 кг.</t>
  </si>
  <si>
    <t>формулы для таблицы 8</t>
  </si>
  <si>
    <t>S удельная 1 станка =</t>
  </si>
  <si>
    <t>S удельная =</t>
  </si>
  <si>
    <t>Ц м2 =</t>
  </si>
  <si>
    <t>Расчет 8 таб</t>
  </si>
  <si>
    <t>расчет 6 таб</t>
  </si>
  <si>
    <t>Сумма (2 * 3) т. руб.</t>
  </si>
  <si>
    <t>Цена т. руб. за единицу</t>
  </si>
  <si>
    <t>Транспортно-заготовительные расходы 5%</t>
  </si>
  <si>
    <t>Затраты на монтаж 10%</t>
  </si>
  <si>
    <t>Всего капитальных затрат (т. руб.)(4 + 5 + 6)</t>
  </si>
  <si>
    <t>Таблица 8</t>
  </si>
  <si>
    <t>Наименование затрат</t>
  </si>
  <si>
    <t>Сумма тыс. руб.</t>
  </si>
  <si>
    <t>Стоимость площади</t>
  </si>
  <si>
    <t>Стоимость оборудования</t>
  </si>
  <si>
    <t>Стоимость дорогостоящего и долгослужащего инструмента</t>
  </si>
  <si>
    <t>Стоимость производственного и хозяйственного инвентаря</t>
  </si>
  <si>
    <t>Формулы</t>
  </si>
  <si>
    <t>Ктз =</t>
  </si>
  <si>
    <t>Расчеты</t>
  </si>
  <si>
    <t>Цена 1 кг. материала - 112 руб.</t>
  </si>
  <si>
    <t>Цена 1 кг. отходов - 50 руб.</t>
  </si>
  <si>
    <t>Крем =</t>
  </si>
  <si>
    <t>Цвод =</t>
  </si>
  <si>
    <t>Сумма =</t>
  </si>
  <si>
    <t>Таблица 9</t>
  </si>
  <si>
    <t>Наименование статей</t>
  </si>
  <si>
    <t>Сумма, руб.</t>
  </si>
  <si>
    <t>Амортизация оборудования и дорогостоящего инструмента</t>
  </si>
  <si>
    <t>Эксплуатация оборудования:</t>
  </si>
  <si>
    <t>Ремонт оборудования</t>
  </si>
  <si>
    <t>Износ малоценных и быстроизнашивающихся предметов</t>
  </si>
  <si>
    <t>Средний коэф.загрузки оборудования</t>
  </si>
  <si>
    <t>Итого скорректированных затрат</t>
  </si>
  <si>
    <t>На единицу продукции</t>
  </si>
  <si>
    <t>Таблица 10</t>
  </si>
  <si>
    <t>Ремонтная операция</t>
  </si>
  <si>
    <t>Норма времени</t>
  </si>
  <si>
    <t>Осмотр</t>
  </si>
  <si>
    <t>Текущий ремонт</t>
  </si>
  <si>
    <t>Средний ремонт</t>
  </si>
  <si>
    <t>Капитальный ремонт</t>
  </si>
  <si>
    <t>Таблица 11</t>
  </si>
  <si>
    <t>Сумма, руб</t>
  </si>
  <si>
    <t>Заработная плата основная и дополнительная РСС, служащих и вспомогательных рабочих, не занятых обслуживанием оборудования</t>
  </si>
  <si>
    <t>Отчисления с заработной платы РСС, служащих и вспомогательных рабочих</t>
  </si>
  <si>
    <t>Амортизация зданий, сооружений</t>
  </si>
  <si>
    <t>Содержание зданий сооружений, инвентаря</t>
  </si>
  <si>
    <t>Текущий ремонт зданий, сооружений, инвентаря</t>
  </si>
  <si>
    <t>Испытания, опыты, исследования, рационализаторство и изобретательность</t>
  </si>
  <si>
    <t>Охрана труда</t>
  </si>
  <si>
    <t>Прочие расходы</t>
  </si>
  <si>
    <t>Итого цеховых расходов</t>
  </si>
  <si>
    <t>Средний коэф. загрузки оборудования</t>
  </si>
  <si>
    <t>Итого скорректированных расходов</t>
  </si>
  <si>
    <t>Расчеты для 12 таблицы</t>
  </si>
  <si>
    <t>Таблица 12</t>
  </si>
  <si>
    <t>Затраты на весь выпуск</t>
  </si>
  <si>
    <t>Сумма руб. на единицу продукции</t>
  </si>
  <si>
    <t>В % по отношению к итогу</t>
  </si>
  <si>
    <t>Материалы и комплектующие изделия (с учетом транспортно-заготовительных расходов) за вычетом реализуемых отходов</t>
  </si>
  <si>
    <t>Основная заработная плата производственных рабочих</t>
  </si>
  <si>
    <t>Дополнительная заработная плата производственных рабочих</t>
  </si>
  <si>
    <t>Отчисления с ЗП ОПР</t>
  </si>
  <si>
    <t>Расходы по содержанию и эксплуатации оборудования и транспортных средств</t>
  </si>
  <si>
    <t>Цеховые расходы</t>
  </si>
  <si>
    <t>Итого цеховая себестоимость</t>
  </si>
  <si>
    <t>Общезаводские расходы</t>
  </si>
  <si>
    <t>Прочие производственные расходы</t>
  </si>
  <si>
    <t>Итого производственная себестоимость</t>
  </si>
  <si>
    <t>Коммерческие расходы 6%</t>
  </si>
  <si>
    <t>Итого полная себестоимость</t>
  </si>
  <si>
    <t>Оптовая цена = полная себестоимость + прибыль (50% от полной себестоимости).</t>
  </si>
  <si>
    <t>Отпускная цена = ОПТ + 20%</t>
  </si>
  <si>
    <t>Экономическая оценка инвестиций</t>
  </si>
  <si>
    <t>Показатель</t>
  </si>
  <si>
    <t>Единица измерения</t>
  </si>
  <si>
    <t>Порогнозируемые ежегодные объемы производства</t>
  </si>
  <si>
    <t>шт.</t>
  </si>
  <si>
    <t>Прогнозируемая цена единицы продукции</t>
  </si>
  <si>
    <t>Стоимость сырья на одно изделие</t>
  </si>
  <si>
    <t>Затраты на материалы</t>
  </si>
  <si>
    <t>Затраты электроэнергии на изделие</t>
  </si>
  <si>
    <t>Затраты топлива на изделие</t>
  </si>
  <si>
    <t>Оплата труда на обслуживание и ремонт оборудования</t>
  </si>
  <si>
    <t>Общецеховые расходы</t>
  </si>
  <si>
    <t>Издержки сбыта и распределения</t>
  </si>
  <si>
    <t>Затраты на приобретение машин и оборудования</t>
  </si>
  <si>
    <t>Производственные здания и сооружения</t>
  </si>
  <si>
    <t>Строительно-монтажные работы</t>
  </si>
  <si>
    <t>Поступления от продажи активов в конце проекта</t>
  </si>
  <si>
    <t>Доля заемного капитала в инвестициях</t>
  </si>
  <si>
    <t>Стоимость заемных средств</t>
  </si>
  <si>
    <t>Класс инвестиций</t>
  </si>
  <si>
    <t>Период освоения инвестиций</t>
  </si>
  <si>
    <t>д.е.</t>
  </si>
  <si>
    <t>тыс. д.е.</t>
  </si>
  <si>
    <t>%</t>
  </si>
  <si>
    <t>-</t>
  </si>
  <si>
    <t>2 года</t>
  </si>
  <si>
    <t>Инвестиции</t>
  </si>
  <si>
    <t>Исх. Объем</t>
  </si>
  <si>
    <t>№Шага</t>
  </si>
  <si>
    <t>Приобретение земельного участка, тыс. руб</t>
  </si>
  <si>
    <t>Приобретение оборудования, тыс. руб.</t>
  </si>
  <si>
    <t>Строительно-монтажные работы, тыс. руб.</t>
  </si>
  <si>
    <t>Здания и сооружения, тыс. руб.</t>
  </si>
  <si>
    <t>Объем инвестиций по шагам проекта, тыс. руб.</t>
  </si>
  <si>
    <t>Затраты на обслуживание и ремонт оборудования</t>
  </si>
  <si>
    <t>пост =</t>
  </si>
  <si>
    <t>цена =</t>
  </si>
  <si>
    <t>себестоимость =</t>
  </si>
  <si>
    <t>t</t>
  </si>
  <si>
    <t>f</t>
  </si>
  <si>
    <t>Формирование производственной программы</t>
  </si>
  <si>
    <t>Номер шага</t>
  </si>
  <si>
    <t>Номинал, шт</t>
  </si>
  <si>
    <t>Фактический выпуск</t>
  </si>
  <si>
    <t>Таблица 16</t>
  </si>
  <si>
    <t>таблица 15</t>
  </si>
  <si>
    <t>Структура денежных потоков от операционной деятельности</t>
  </si>
  <si>
    <t>№</t>
  </si>
  <si>
    <t>Показатели</t>
  </si>
  <si>
    <t>Обозначение</t>
  </si>
  <si>
    <t>Операционная деятельность</t>
  </si>
  <si>
    <t>Объем реализации</t>
  </si>
  <si>
    <t>Цена единицы НДС</t>
  </si>
  <si>
    <t>Выручка с НДС</t>
  </si>
  <si>
    <t>НДС в выручке</t>
  </si>
  <si>
    <t>Выручка без НДС</t>
  </si>
  <si>
    <t>Внереализационные доходы</t>
  </si>
  <si>
    <t>Издержки производства</t>
  </si>
  <si>
    <t>Переменные затраты:</t>
  </si>
  <si>
    <t>Затраты на сырье</t>
  </si>
  <si>
    <t>Затраты на комплектующие</t>
  </si>
  <si>
    <t>Затраты на элктроэнергию</t>
  </si>
  <si>
    <t>Затраты на топливо</t>
  </si>
  <si>
    <t>Оплату труда производственного труда</t>
  </si>
  <si>
    <t>Начисления на зарплату</t>
  </si>
  <si>
    <t>Итого переменных издержек</t>
  </si>
  <si>
    <t>Постоянные издержки:</t>
  </si>
  <si>
    <t>Итого постоянных издержек</t>
  </si>
  <si>
    <t>Амортизация</t>
  </si>
  <si>
    <t>Проценты по кредитам</t>
  </si>
  <si>
    <t>Прибыль налогообложения</t>
  </si>
  <si>
    <t>Налоги и сборы</t>
  </si>
  <si>
    <t>чистая прибыль</t>
  </si>
  <si>
    <t>Итого от операционной деятельности</t>
  </si>
  <si>
    <t>ОР</t>
  </si>
  <si>
    <t>Н</t>
  </si>
  <si>
    <t>ЦЕ</t>
  </si>
  <si>
    <t>ВЫР</t>
  </si>
  <si>
    <t>Двн</t>
  </si>
  <si>
    <t>Зм</t>
  </si>
  <si>
    <t>Зк</t>
  </si>
  <si>
    <t>Зэ</t>
  </si>
  <si>
    <t>Зт</t>
  </si>
  <si>
    <t>ЗП</t>
  </si>
  <si>
    <t>ЕСН</t>
  </si>
  <si>
    <t>Зпер</t>
  </si>
  <si>
    <t>РМ</t>
  </si>
  <si>
    <t>ОЦР</t>
  </si>
  <si>
    <t>ОЗР</t>
  </si>
  <si>
    <t>СБ</t>
  </si>
  <si>
    <t>Зпост</t>
  </si>
  <si>
    <t>А</t>
  </si>
  <si>
    <t>ФИ</t>
  </si>
  <si>
    <t>ПР</t>
  </si>
  <si>
    <t>ЧП</t>
  </si>
  <si>
    <t>Фt1</t>
  </si>
  <si>
    <t>Оплата труда с начислением на изделие</t>
  </si>
  <si>
    <t>Строки</t>
  </si>
  <si>
    <t>Б</t>
  </si>
  <si>
    <t>Итого инвестиционной деятельности</t>
  </si>
  <si>
    <t>обозначение</t>
  </si>
  <si>
    <t>инвестиционная деятельность</t>
  </si>
  <si>
    <t>Оттоки</t>
  </si>
  <si>
    <t>Затраты на приобретение земельного участка</t>
  </si>
  <si>
    <t>Машины и оборудования</t>
  </si>
  <si>
    <t>Притоки</t>
  </si>
  <si>
    <t>Поступления от продаж активов</t>
  </si>
  <si>
    <t>Ои</t>
  </si>
  <si>
    <t>Ззм</t>
  </si>
  <si>
    <t>Зо</t>
  </si>
  <si>
    <t>Ззд</t>
  </si>
  <si>
    <t>Зсм</t>
  </si>
  <si>
    <t>Пи</t>
  </si>
  <si>
    <t>Ппа</t>
  </si>
  <si>
    <t>Фт2</t>
  </si>
  <si>
    <t>Обозначения</t>
  </si>
  <si>
    <t>номер шага</t>
  </si>
  <si>
    <t>Финансовая деятельность</t>
  </si>
  <si>
    <t>Притоки 1+2+3</t>
  </si>
  <si>
    <t>Собственный капитал</t>
  </si>
  <si>
    <t>Долгосрочные кредиты</t>
  </si>
  <si>
    <t>Проценты по кредиту</t>
  </si>
  <si>
    <t>Нарастающим итогом</t>
  </si>
  <si>
    <t>Пф</t>
  </si>
  <si>
    <t>Кс</t>
  </si>
  <si>
    <t>К/Ра</t>
  </si>
  <si>
    <t>Оттоки 5+6</t>
  </si>
  <si>
    <t>Погашение задолженности по кредитам</t>
  </si>
  <si>
    <t>Выплаты дивидентов</t>
  </si>
  <si>
    <t>ДВ</t>
  </si>
  <si>
    <t>Оф</t>
  </si>
  <si>
    <t>Итого финансовой деятельности</t>
  </si>
  <si>
    <t>Сальдо(остаток) реальных денег</t>
  </si>
  <si>
    <t>операционная деятельность (ОД)</t>
  </si>
  <si>
    <t>налог на прибыль</t>
  </si>
  <si>
    <t>денежный поток от ОД</t>
  </si>
  <si>
    <t>инвестиционная деятельность (ИД)</t>
  </si>
  <si>
    <t>ликвидационная стоимость</t>
  </si>
  <si>
    <t>ДП проекта</t>
  </si>
  <si>
    <t>ДП накопленным итогом (ЧД)</t>
  </si>
  <si>
    <t>Дисконтрированный ДП (ДДП)</t>
  </si>
  <si>
    <t>оттоки</t>
  </si>
  <si>
    <t>ДДП накопленным итогом (ЧДД) рассчитывать до тех пор пока не выйдите в плюс</t>
  </si>
  <si>
    <t>11 ДП проекта = 11 19 табл</t>
  </si>
  <si>
    <t>13 Коэффициент дисконтрирования 1/(1+0,3)t</t>
  </si>
  <si>
    <t>14 ДДП 11*13</t>
  </si>
  <si>
    <t>15 ДДП накопленным итогом ЧДД</t>
  </si>
  <si>
    <t>Расчет внутренней нормы доходности (ВНД, IRR).</t>
  </si>
  <si>
    <t>Доп. Таблица</t>
  </si>
  <si>
    <t>№ строки</t>
  </si>
  <si>
    <t>Наилучший</t>
  </si>
  <si>
    <t>Наихудший</t>
  </si>
  <si>
    <t>Цена удиницы с НДС</t>
  </si>
  <si>
    <t>издержки производства</t>
  </si>
  <si>
    <t>переменные затраты:</t>
  </si>
  <si>
    <t>затраты на сырье</t>
  </si>
  <si>
    <t>затраты на материалы</t>
  </si>
  <si>
    <t>затраты на электроэнергию</t>
  </si>
  <si>
    <t>затраты на топливо</t>
  </si>
  <si>
    <t>оплата труда производственного персонала</t>
  </si>
  <si>
    <t>общезаводские расходы</t>
  </si>
  <si>
    <t>издержки сбыта и распределения</t>
  </si>
  <si>
    <t>итого постоянных издержек</t>
  </si>
  <si>
    <t>Налогооблагаемая прибыль</t>
  </si>
  <si>
    <t>инвестиции</t>
  </si>
  <si>
    <t>коэффициент дисконтирования</t>
  </si>
  <si>
    <t>ДДП накопленным итогом ЧДД</t>
  </si>
  <si>
    <t>Дисконтрированные притоки</t>
  </si>
  <si>
    <t>Сумма дисконтрированных притоков</t>
  </si>
  <si>
    <t>Дисконтрированные оттоки</t>
  </si>
  <si>
    <t>Сумма дисконтрированных оттоков</t>
  </si>
  <si>
    <t>Диспонтрикрованные инвестиции</t>
  </si>
  <si>
    <t>денежный поток (ДП) от ИД</t>
  </si>
  <si>
    <t>дисконтированный ДП</t>
  </si>
  <si>
    <t>(4/120)*20</t>
  </si>
  <si>
    <t>4-5</t>
  </si>
  <si>
    <t>худший</t>
  </si>
  <si>
    <t>лучший</t>
  </si>
  <si>
    <t>13 таблица</t>
  </si>
  <si>
    <t>14 таблица "график освоения инвестиций"</t>
  </si>
  <si>
    <t>10 Расчет границ безубыточности проекта</t>
  </si>
  <si>
    <t>Расчет критического объема из условия нулевой прибыли</t>
  </si>
  <si>
    <t>Расчет критического объема производства, гарантирующего определенную массу прибыли</t>
  </si>
  <si>
    <t>Определение барьерного объема производства бухгалтерским методом</t>
  </si>
  <si>
    <t>Расчет критического объема производства финансовым методом</t>
  </si>
  <si>
    <t>Таблица 18 Структура денежных потоков от финансовой деятельности</t>
  </si>
  <si>
    <t>Таблица 17 Структура денежных потоков от инвестиционной деятельности</t>
  </si>
  <si>
    <t>Зпост (сумм ^ 4)</t>
  </si>
  <si>
    <t>Нихудший</t>
  </si>
  <si>
    <t>Коэффициент дисконтирования  (1/(1+0,2) в степени т (т - шаг) округлять до 3 знаков)</t>
  </si>
  <si>
    <t>Дисконтированный ДП</t>
  </si>
  <si>
    <t>Дисконтированные притоки</t>
  </si>
  <si>
    <t>Сумма дисконтированных притоков =</t>
  </si>
  <si>
    <t>Налог на прибыль</t>
  </si>
  <si>
    <t>Чистая прибыль</t>
  </si>
  <si>
    <t>Денежный поток от ОД</t>
  </si>
  <si>
    <t>Инвестиционная деятельность (ИД)</t>
  </si>
  <si>
    <t>Дисконтированные оттоки</t>
  </si>
  <si>
    <t>Сумма дисконтированных оттоков</t>
  </si>
  <si>
    <t>Дисконтированные инвестиции</t>
  </si>
  <si>
    <t>Сумма дисконтированных притоков</t>
  </si>
  <si>
    <t>Производственные затраты</t>
  </si>
  <si>
    <t>Инвестиции берутся со знаком минус</t>
  </si>
  <si>
    <t>Ликвидационная стоимость</t>
  </si>
  <si>
    <t>Денежный поток от (ДП) от ИД</t>
  </si>
  <si>
    <t>Выручка от реализации без НДС</t>
  </si>
  <si>
    <t>дисконтированные оттоки</t>
  </si>
  <si>
    <t>сумма дисконтированных оттоков</t>
  </si>
  <si>
    <t>Коэффициент дисконтирования 1/(1+0,2) в степени т (т - шаг) округлять до 3 знаков</t>
  </si>
  <si>
    <t>Сумма дисконтированных оттоков =</t>
  </si>
  <si>
    <t>Расчеты для 18</t>
  </si>
  <si>
    <t>Расчеты для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</si>
</sst>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₽_-;\-* #,##0.00\ _₽_-;_-* &quot;-&quot;??\ _₽_-;_-@_-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omic Sans MS"/>
      <family val="4"/>
      <charset val="204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</font>
    <font>
      <sz val="11"/>
      <color rgb="FFC00000"/>
      <name val="Calibri"/>
      <family val="2"/>
      <scheme val="minor"/>
    </font>
    <font>
      <sz val="11"/>
      <color rgb="FFC00000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1"/>
      <color theme="1"/>
      <name val="Comic Sans MS"/>
      <family val="4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/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/>
      <bottom style="medium">
        <color indexed="64"/>
      </bottom>
      <diagonal style="medium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/>
      <right/>
      <top/>
      <bottom style="medium">
        <color indexed="64"/>
      </bottom>
      <diagonal/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300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3" fillId="0" borderId="15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9" fontId="3" fillId="0" borderId="0" xfId="1" applyFont="1" applyAlignment="1">
      <alignment wrapText="1"/>
    </xf>
    <xf numFmtId="43" fontId="3" fillId="0" borderId="0" xfId="2" applyFont="1" applyAlignment="1">
      <alignment wrapText="1"/>
    </xf>
    <xf numFmtId="2" fontId="3" fillId="0" borderId="0" xfId="0" applyNumberFormat="1" applyFont="1" applyAlignment="1">
      <alignment wrapText="1"/>
    </xf>
    <xf numFmtId="0" fontId="3" fillId="0" borderId="22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35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2" fontId="3" fillId="0" borderId="17" xfId="0" applyNumberFormat="1" applyFont="1" applyBorder="1" applyAlignment="1">
      <alignment horizontal="center" vertical="center" wrapText="1"/>
    </xf>
    <xf numFmtId="2" fontId="3" fillId="0" borderId="26" xfId="0" applyNumberFormat="1" applyFont="1" applyBorder="1" applyAlignment="1">
      <alignment horizontal="center" vertical="center" wrapText="1"/>
    </xf>
    <xf numFmtId="43" fontId="3" fillId="0" borderId="5" xfId="2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" fontId="3" fillId="0" borderId="9" xfId="0" applyNumberFormat="1" applyFont="1" applyBorder="1" applyAlignment="1">
      <alignment horizontal="center" vertical="center"/>
    </xf>
    <xf numFmtId="2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43" xfId="0" applyFont="1" applyBorder="1" applyAlignment="1">
      <alignment horizontal="center" vertical="center" wrapText="1"/>
    </xf>
    <xf numFmtId="0" fontId="3" fillId="0" borderId="4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3" fontId="3" fillId="0" borderId="0" xfId="2" applyFont="1" applyAlignment="1">
      <alignment horizontal="center" vertical="center"/>
    </xf>
    <xf numFmtId="43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43" fontId="3" fillId="0" borderId="0" xfId="0" applyNumberFormat="1" applyFont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43" fontId="3" fillId="0" borderId="47" xfId="0" applyNumberFormat="1" applyFont="1" applyBorder="1" applyAlignment="1">
      <alignment horizontal="center" vertical="center"/>
    </xf>
    <xf numFmtId="43" fontId="3" fillId="0" borderId="49" xfId="0" applyNumberFormat="1" applyFont="1" applyBorder="1" applyAlignment="1">
      <alignment horizontal="center" vertical="center"/>
    </xf>
    <xf numFmtId="43" fontId="3" fillId="0" borderId="13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43" fontId="3" fillId="0" borderId="0" xfId="2" applyFont="1" applyAlignment="1">
      <alignment horizontal="center" vertical="center" wrapText="1"/>
    </xf>
    <xf numFmtId="9" fontId="3" fillId="0" borderId="0" xfId="0" applyNumberFormat="1" applyFont="1" applyAlignment="1">
      <alignment horizontal="center" vertical="center" wrapText="1"/>
    </xf>
    <xf numFmtId="43" fontId="3" fillId="0" borderId="0" xfId="2" applyFont="1" applyAlignment="1">
      <alignment vertical="center" wrapText="1"/>
    </xf>
    <xf numFmtId="0" fontId="3" fillId="0" borderId="5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43" fontId="3" fillId="0" borderId="18" xfId="0" applyNumberFormat="1" applyFont="1" applyBorder="1" applyAlignment="1">
      <alignment horizontal="center" vertical="center"/>
    </xf>
    <xf numFmtId="43" fontId="3" fillId="0" borderId="1" xfId="2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43" fontId="3" fillId="0" borderId="15" xfId="0" applyNumberFormat="1" applyFont="1" applyBorder="1" applyAlignment="1">
      <alignment horizontal="center" vertical="center" wrapText="1"/>
    </xf>
    <xf numFmtId="43" fontId="3" fillId="0" borderId="28" xfId="2" applyFont="1" applyBorder="1" applyAlignment="1">
      <alignment horizontal="center" vertical="center" wrapText="1"/>
    </xf>
    <xf numFmtId="43" fontId="3" fillId="0" borderId="15" xfId="2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2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60" xfId="0" applyFont="1" applyBorder="1" applyAlignment="1">
      <alignment horizontal="center" vertical="center" wrapText="1"/>
    </xf>
    <xf numFmtId="43" fontId="3" fillId="0" borderId="5" xfId="0" applyNumberFormat="1" applyFont="1" applyBorder="1" applyAlignment="1">
      <alignment horizontal="center" vertical="center" wrapText="1"/>
    </xf>
    <xf numFmtId="43" fontId="3" fillId="0" borderId="54" xfId="0" applyNumberFormat="1" applyFont="1" applyBorder="1" applyAlignment="1">
      <alignment horizontal="center" vertical="center" wrapText="1"/>
    </xf>
    <xf numFmtId="43" fontId="3" fillId="0" borderId="50" xfId="0" applyNumberFormat="1" applyFont="1" applyBorder="1" applyAlignment="1">
      <alignment horizontal="center" vertical="center" wrapText="1"/>
    </xf>
    <xf numFmtId="43" fontId="3" fillId="0" borderId="60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43" fontId="3" fillId="0" borderId="50" xfId="0" applyNumberFormat="1" applyFont="1" applyBorder="1" applyAlignment="1">
      <alignment horizontal="center" vertical="center"/>
    </xf>
    <xf numFmtId="43" fontId="3" fillId="0" borderId="50" xfId="2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3" fillId="5" borderId="50" xfId="0" applyFont="1" applyFill="1" applyBorder="1" applyAlignment="1">
      <alignment horizontal="center" vertical="center" wrapText="1"/>
    </xf>
    <xf numFmtId="0" fontId="3" fillId="5" borderId="50" xfId="0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50" xfId="0" applyFont="1" applyBorder="1" applyAlignment="1">
      <alignment horizontal="center" vertical="center"/>
    </xf>
    <xf numFmtId="43" fontId="3" fillId="0" borderId="50" xfId="2" applyFont="1" applyBorder="1" applyAlignment="1">
      <alignment horizontal="center" vertical="center" wrapText="1"/>
    </xf>
    <xf numFmtId="43" fontId="3" fillId="0" borderId="64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5" borderId="50" xfId="0" applyFill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5" borderId="57" xfId="0" applyFill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43" fontId="0" fillId="0" borderId="51" xfId="2" applyFont="1" applyBorder="1" applyAlignment="1">
      <alignment horizontal="center" vertical="center"/>
    </xf>
    <xf numFmtId="43" fontId="0" fillId="0" borderId="50" xfId="2" applyFont="1" applyBorder="1" applyAlignment="1">
      <alignment horizontal="center" vertical="center"/>
    </xf>
    <xf numFmtId="43" fontId="0" fillId="0" borderId="52" xfId="2" applyFont="1" applyBorder="1" applyAlignment="1">
      <alignment horizontal="center" vertical="center"/>
    </xf>
    <xf numFmtId="43" fontId="0" fillId="5" borderId="51" xfId="2" applyFont="1" applyFill="1" applyBorder="1" applyAlignment="1">
      <alignment horizontal="center" vertical="center"/>
    </xf>
    <xf numFmtId="43" fontId="0" fillId="5" borderId="50" xfId="2" applyFont="1" applyFill="1" applyBorder="1" applyAlignment="1">
      <alignment horizontal="center" vertical="center"/>
    </xf>
    <xf numFmtId="43" fontId="0" fillId="5" borderId="52" xfId="2" applyFont="1" applyFill="1" applyBorder="1" applyAlignment="1">
      <alignment horizontal="center" vertical="center"/>
    </xf>
    <xf numFmtId="43" fontId="0" fillId="0" borderId="67" xfId="2" applyFont="1" applyBorder="1" applyAlignment="1">
      <alignment horizontal="center" vertical="center"/>
    </xf>
    <xf numFmtId="43" fontId="0" fillId="0" borderId="64" xfId="2" applyFont="1" applyBorder="1" applyAlignment="1">
      <alignment horizontal="center" vertical="center"/>
    </xf>
    <xf numFmtId="43" fontId="0" fillId="0" borderId="68" xfId="2" applyFont="1" applyBorder="1" applyAlignment="1">
      <alignment horizontal="center" vertical="center"/>
    </xf>
    <xf numFmtId="43" fontId="0" fillId="0" borderId="56" xfId="2" applyFont="1" applyBorder="1" applyAlignment="1">
      <alignment horizontal="center" vertical="center"/>
    </xf>
    <xf numFmtId="43" fontId="0" fillId="0" borderId="5" xfId="2" applyFont="1" applyBorder="1" applyAlignment="1">
      <alignment horizontal="center" vertical="center"/>
    </xf>
    <xf numFmtId="43" fontId="0" fillId="0" borderId="21" xfId="2" applyFont="1" applyBorder="1" applyAlignment="1">
      <alignment horizontal="center" vertical="center"/>
    </xf>
    <xf numFmtId="43" fontId="0" fillId="0" borderId="59" xfId="2" applyFont="1" applyBorder="1" applyAlignment="1">
      <alignment horizontal="center" vertical="center"/>
    </xf>
    <xf numFmtId="43" fontId="0" fillId="0" borderId="60" xfId="2" applyFont="1" applyBorder="1" applyAlignment="1">
      <alignment horizontal="center" vertical="center"/>
    </xf>
    <xf numFmtId="43" fontId="0" fillId="0" borderId="61" xfId="2" applyFont="1" applyBorder="1" applyAlignment="1">
      <alignment horizontal="center" vertical="center"/>
    </xf>
    <xf numFmtId="49" fontId="0" fillId="0" borderId="57" xfId="0" applyNumberFormat="1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49" fontId="0" fillId="5" borderId="5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0" fontId="0" fillId="0" borderId="51" xfId="2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43" fontId="2" fillId="0" borderId="51" xfId="2" applyFont="1" applyBorder="1" applyAlignment="1">
      <alignment horizontal="center" vertical="center"/>
    </xf>
    <xf numFmtId="43" fontId="2" fillId="0" borderId="50" xfId="2" applyFont="1" applyBorder="1" applyAlignment="1">
      <alignment horizontal="center" vertical="center"/>
    </xf>
    <xf numFmtId="43" fontId="2" fillId="0" borderId="52" xfId="2" applyFont="1" applyBorder="1" applyAlignment="1">
      <alignment horizontal="center" vertical="center"/>
    </xf>
    <xf numFmtId="49" fontId="2" fillId="0" borderId="57" xfId="0" applyNumberFormat="1" applyFont="1" applyBorder="1" applyAlignment="1">
      <alignment horizontal="center" vertical="center"/>
    </xf>
    <xf numFmtId="0" fontId="2" fillId="5" borderId="50" xfId="0" applyFont="1" applyFill="1" applyBorder="1" applyAlignment="1">
      <alignment horizontal="center" vertical="center"/>
    </xf>
    <xf numFmtId="49" fontId="2" fillId="5" borderId="50" xfId="0" applyNumberFormat="1" applyFont="1" applyFill="1" applyBorder="1" applyAlignment="1">
      <alignment horizontal="center" vertical="center"/>
    </xf>
    <xf numFmtId="0" fontId="2" fillId="5" borderId="57" xfId="0" applyFont="1" applyFill="1" applyBorder="1" applyAlignment="1">
      <alignment horizontal="center" vertical="center"/>
    </xf>
    <xf numFmtId="43" fontId="2" fillId="5" borderId="51" xfId="2" applyFont="1" applyFill="1" applyBorder="1" applyAlignment="1">
      <alignment horizontal="center" vertical="center"/>
    </xf>
    <xf numFmtId="43" fontId="2" fillId="5" borderId="50" xfId="2" applyFont="1" applyFill="1" applyBorder="1" applyAlignment="1">
      <alignment horizontal="center" vertical="center"/>
    </xf>
    <xf numFmtId="43" fontId="2" fillId="5" borderId="52" xfId="2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2" fillId="0" borderId="51" xfId="2" applyNumberFormat="1" applyFont="1" applyBorder="1" applyAlignment="1">
      <alignment horizontal="center" vertical="center"/>
    </xf>
    <xf numFmtId="43" fontId="2" fillId="0" borderId="67" xfId="2" applyFont="1" applyBorder="1" applyAlignment="1">
      <alignment horizontal="center" vertical="center"/>
    </xf>
    <xf numFmtId="43" fontId="2" fillId="0" borderId="64" xfId="2" applyFont="1" applyBorder="1" applyAlignment="1">
      <alignment horizontal="center" vertical="center"/>
    </xf>
    <xf numFmtId="43" fontId="2" fillId="0" borderId="68" xfId="2" applyFont="1" applyBorder="1" applyAlignment="1">
      <alignment horizontal="center" vertical="center"/>
    </xf>
    <xf numFmtId="43" fontId="2" fillId="0" borderId="56" xfId="2" applyFont="1" applyBorder="1" applyAlignment="1">
      <alignment horizontal="center" vertical="center"/>
    </xf>
    <xf numFmtId="43" fontId="2" fillId="0" borderId="5" xfId="2" applyFont="1" applyBorder="1" applyAlignment="1">
      <alignment horizontal="center" vertical="center"/>
    </xf>
    <xf numFmtId="43" fontId="2" fillId="0" borderId="21" xfId="2" applyFont="1" applyBorder="1" applyAlignment="1">
      <alignment horizontal="center" vertical="center"/>
    </xf>
    <xf numFmtId="43" fontId="2" fillId="0" borderId="59" xfId="2" applyFont="1" applyBorder="1" applyAlignment="1">
      <alignment horizontal="center" vertical="center"/>
    </xf>
    <xf numFmtId="43" fontId="2" fillId="0" borderId="60" xfId="2" applyFont="1" applyBorder="1" applyAlignment="1">
      <alignment horizontal="center" vertical="center"/>
    </xf>
    <xf numFmtId="43" fontId="2" fillId="0" borderId="61" xfId="2" applyFont="1" applyBorder="1" applyAlignment="1">
      <alignment horizontal="center" vertical="center"/>
    </xf>
    <xf numFmtId="43" fontId="2" fillId="0" borderId="0" xfId="0" applyNumberFormat="1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/>
    </xf>
    <xf numFmtId="43" fontId="8" fillId="0" borderId="50" xfId="0" applyNumberFormat="1" applyFont="1" applyBorder="1" applyAlignment="1">
      <alignment horizontal="center" vertical="center" wrapText="1"/>
    </xf>
    <xf numFmtId="43" fontId="8" fillId="0" borderId="5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9" fontId="3" fillId="0" borderId="50" xfId="0" applyNumberFormat="1" applyFont="1" applyBorder="1" applyAlignment="1">
      <alignment horizontal="center" vertical="center"/>
    </xf>
    <xf numFmtId="0" fontId="9" fillId="0" borderId="0" xfId="0" applyFont="1"/>
    <xf numFmtId="0" fontId="3" fillId="0" borderId="69" xfId="0" applyFont="1" applyBorder="1" applyAlignment="1">
      <alignment vertical="center" wrapText="1"/>
    </xf>
    <xf numFmtId="0" fontId="3" fillId="0" borderId="50" xfId="0" applyFont="1" applyBorder="1" applyAlignment="1">
      <alignment horizontal="center" vertical="center" wrapText="1"/>
    </xf>
    <xf numFmtId="0" fontId="3" fillId="0" borderId="5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43" fontId="0" fillId="0" borderId="0" xfId="0" applyNumberFormat="1"/>
    <xf numFmtId="2" fontId="0" fillId="0" borderId="0" xfId="0" applyNumberFormat="1"/>
    <xf numFmtId="0" fontId="3" fillId="7" borderId="0" xfId="0" applyFont="1" applyFill="1" applyAlignment="1">
      <alignment horizontal="center" vertical="center" wrapText="1"/>
    </xf>
    <xf numFmtId="49" fontId="1" fillId="0" borderId="50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5" borderId="50" xfId="0" applyNumberFormat="1" applyFont="1" applyFill="1" applyBorder="1" applyAlignment="1">
      <alignment horizontal="center" vertical="center"/>
    </xf>
    <xf numFmtId="0" fontId="3" fillId="0" borderId="50" xfId="0" applyFont="1" applyBorder="1" applyAlignment="1">
      <alignment horizontal="center" vertical="center" wrapText="1"/>
    </xf>
    <xf numFmtId="0" fontId="3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0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 wrapText="1"/>
    </xf>
    <xf numFmtId="0" fontId="3" fillId="0" borderId="54" xfId="0" applyFont="1" applyBorder="1" applyAlignment="1">
      <alignment horizontal="center" vertical="center" wrapText="1"/>
    </xf>
    <xf numFmtId="0" fontId="3" fillId="3" borderId="59" xfId="0" applyFont="1" applyFill="1" applyBorder="1" applyAlignment="1">
      <alignment horizontal="center" vertical="center" wrapText="1"/>
    </xf>
    <xf numFmtId="0" fontId="3" fillId="3" borderId="60" xfId="0" applyFont="1" applyFill="1" applyBorder="1" applyAlignment="1">
      <alignment horizontal="center" vertical="center" wrapText="1"/>
    </xf>
    <xf numFmtId="0" fontId="3" fillId="0" borderId="59" xfId="0" applyFont="1" applyBorder="1" applyAlignment="1">
      <alignment horizontal="center" vertical="center" wrapText="1"/>
    </xf>
    <xf numFmtId="0" fontId="3" fillId="0" borderId="60" xfId="0" applyFont="1" applyBorder="1" applyAlignment="1">
      <alignment horizontal="center" vertical="center" wrapText="1"/>
    </xf>
    <xf numFmtId="0" fontId="3" fillId="0" borderId="6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1" xfId="0" applyFont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7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43" fontId="3" fillId="0" borderId="69" xfId="2" applyFont="1" applyBorder="1" applyAlignment="1">
      <alignment horizontal="center" vertical="center" wrapText="1"/>
    </xf>
    <xf numFmtId="43" fontId="3" fillId="0" borderId="0" xfId="2" applyFont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 wrapText="1"/>
    </xf>
    <xf numFmtId="0" fontId="3" fillId="0" borderId="4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Border="1" applyAlignment="1">
      <alignment horizontal="center" vertical="center"/>
    </xf>
    <xf numFmtId="43" fontId="7" fillId="6" borderId="10" xfId="2" applyFont="1" applyFill="1" applyBorder="1" applyAlignment="1">
      <alignment horizontal="center" vertical="center"/>
    </xf>
    <xf numFmtId="43" fontId="7" fillId="6" borderId="11" xfId="2" applyFont="1" applyFill="1" applyBorder="1" applyAlignment="1">
      <alignment horizontal="center" vertical="center"/>
    </xf>
    <xf numFmtId="43" fontId="7" fillId="6" borderId="13" xfId="2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49" fontId="2" fillId="0" borderId="50" xfId="0" applyNumberFormat="1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43" fontId="7" fillId="0" borderId="10" xfId="2" applyFont="1" applyBorder="1" applyAlignment="1">
      <alignment horizontal="center" vertical="center"/>
    </xf>
    <xf numFmtId="43" fontId="7" fillId="0" borderId="11" xfId="2" applyFont="1" applyBorder="1" applyAlignment="1">
      <alignment horizontal="center" vertical="center"/>
    </xf>
    <xf numFmtId="43" fontId="7" fillId="0" borderId="13" xfId="2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0" borderId="70" xfId="0" applyFont="1" applyBorder="1" applyAlignment="1">
      <alignment horizontal="center" vertical="center"/>
    </xf>
    <xf numFmtId="43" fontId="6" fillId="0" borderId="10" xfId="2" applyFont="1" applyBorder="1" applyAlignment="1">
      <alignment horizontal="center" vertical="center"/>
    </xf>
    <xf numFmtId="43" fontId="6" fillId="0" borderId="11" xfId="2" applyFont="1" applyBorder="1" applyAlignment="1">
      <alignment horizontal="center" vertical="center"/>
    </xf>
    <xf numFmtId="43" fontId="6" fillId="0" borderId="13" xfId="2" applyFont="1" applyBorder="1" applyAlignment="1">
      <alignment horizontal="center" vertical="center"/>
    </xf>
    <xf numFmtId="43" fontId="6" fillId="6" borderId="10" xfId="2" applyFont="1" applyFill="1" applyBorder="1" applyAlignment="1">
      <alignment horizontal="center" vertical="center"/>
    </xf>
    <xf numFmtId="43" fontId="6" fillId="6" borderId="11" xfId="2" applyFont="1" applyFill="1" applyBorder="1" applyAlignment="1">
      <alignment horizontal="center" vertical="center"/>
    </xf>
    <xf numFmtId="43" fontId="6" fillId="6" borderId="13" xfId="2" applyFont="1" applyFill="1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49" fontId="0" fillId="0" borderId="50" xfId="0" applyNumberFormat="1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/>
  </cellXfs>
  <cellStyles count="3">
    <cellStyle name="Обычный" xfId="0" builtinId="0"/>
    <cellStyle name="Процентный" xfId="1" builtinId="5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16</xdr:row>
      <xdr:rowOff>0</xdr:rowOff>
    </xdr:from>
    <xdr:ext cx="7017398" cy="430028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0" y="7000875"/>
              <a:ext cx="7017398" cy="430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nary>
                      <m:naryPr>
                        <m:chr m:val="∑"/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=1</m:t>
                        </m:r>
                      </m:sub>
                      <m:sup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p>
                      <m:e>
                        <m:f>
                          <m:f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</m:t>
                                </m:r>
                              </m:e>
                              <m:sub>
                                <m:r>
                                  <a:rPr lang="en-US" sz="16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den>
                        </m:f>
                      </m:e>
                    </m:nary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𝑏</m:t>
                        </m:r>
                      </m:e>
                    </m:d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яв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конр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обсл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33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d>
                      <m:d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10%</m:t>
                        </m:r>
                      </m:e>
                    </m:d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э/м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 </m:t>
                        </m:r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рем.  сл.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𝑆</m:t>
                        </m:r>
                      </m:num>
                      <m:den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25</m:t>
                        </m:r>
                      </m:den>
                    </m:f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2%∗</m:t>
                    </m:r>
                    <m:sSub>
                      <m:sSubPr>
                        <m:ctrlP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сп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всп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контр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разд инст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слес рем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 э/м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деж. рем. сл.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уборщ.</m:t>
                        </m:r>
                      </m:sub>
                    </m:sSub>
                    <m:r>
                      <a:rPr lang="ru-RU" sz="16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налад.</m:t>
                        </m:r>
                      </m:sub>
                    </m:sSub>
                  </m:oMath>
                  <m:oMath xmlns:m="http://schemas.openxmlformats.org/officeDocument/2006/math">
                    <m:sSub>
                      <m:sSub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</m:t>
                        </m:r>
                      </m:e>
                      <m:sub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РСС</m:t>
                        </m:r>
                      </m:sub>
                    </m:sSub>
                    <m:r>
                      <a:rPr lang="ru-RU" sz="16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ru-RU" sz="16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6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сп</m:t>
                            </m:r>
                          </m:sub>
                        </m:sSub>
                      </m:num>
                      <m:den>
                        <m:r>
                          <a:rPr lang="ru-RU" sz="16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20</m:t>
                        </m:r>
                      </m:den>
                    </m:f>
                  </m:oMath>
                </m:oMathPara>
              </a14:m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0" y="7000875"/>
              <a:ext cx="7017398" cy="430028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_яв=∑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𝑖=1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^𝑛▒𝑐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𝑀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 </a:t>
              </a:r>
              <a: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_сп=(1+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𝑏)𝑆∗𝑅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_яв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𝑅_конр=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_сп∗Н_обсл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𝑅_(разд инст)=𝑅_сп/33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рем)=(10%)∗𝐶∗𝑆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э/м)=(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)/100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_(деж 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рем.  сл.)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𝐶∗𝑆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25</a:t>
              </a:r>
              <a: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en-US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2%∗</a:t>
              </a:r>
              <a:r>
                <a:rPr lang="en-US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_сп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налад.)=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всп=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контр+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разд инст)+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_(слес рем)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 э/м)+ 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деж. рем. сл.)+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уборщ.)+</a:t>
              </a:r>
              <a:r>
                <a:rPr lang="en-US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_(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налад.)</a:t>
              </a:r>
              <a: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/>
              </a:r>
              <a:br>
                <a:rPr lang="ru-RU" sz="1600" b="0" i="1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</a:b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𝑅_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РСС</a:t>
              </a:r>
              <a:r>
                <a:rPr lang="ru-RU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=𝑅_сп/</a:t>
              </a:r>
              <a:r>
                <a:rPr lang="ru-RU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20</a:t>
              </a:r>
              <a:endParaRPr lang="ru-RU" sz="1600">
                <a:solidFill>
                  <a:schemeClr val="tx1"/>
                </a:solidFill>
                <a:effectLst/>
                <a:latin typeface="Comic Sans MS" panose="030F0702030302020204" pitchFamily="66" charset="0"/>
                <a:ea typeface="+mn-ea"/>
                <a:cs typeface="+mn-cs"/>
              </a:endParaRPr>
            </a:p>
          </xdr:txBody>
        </xdr:sp>
      </mc:Fallback>
    </mc:AlternateContent>
    <xdr:clientData/>
  </xdr:oneCellAnchor>
  <xdr:twoCellAnchor>
    <xdr:from>
      <xdr:col>0</xdr:col>
      <xdr:colOff>123825</xdr:colOff>
      <xdr:row>65</xdr:row>
      <xdr:rowOff>38100</xdr:rowOff>
    </xdr:from>
    <xdr:to>
      <xdr:col>1</xdr:col>
      <xdr:colOff>1633705</xdr:colOff>
      <xdr:row>87</xdr:row>
      <xdr:rowOff>192463</xdr:rowOff>
    </xdr:to>
    <xdr:grpSp>
      <xdr:nvGrpSpPr>
        <xdr:cNvPr id="3" name="Группа 2"/>
        <xdr:cNvGrpSpPr/>
      </xdr:nvGrpSpPr>
      <xdr:grpSpPr>
        <a:xfrm>
          <a:off x="123825" y="16187791"/>
          <a:ext cx="8434234" cy="5569700"/>
          <a:chOff x="5572125" y="8286750"/>
          <a:chExt cx="3338680" cy="5602663"/>
        </a:xfrm>
      </xdr:grpSpPr>
      <xdr:grpSp>
        <xdr:nvGrpSpPr>
          <xdr:cNvPr id="4" name="Группа 3"/>
          <xdr:cNvGrpSpPr/>
        </xdr:nvGrpSpPr>
        <xdr:grpSpPr>
          <a:xfrm>
            <a:off x="6410325" y="8286750"/>
            <a:ext cx="1833621" cy="2371016"/>
            <a:chOff x="4591050" y="8286750"/>
            <a:chExt cx="1833621" cy="2371016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общ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8" name="TextBox 17"/>
                <xdr:cNvSpPr txBox="1"/>
              </xdr:nvSpPr>
              <xdr:spPr>
                <a:xfrm>
                  <a:off x="4772025" y="8286750"/>
                  <a:ext cx="1543884" cy="590418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_общ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год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сп</m:t>
                                </m:r>
                              </m:sub>
                            </m:sSub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19" name="TextBox 18"/>
                <xdr:cNvSpPr txBox="1"/>
              </xdr:nvSpPr>
              <xdr:spPr>
                <a:xfrm>
                  <a:off x="4819650" y="8858250"/>
                  <a:ext cx="1401474" cy="565155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год)=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𝑁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_г/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_сп 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работ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работ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0" name="TextBox 19"/>
                <xdr:cNvSpPr txBox="1"/>
              </xdr:nvSpPr>
              <xdr:spPr>
                <a:xfrm>
                  <a:off x="4591050" y="9486900"/>
                  <a:ext cx="179850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работ)^(в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работ)^(в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Sup>
                          <m:sSubSupPr>
                            <m:ctrlPr>
                              <a:rPr lang="ru-RU" sz="1800" i="1">
                                <a:latin typeface="Cambria Math" panose="02040503050406030204" pitchFamily="18" charset="0"/>
                              </a:rPr>
                            </m:ctrlPr>
                          </m:sSubSup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</m:t>
                            </m:r>
                          </m:e>
                          <m: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1 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рабоч</m:t>
                            </m:r>
                          </m:sub>
                          <m:sup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в мес</m:t>
                            </m:r>
                          </m:sup>
                        </m:sSubSup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</m:t>
                        </m:r>
                        <m:f>
                          <m:f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8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Sup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1 </m:t>
                                </m:r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рабоч</m:t>
                                </m:r>
                              </m:sub>
                              <m:sup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в год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12</m:t>
                            </m:r>
                          </m:den>
                        </m:f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21" name="TextBox 20"/>
                <xdr:cNvSpPr txBox="1"/>
              </xdr:nvSpPr>
              <xdr:spPr>
                <a:xfrm>
                  <a:off x="4619625" y="10067925"/>
                  <a:ext cx="1805046" cy="589841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В_(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1 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рабоч)^(в мес)=(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В_(</a:t>
                  </a:r>
                  <a:r>
                    <a:rPr lang="en-US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1 </a:t>
                  </a:r>
                  <a:r>
                    <a:rPr lang="ru-RU" sz="18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a:t>рабоч)^(в год))/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12</a:t>
                  </a:r>
                  <a:endParaRPr lang="ru-RU" sz="1800"/>
                </a:p>
              </xdr:txBody>
            </xdr:sp>
          </mc:Fallback>
        </mc:AlternateContent>
      </xdr:grpSp>
      <xdr:grpSp>
        <xdr:nvGrpSpPr>
          <xdr:cNvPr id="5" name="Группа 4"/>
          <xdr:cNvGrpSpPr/>
        </xdr:nvGrpSpPr>
        <xdr:grpSpPr>
          <a:xfrm>
            <a:off x="5572125" y="10725150"/>
            <a:ext cx="3338680" cy="3164263"/>
            <a:chOff x="5057775" y="8296275"/>
            <a:chExt cx="3338680" cy="3164263"/>
          </a:xfrm>
        </xdr:grpSpPr>
        <xdr:grpSp>
          <xdr:nvGrpSpPr>
            <xdr:cNvPr id="6" name="Группа 5"/>
            <xdr:cNvGrpSpPr/>
          </xdr:nvGrpSpPr>
          <xdr:grpSpPr>
            <a:xfrm>
              <a:off x="5591174" y="8296275"/>
              <a:ext cx="2805281" cy="2840413"/>
              <a:chOff x="5676899" y="8334375"/>
              <a:chExt cx="2805281" cy="2840413"/>
            </a:xfrm>
          </xdr:grpSpPr>
          <xdr:grpSp>
            <xdr:nvGrpSpPr>
              <xdr:cNvPr id="8" name="Группа 7"/>
              <xdr:cNvGrpSpPr/>
            </xdr:nvGrpSpPr>
            <xdr:grpSpPr>
              <a:xfrm>
                <a:off x="5943600" y="8334375"/>
                <a:ext cx="2538580" cy="2264540"/>
                <a:chOff x="6296025" y="9477375"/>
                <a:chExt cx="2538580" cy="2264540"/>
              </a:xfrm>
            </xdr:grpSpPr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ФЗП=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1" name="TextBox 10"/>
                    <xdr:cNvSpPr txBox="1"/>
                  </xdr:nvSpPr>
                  <xdr:spPr>
                    <a:xfrm>
                      <a:off x="6410325" y="9477375"/>
                      <a:ext cx="1900585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ФЗП=З_осн+З_доп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доп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=(20%)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2" name="TextBox 11"/>
                    <xdr:cNvSpPr txBox="1"/>
                  </xdr:nvSpPr>
                  <xdr:spPr>
                    <a:xfrm>
                      <a:off x="6438900" y="9763125"/>
                      <a:ext cx="1817292" cy="29367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З_доп=(20%)З_осн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осн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(З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)∗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К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3" name="TextBox 12"/>
                    <xdr:cNvSpPr txBox="1"/>
                  </xdr:nvSpPr>
                  <xdr:spPr>
                    <a:xfrm>
                      <a:off x="6315075" y="10077450"/>
                      <a:ext cx="2165336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З_осн=〖(З〗_пр+П_р)∗К_р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𝑁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г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4" name="TextBox 13"/>
                    <xdr:cNvSpPr txBox="1"/>
                  </xdr:nvSpPr>
                  <xdr:spPr>
                    <a:xfrm>
                      <a:off x="6448425" y="10382250"/>
                      <a:ext cx="1564467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𝑁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_г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сд</m:t>
                                </m:r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f>
                              <m:f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fPr>
                              <m:num>
                                <m:sSub>
                                  <m:sSubPr>
                                    <m:ctrlP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𝑡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∗</m:t>
                                </m:r>
                                <m:sSub>
                                  <m:sSubPr>
                                    <m:ctrlP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Ч</m:t>
                                    </m:r>
                                  </m:e>
                                  <m:sub>
                                    <m:r>
                                      <a:rPr lang="ru-RU" sz="1800" b="0" i="1">
                                        <a:latin typeface="Cambria Math" panose="02040503050406030204" pitchFamily="18" charset="0"/>
                                      </a:rPr>
                                      <m:t>тар.</m:t>
                                    </m:r>
                                    <m:r>
                                      <a:rPr lang="en-US" sz="1800" b="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num>
                              <m:den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60</m:t>
                                </m:r>
                              </m:den>
                            </m:f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5" name="TextBox 14"/>
                    <xdr:cNvSpPr txBox="1"/>
                  </xdr:nvSpPr>
                  <xdr:spPr>
                    <a:xfrm>
                      <a:off x="6486525" y="10706100"/>
                      <a:ext cx="1618392" cy="529056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Р_сд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=(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𝑡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𝑖∗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Ч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_(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тар.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𝑖)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)/60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р</m:t>
                                </m:r>
                              </m:sub>
                            </m:sSub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=(30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%</m:t>
                            </m:r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−80%)</m:t>
                            </m:r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6" name="TextBox 15"/>
                    <xdr:cNvSpPr txBox="1"/>
                  </xdr:nvSpPr>
                  <xdr:spPr>
                    <a:xfrm>
                      <a:off x="6296025" y="11144250"/>
                      <a:ext cx="2538580" cy="302327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П_р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=(30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%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−80%)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∗З_пр</a:t>
                      </a:r>
                      <a:endParaRPr lang="ru-RU" sz="1800"/>
                    </a:p>
                  </xdr:txBody>
                </xdr:sp>
              </mc:Fallback>
            </mc:AlternateContent>
            <mc:AlternateContent xmlns:mc="http://schemas.openxmlformats.org/markup-compatibility/2006" xmlns:a14="http://schemas.microsoft.com/office/drawing/2010/main">
              <mc:Choice Requires="a14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14:m>
                        <m:oMathPara xmlns:m="http://schemas.openxmlformats.org/officeDocument/2006/math">
                          <m:oMathParaPr>
                            <m:jc m:val="centerGroup"/>
                          </m:oMathParaPr>
                          <m:oMath xmlns:m="http://schemas.openxmlformats.org/officeDocument/2006/math"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З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пр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=</m:t>
                            </m:r>
                            <m:sSub>
                              <m:sSubPr>
                                <m:ctrlP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latin typeface="Cambria Math" panose="02040503050406030204" pitchFamily="18" charset="0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ru-RU" sz="1800" b="0" i="1">
                                    <a:latin typeface="Cambria Math" panose="02040503050406030204" pitchFamily="18" charset="0"/>
                                  </a:rPr>
                                  <m:t>эф</m:t>
                                </m:r>
                              </m:sub>
                            </m:s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Ч</m:t>
                                </m:r>
                              </m:e>
                              <m:sub>
                                <m: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тар.</m:t>
                                </m:r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ru-RU" sz="18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∗</m:t>
                            </m:r>
                            <m:sSub>
                              <m:sSubPr>
                                <m:ctrlPr>
                                  <a:rPr lang="ru-RU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𝑛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oMath>
                        </m:oMathPara>
                      </a14:m>
                      <a:endParaRPr lang="ru-RU" sz="1800"/>
                    </a:p>
                  </xdr:txBody>
                </xdr:sp>
              </mc:Choice>
              <mc:Fallback xmlns="">
                <xdr:sp macro="" textlink="">
                  <xdr:nvSpPr>
                    <xdr:cNvPr id="17" name="TextBox 16"/>
                    <xdr:cNvSpPr txBox="1"/>
                  </xdr:nvSpPr>
                  <xdr:spPr>
                    <a:xfrm>
                      <a:off x="6410325" y="11439525"/>
                      <a:ext cx="2147511" cy="302390"/>
                    </a:xfrm>
                    <a:prstGeom prst="rect">
                      <a:avLst/>
                    </a:prstGeom>
                    <a:noFill/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tx1"/>
                    </a:fontRef>
                  </xdr:style>
                  <xdr:txBody>
                    <a:bodyPr vertOverflow="clip" horzOverflow="clip" wrap="none" lIns="0" tIns="0" rIns="0" bIns="0" rtlCol="0" anchor="t">
                      <a:spAutoFit/>
                    </a:bodyPr>
                    <a:lstStyle/>
                    <a:p>
                      <a:pPr/>
                      <a:r>
                        <a:rPr lang="ru-RU" sz="1800" b="0" i="0">
                          <a:latin typeface="Cambria Math" panose="02040503050406030204" pitchFamily="18" charset="0"/>
                        </a:rPr>
                        <a:t>З_пр=</a:t>
                      </a:r>
                      <a:r>
                        <a:rPr lang="en-US" sz="1800" b="0" i="0">
                          <a:latin typeface="Cambria Math" panose="02040503050406030204" pitchFamily="18" charset="0"/>
                        </a:rPr>
                        <a:t>𝐹</a:t>
                      </a:r>
                      <a:r>
                        <a:rPr lang="ru-RU" sz="1800" b="0" i="0">
                          <a:latin typeface="Cambria Math" panose="02040503050406030204" pitchFamily="18" charset="0"/>
                        </a:rPr>
                        <a:t>_эф∗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Ч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_(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тар.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𝑖)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∗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𝑛</a:t>
                      </a:r>
                      <a:r>
                        <a:rPr lang="ru-RU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_</a:t>
                      </a:r>
                      <a:r>
                        <a:rPr lang="en-US" sz="18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a:t>𝑖</a:t>
                      </a:r>
                      <a:endParaRPr lang="ru-RU" sz="1800"/>
                    </a:p>
                  </xdr:txBody>
                </xdr:sp>
              </mc:Fallback>
            </mc:AlternateContent>
          </xdr:grpSp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эф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(1−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𝛽</m:t>
                          </m:r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)</m:t>
                          </m:r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9" name="TextBox 8"/>
                  <xdr:cNvSpPr txBox="1"/>
                </xdr:nvSpPr>
                <xdr:spPr>
                  <a:xfrm>
                    <a:off x="6124575" y="10601325"/>
                    <a:ext cx="16573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_эф=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(1−</a:t>
                    </a:r>
                    <a:r>
                      <a:rPr lang="ru-RU" sz="18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a:t>𝛽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)</a:t>
                    </a:r>
                    <a:endParaRPr lang="ru-RU" sz="18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8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sub>
                              </m:s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sSub>
                                <m:sSubPr>
                                  <m:ctrlP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800" b="0" i="1">
                                      <a:latin typeface="Cambria Math" panose="02040503050406030204" pitchFamily="18" charset="0"/>
                                    </a:rPr>
                                    <m:t>𝐹</m:t>
                                  </m:r>
                                </m:e>
                                <m:sub>
                                  <m:r>
                                    <a:rPr lang="ru-RU" sz="1800" b="0" i="1">
                                      <a:latin typeface="Cambria Math" panose="02040503050406030204" pitchFamily="18" charset="0"/>
                                    </a:rPr>
                                    <m:t>в.п.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Т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см</m:t>
                              </m:r>
                            </m:sub>
                          </m:sSub>
                          <m:r>
                            <a:rPr lang="ru-RU" sz="18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sSub>
                            <m:sSubPr>
                              <m:ctrlPr>
                                <a:rPr lang="ru-RU" sz="18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e>
                            <m:sub>
                              <m:r>
                                <a:rPr lang="ru-RU" sz="1800" b="0" i="1">
                                  <a:latin typeface="Cambria Math" panose="02040503050406030204" pitchFamily="18" charset="0"/>
                                </a:rPr>
                                <m:t>ч</m:t>
                              </m:r>
                            </m:sub>
                          </m:sSub>
                        </m:oMath>
                      </m:oMathPara>
                    </a14:m>
                    <a:endParaRPr lang="ru-RU" sz="1800"/>
                  </a:p>
                </xdr:txBody>
              </xdr:sp>
            </mc:Choice>
            <mc:Fallback xmlns="">
              <xdr:sp macro="" textlink="">
                <xdr:nvSpPr>
                  <xdr:cNvPr id="10" name="TextBox 9"/>
                  <xdr:cNvSpPr txBox="1"/>
                </xdr:nvSpPr>
                <xdr:spPr>
                  <a:xfrm>
                    <a:off x="5676899" y="10906125"/>
                    <a:ext cx="2524125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noAutofit/>
                  </a:bodyPr>
                  <a:lstStyle/>
                  <a:p>
                    <a:pPr/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_н=(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_к−</a:t>
                    </a:r>
                    <a:r>
                      <a:rPr lang="en-US" sz="18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800" b="0" i="0">
                        <a:latin typeface="Cambria Math" panose="02040503050406030204" pitchFamily="18" charset="0"/>
                      </a:rPr>
                      <a:t>_(в.п.) )∗Т_см−Н_ч</a:t>
                    </a:r>
                    <a:endParaRPr lang="ru-RU" sz="1800"/>
                  </a:p>
                </xdr:txBody>
              </xdr:sp>
            </mc:Fallback>
          </mc:AlternateContent>
        </xdr:grpSp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пр мастер</m:t>
                            </m:r>
                          </m:sub>
                        </m:sSub>
                        <m:r>
                          <a:rPr lang="ru-RU" sz="1800" b="0" i="1">
                            <a:latin typeface="Cambria Math" panose="02040503050406030204" pitchFamily="18" charset="0"/>
                          </a:rPr>
                          <m:t>=Оклад∗11∗</m:t>
                        </m:r>
                        <m:sSub>
                          <m:sSubPr>
                            <m:ctrlPr>
                              <a:rPr lang="ru-RU" sz="18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800" b="0" i="1">
                                <a:latin typeface="Cambria Math" panose="02040503050406030204" pitchFamily="18" charset="0"/>
                              </a:rPr>
                              <m:t>𝑅</m:t>
                            </m:r>
                          </m:e>
                          <m:sub>
                            <m:r>
                              <a:rPr lang="ru-RU" sz="1800" b="0" i="1">
                                <a:latin typeface="Cambria Math" panose="02040503050406030204" pitchFamily="18" charset="0"/>
                              </a:rPr>
                              <m:t>ст мастер</m:t>
                            </m:r>
                          </m:sub>
                        </m:sSub>
                      </m:oMath>
                    </m:oMathPara>
                  </a14:m>
                  <a:endParaRPr lang="ru-RU" sz="1800"/>
                </a:p>
              </xdr:txBody>
            </xdr:sp>
          </mc:Choice>
          <mc:Fallback xmlns="">
            <xdr:sp macro="" textlink="">
              <xdr:nvSpPr>
                <xdr:cNvPr id="7" name="TextBox 6"/>
                <xdr:cNvSpPr txBox="1"/>
              </xdr:nvSpPr>
              <xdr:spPr>
                <a:xfrm>
                  <a:off x="5057775" y="11191875"/>
                  <a:ext cx="3038475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noAutofit/>
                </a:bodyPr>
                <a:lstStyle/>
                <a:p>
                  <a:pPr/>
                  <a:r>
                    <a:rPr lang="ru-RU" sz="1800" b="0" i="0">
                      <a:latin typeface="Cambria Math" panose="02040503050406030204" pitchFamily="18" charset="0"/>
                    </a:rPr>
                    <a:t>З_(пр мастер)=Оклад∗11∗</a:t>
                  </a:r>
                  <a:r>
                    <a:rPr lang="en-US" sz="1800" b="0" i="0">
                      <a:latin typeface="Cambria Math" panose="02040503050406030204" pitchFamily="18" charset="0"/>
                    </a:rPr>
                    <a:t>𝑅</a:t>
                  </a:r>
                  <a:r>
                    <a:rPr lang="ru-RU" sz="1800" b="0" i="0">
                      <a:latin typeface="Cambria Math" panose="02040503050406030204" pitchFamily="18" charset="0"/>
                    </a:rPr>
                    <a:t>_(ст мастер)</a:t>
                  </a:r>
                  <a:endParaRPr lang="ru-RU" sz="1800"/>
                </a:p>
              </xdr:txBody>
            </xdr:sp>
          </mc:Fallback>
        </mc:AlternateContent>
      </xdr:grpSp>
    </xdr:grpSp>
    <xdr:clientData/>
  </xdr:twoCellAnchor>
  <xdr:twoCellAnchor>
    <xdr:from>
      <xdr:col>4</xdr:col>
      <xdr:colOff>248676</xdr:colOff>
      <xdr:row>207</xdr:row>
      <xdr:rowOff>156384</xdr:rowOff>
    </xdr:from>
    <xdr:to>
      <xdr:col>5</xdr:col>
      <xdr:colOff>1196347</xdr:colOff>
      <xdr:row>212</xdr:row>
      <xdr:rowOff>181045</xdr:rowOff>
    </xdr:to>
    <xdr:grpSp>
      <xdr:nvGrpSpPr>
        <xdr:cNvPr id="29" name="Группа 28"/>
        <xdr:cNvGrpSpPr/>
      </xdr:nvGrpSpPr>
      <xdr:grpSpPr>
        <a:xfrm>
          <a:off x="20518732" y="52019474"/>
          <a:ext cx="5817194" cy="1255419"/>
          <a:chOff x="6738056" y="51800948"/>
          <a:chExt cx="2938204" cy="1255670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4" name="TextBox 23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 1 ст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r>
                        <a:rPr lang="en-US" sz="1600" b="0" i="1">
                          <a:latin typeface="Cambria Math" panose="02040503050406030204" pitchFamily="18" charset="0"/>
                        </a:rPr>
                        <m:t>𝐶</m:t>
                      </m:r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24" name="TextBox 23"/>
              <xdr:cNvSpPr txBox="1"/>
            </xdr:nvSpPr>
            <xdr:spPr>
              <a:xfrm>
                <a:off x="6786503" y="51800948"/>
                <a:ext cx="1471813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 1 ст)∗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𝐶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6" name="TextBox 25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уд.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ст. в наиб. смене (табл 4)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26" name="TextBox 25"/>
              <xdr:cNvSpPr txBox="1"/>
            </xdr:nvSpPr>
            <xdr:spPr>
              <a:xfrm>
                <a:off x="6762514" y="52153255"/>
                <a:ext cx="2913746" cy="27033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_(уд.)∗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_(ст. в наиб. смене (табл 4))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7" name="TextBox 26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+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</m:t>
                          </m:r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27" name="TextBox 26"/>
              <xdr:cNvSpPr txBox="1"/>
            </xdr:nvSpPr>
            <xdr:spPr>
              <a:xfrm>
                <a:off x="6785093" y="52469816"/>
                <a:ext cx="1434945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_пр+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_всп</a:t>
                </a:r>
                <a:endParaRPr lang="ru-RU" sz="1600" b="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8" name="TextBox 27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К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пл. уч.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Ц</m:t>
                          </m:r>
                        </m:e>
                        <m:sub>
                          <m:sSup>
                            <m:s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1м</m:t>
                              </m:r>
                            </m:e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sup>
                          </m:sSup>
                        </m:sub>
                      </m:sSub>
                    </m:oMath>
                  </m:oMathPara>
                </a14:m>
                <a:endParaRPr lang="ru-RU" sz="1600" b="0"/>
              </a:p>
            </xdr:txBody>
          </xdr:sp>
        </mc:Choice>
        <mc:Fallback xmlns="">
          <xdr:sp macro="" textlink="">
            <xdr:nvSpPr>
              <xdr:cNvPr id="28" name="TextBox 27"/>
              <xdr:cNvSpPr txBox="1"/>
            </xdr:nvSpPr>
            <xdr:spPr>
              <a:xfrm>
                <a:off x="6738056" y="52787314"/>
                <a:ext cx="1702517" cy="26930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ru-RU" sz="1600" b="0" i="0">
                    <a:latin typeface="Cambria Math" panose="02040503050406030204" pitchFamily="18" charset="0"/>
                  </a:rPr>
                  <a:t>К_(пл. уч.)=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𝑆</a:t>
                </a:r>
                <a:r>
                  <a:rPr lang="ru-RU" sz="1600" b="0" i="0">
                    <a:latin typeface="Cambria Math" panose="02040503050406030204" pitchFamily="18" charset="0"/>
                  </a:rPr>
                  <a:t>_уч∗Ц_(〖1м〗^2 )</a:t>
                </a:r>
                <a:endParaRPr lang="ru-RU" sz="1600" b="0"/>
              </a:p>
            </xdr:txBody>
          </xdr:sp>
        </mc:Fallback>
      </mc:AlternateContent>
    </xdr:grpSp>
    <xdr:clientData/>
  </xdr:twoCellAnchor>
  <xdr:twoCellAnchor>
    <xdr:from>
      <xdr:col>4</xdr:col>
      <xdr:colOff>84683</xdr:colOff>
      <xdr:row>196</xdr:row>
      <xdr:rowOff>181208</xdr:rowOff>
    </xdr:from>
    <xdr:to>
      <xdr:col>6</xdr:col>
      <xdr:colOff>389103</xdr:colOff>
      <xdr:row>205</xdr:row>
      <xdr:rowOff>103669</xdr:rowOff>
    </xdr:to>
    <xdr:grpSp>
      <xdr:nvGrpSpPr>
        <xdr:cNvPr id="35" name="Группа 34"/>
        <xdr:cNvGrpSpPr/>
      </xdr:nvGrpSpPr>
      <xdr:grpSpPr>
        <a:xfrm>
          <a:off x="20354739" y="49058371"/>
          <a:ext cx="7292988" cy="2416085"/>
          <a:chOff x="7346857" y="49019968"/>
          <a:chExt cx="3928820" cy="2439803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2" name="TextBox 21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по уч.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по уч.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2" name="TextBox 21"/>
              <xdr:cNvSpPr txBox="1"/>
            </xdr:nvSpPr>
            <xdr:spPr>
              <a:xfrm>
                <a:off x="7719411" y="49041154"/>
                <a:ext cx="1626984" cy="5488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г.)^уч=〖ФЗП〗_(по уч.)/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по уч.)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3" name="TextBox 22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уч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уч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3" name="TextBox 22"/>
              <xdr:cNvSpPr txBox="1"/>
            </xdr:nvSpPr>
            <xdr:spPr>
              <a:xfrm>
                <a:off x="9431798" y="49019968"/>
                <a:ext cx="1314912" cy="51866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мес.)^уч=(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г.)^уч)/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25" name="TextBox 24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пр.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25" name="TextBox 24"/>
              <xdr:cNvSpPr txBox="1"/>
            </xdr:nvSpPr>
            <xdr:spPr>
              <a:xfrm>
                <a:off x="7505926" y="49676859"/>
                <a:ext cx="1935658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г.)^(пр.  раб)=〖ФЗП〗_(пр.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пр.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пр. раб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 г.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раб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0" name="TextBox 29"/>
              <xdr:cNvSpPr txBox="1"/>
            </xdr:nvSpPr>
            <xdr:spPr>
              <a:xfrm>
                <a:off x="9529380" y="49701531"/>
                <a:ext cx="1440651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мес.)^(пр. раб)=(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 г.)^(пр. раб))/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всп.  раб.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1" name="TextBox 30"/>
              <xdr:cNvSpPr txBox="1"/>
            </xdr:nvSpPr>
            <xdr:spPr>
              <a:xfrm>
                <a:off x="9599705" y="50312077"/>
                <a:ext cx="1675972" cy="552459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мес.)^(всп.  раб.)=(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мес.)^(всп.  раб.))/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всп.  раб.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всп.  раб.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всп.  раб.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2" name="TextBox 31"/>
              <xdr:cNvSpPr txBox="1"/>
            </xdr:nvSpPr>
            <xdr:spPr>
              <a:xfrm>
                <a:off x="7410209" y="50321197"/>
                <a:ext cx="2088584" cy="547586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г.)^(всп.  раб.)=〖ФЗП〗_(всп.  раб.)/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всп.  раб.)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г.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ФЗП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маст.</m:t>
                              </m:r>
                            </m:sub>
                          </m:sSub>
                        </m:num>
                        <m:den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всего маст.</m:t>
                              </m:r>
                            </m:sub>
                          </m:sSub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3" name="TextBox 32"/>
              <xdr:cNvSpPr txBox="1"/>
            </xdr:nvSpPr>
            <xdr:spPr>
              <a:xfrm>
                <a:off x="7346857" y="50951747"/>
                <a:ext cx="1660776" cy="508024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г.)^(маст.)=〖ФЗП〗_(маст.)/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_(всего маст.) 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Sup>
                        <m:sSubSup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Sup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ср. мес.</m:t>
                          </m:r>
                        </m:sub>
                        <m: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маст.</m:t>
                          </m:r>
                        </m:sup>
                      </m:sSubSup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</m:t>
                      </m:r>
                      <m:f>
                        <m:f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fPr>
                        <m:num>
                          <m:sSubSup>
                            <m:sSubSupPr>
                              <m:ctrlPr>
                                <a:rPr lang="ru-RU" sz="160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ср. мес.</m:t>
                              </m:r>
                            </m:sub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маст.</m:t>
                              </m:r>
                            </m:sup>
                          </m:sSubSup>
                        </m:num>
                        <m:den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12</m:t>
                          </m:r>
                        </m:den>
                      </m:f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34" name="TextBox 33"/>
              <xdr:cNvSpPr txBox="1"/>
            </xdr:nvSpPr>
            <xdr:spPr>
              <a:xfrm>
                <a:off x="9556002" y="50961738"/>
                <a:ext cx="1454885" cy="476990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:r>
                  <a:rPr lang="ru-RU" sz="1600" b="0" i="0">
                    <a:latin typeface="Cambria Math" panose="02040503050406030204" pitchFamily="18" charset="0"/>
                  </a:rPr>
                  <a:t>З_(ср. мес.)^(маст.)=(</a:t>
                </a:r>
                <a:r>
                  <a:rPr lang="ru-RU" sz="1600" b="0" i="0">
                    <a:solidFill>
                      <a:schemeClr val="tx1"/>
                    </a:solidFill>
                    <a:effectLst/>
                    <a:latin typeface="Cambria Math" panose="02040503050406030204" pitchFamily="18" charset="0"/>
                    <a:ea typeface="+mn-ea"/>
                    <a:cs typeface="+mn-cs"/>
                  </a:rPr>
                  <a:t>З_(ср. мес.)^(маст.))/</a:t>
                </a:r>
                <a:r>
                  <a:rPr lang="ru-RU" sz="1600" b="0" i="0">
                    <a:latin typeface="Cambria Math" panose="02040503050406030204" pitchFamily="18" charset="0"/>
                  </a:rPr>
                  <a:t>12</a:t>
                </a:r>
                <a:endParaRPr lang="ru-RU" sz="1600"/>
              </a:p>
            </xdr:txBody>
          </xdr:sp>
        </mc:Fallback>
      </mc:AlternateContent>
    </xdr:grpSp>
    <xdr:clientData/>
  </xdr:twoCellAnchor>
  <xdr:twoCellAnchor>
    <xdr:from>
      <xdr:col>6</xdr:col>
      <xdr:colOff>144376</xdr:colOff>
      <xdr:row>236</xdr:row>
      <xdr:rowOff>184484</xdr:rowOff>
    </xdr:from>
    <xdr:to>
      <xdr:col>10</xdr:col>
      <xdr:colOff>756631</xdr:colOff>
      <xdr:row>294</xdr:row>
      <xdr:rowOff>151263</xdr:rowOff>
    </xdr:to>
    <xdr:grpSp>
      <xdr:nvGrpSpPr>
        <xdr:cNvPr id="68" name="Группа 67"/>
        <xdr:cNvGrpSpPr/>
      </xdr:nvGrpSpPr>
      <xdr:grpSpPr>
        <a:xfrm>
          <a:off x="27403000" y="59539147"/>
          <a:ext cx="10586749" cy="14414813"/>
          <a:chOff x="9559087" y="60613089"/>
          <a:chExt cx="7831202" cy="14254279"/>
        </a:xfrm>
      </xdr:grpSpPr>
      <xdr:grpSp>
        <xdr:nvGrpSpPr>
          <xdr:cNvPr id="62" name="Группа 61"/>
          <xdr:cNvGrpSpPr/>
        </xdr:nvGrpSpPr>
        <xdr:grpSpPr>
          <a:xfrm>
            <a:off x="9559087" y="60613089"/>
            <a:ext cx="7831202" cy="11859805"/>
            <a:chOff x="9559087" y="60613089"/>
            <a:chExt cx="7831202" cy="11859805"/>
          </a:xfrm>
        </xdr:grpSpPr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6" name="TextBox 35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С=М+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д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Е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сн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экс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оц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пр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36" name="TextBox 35"/>
                <xdr:cNvSpPr txBox="1"/>
              </xdr:nvSpPr>
              <xdr:spPr>
                <a:xfrm>
                  <a:off x="9689431" y="60613089"/>
                  <a:ext cx="4615494" cy="26866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С=М+З_о+З_д+Е_сн+З_экс+З_оц+З_оз+З_пр+З_к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7" name="TextBox 36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М=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м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тз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Н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Ц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</m:t>
                            </m:r>
                          </m:sub>
                        </m:sSub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37" name="TextBox 36"/>
                <xdr:cNvSpPr txBox="1"/>
              </xdr:nvSpPr>
              <xdr:spPr>
                <a:xfrm>
                  <a:off x="9691437" y="60996093"/>
                  <a:ext cx="2535438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М=Н_м∗Ц_м∗К_тз−Н_о∗Ц_о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8" name="TextBox 37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А=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об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+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инс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f>
                          <m:f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Sup>
                              <m:sSubSupPr>
                                <m:ctrlP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</m:ctrlPr>
                              </m:sSubSupPr>
                              <m:e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Н</m:t>
                                </m:r>
                              </m:e>
                              <m:sub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а</m:t>
                                </m:r>
                              </m:sub>
                              <m:sup>
                                <m:r>
                                  <a:rPr lang="ru-RU" sz="1600" b="0" i="1">
                                    <a:latin typeface="Cambria Math" panose="02040503050406030204" pitchFamily="18" charset="0"/>
                                  </a:rPr>
                                  <m:t>инс</m:t>
                                </m:r>
                              </m:sup>
                            </m:sSubSup>
                          </m:num>
                          <m:den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100%</m:t>
                            </m:r>
                          </m:den>
                        </m:f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38" name="TextBox 37"/>
                <xdr:cNvSpPr txBox="1"/>
              </xdr:nvSpPr>
              <xdr:spPr>
                <a:xfrm>
                  <a:off x="9631277" y="61377094"/>
                  <a:ext cx="2800318" cy="513667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А=К_об∗(Н_а^об)/(100%)+К_инс∗(Н_а^инс)/(100%)</a:t>
                  </a:r>
                  <a:endParaRPr lang="ru-RU" sz="1600"/>
                </a:p>
              </xdr:txBody>
            </xdr:sp>
          </mc:Fallback>
        </mc:AlternateContent>
        <mc:AlternateContent xmlns:mc="http://schemas.openxmlformats.org/markup-compatibility/2006" xmlns:a14="http://schemas.microsoft.com/office/drawing/2010/main">
          <mc:Choice Requires="a14">
            <xdr:sp macro="" textlink="">
              <xdr:nvSpPr>
                <xdr:cNvPr id="39" name="TextBox 38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14:m>
                    <m:oMathPara xmlns:m="http://schemas.openxmlformats.org/officeDocument/2006/math">
                      <m:oMathParaPr>
                        <m:jc m:val="centerGroup"/>
                      </m:oMathParaPr>
                      <m:oMath xmlns:m="http://schemas.openxmlformats.org/officeDocument/2006/math"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З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всп.  маст.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=</m:t>
                        </m:r>
                        <m:sSub>
                          <m:sSubPr>
                            <m:ctrlPr>
                              <a:rPr lang="ru-RU" sz="16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К</m:t>
                            </m:r>
                          </m:e>
                          <m:sub>
                            <m:r>
                              <a:rPr lang="ru-RU" sz="1600" b="0" i="1">
                                <a:latin typeface="Cambria Math" panose="02040503050406030204" pitchFamily="18" charset="0"/>
                              </a:rPr>
                              <m:t>об</m:t>
                            </m:r>
                          </m:sub>
                        </m:sSub>
                        <m:r>
                          <a:rPr lang="ru-RU" sz="1600" b="0" i="1">
                            <a:latin typeface="Cambria Math" panose="02040503050406030204" pitchFamily="18" charset="0"/>
                          </a:rPr>
                          <m:t>∗</m:t>
                        </m:r>
                        <m:r>
                          <a:rPr lang="ru-RU" sz="1600" b="0" i="0">
                            <a:latin typeface="Cambria Math" panose="02040503050406030204" pitchFamily="18" charset="0"/>
                          </a:rPr>
                          <m:t>0,5%</m:t>
                        </m:r>
                      </m:oMath>
                    </m:oMathPara>
                  </a14:m>
                  <a:endParaRPr lang="ru-RU" sz="1600"/>
                </a:p>
              </xdr:txBody>
            </xdr:sp>
          </mc:Choice>
          <mc:Fallback xmlns="">
            <xdr:sp macro="" textlink="">
              <xdr:nvSpPr>
                <xdr:cNvPr id="39" name="TextBox 38"/>
                <xdr:cNvSpPr txBox="1"/>
              </xdr:nvSpPr>
              <xdr:spPr>
                <a:xfrm>
                  <a:off x="9723520" y="61960627"/>
                  <a:ext cx="2018437" cy="250453"/>
                </a:xfrm>
                <a:prstGeom prst="rect">
                  <a:avLst/>
                </a:prstGeom>
                <a:noFill/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tx1"/>
                </a:fontRef>
              </xdr:style>
              <xdr:txBody>
                <a:bodyPr vertOverflow="clip" horzOverflow="clip" wrap="none" lIns="0" tIns="0" rIns="0" bIns="0" rtlCol="0" anchor="t">
                  <a:spAutoFit/>
                </a:bodyPr>
                <a:lstStyle/>
                <a:p>
                  <a:pPr/>
                  <a:r>
                    <a:rPr lang="ru-RU" sz="1600" b="0" i="0">
                      <a:latin typeface="Cambria Math" panose="02040503050406030204" pitchFamily="18" charset="0"/>
                    </a:rPr>
                    <a:t>З_(всп.  маст.)=К_об∗0,5%</a:t>
                  </a:r>
                  <a:endParaRPr lang="ru-RU" sz="1600"/>
                </a:p>
              </xdr:txBody>
            </xdr:sp>
          </mc:Fallback>
        </mc:AlternateContent>
        <xdr:grpSp>
          <xdr:nvGrpSpPr>
            <xdr:cNvPr id="61" name="Группа 60"/>
            <xdr:cNvGrpSpPr/>
          </xdr:nvGrpSpPr>
          <xdr:grpSpPr>
            <a:xfrm>
              <a:off x="9559087" y="62213287"/>
              <a:ext cx="7831202" cy="10259607"/>
              <a:chOff x="9629271" y="61651813"/>
              <a:chExt cx="7831202" cy="10259607"/>
            </a:xfrm>
          </xdr:grpSpPr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0" name="TextBox 39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э/э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nary>
                            <m:naryPr>
                              <m:chr m:val="∑"/>
                              <m:ctrlPr>
                                <a:rPr lang="en-US" sz="1600" b="0" i="1">
                                  <a:latin typeface="Cambria Math" panose="02040503050406030204" pitchFamily="18" charset="0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𝑚</m:t>
                              </m:r>
                            </m:sup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𝑃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К</m:t>
                                  </m:r>
                                </m:e>
                                <m:sub>
                                  <m:sSub>
                                    <m:sSubPr>
                                      <m:ctrlP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𝐶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</m:sub>
                              </m:s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</m:e>
                          </m:nary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0" name="TextBox 39"/>
                  <xdr:cNvSpPr txBox="1"/>
                </xdr:nvSpPr>
                <xdr:spPr>
                  <a:xfrm>
                    <a:off x="9775656" y="61651813"/>
                    <a:ext cx="3034549" cy="672172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З_(э/э)=Ц_(э/э)∗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𝑑∗∑_(𝑖=1)^𝑚▒〖(𝑃_𝑖∗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К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_(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_𝑖 )∗𝐶_𝑖)〗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1" name="TextBox 40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𝑑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latin typeface="Cambria Math" panose="02040503050406030204" pitchFamily="18" charset="0"/>
                                </a:rPr>
                                <m:t>𝐹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н</m:t>
                              </m:r>
                            </m:sub>
                          </m:sSub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∗(1−</m:t>
                          </m:r>
                          <m:sSub>
                            <m:sSubPr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рем</m:t>
                              </m:r>
                            </m:sub>
                          </m:sSub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1" name="TextBox 40"/>
                  <xdr:cNvSpPr txBox="1"/>
                </xdr:nvSpPr>
                <xdr:spPr>
                  <a:xfrm>
                    <a:off x="9697452" y="62345633"/>
                    <a:ext cx="2128211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𝑑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𝐹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_н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∗𝑆∗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(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1−К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рем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2" name="TextBox 41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</m:t>
                          </m:r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2" name="TextBox 41"/>
                  <xdr:cNvSpPr txBox="1"/>
                </xdr:nvSpPr>
                <xdr:spPr>
                  <a:xfrm>
                    <a:off x="9667372" y="62676503"/>
                    <a:ext cx="1780231" cy="28277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З_(вод.)=З_вод^пром+З_вод^эм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4" name="TextBox 43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пром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sSup>
                                <m:sSup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p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0,5м</m:t>
                                  </m:r>
                                </m:e>
                                <m:sup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3</m:t>
                                  </m:r>
                                </m:sup>
                              </m:s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М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дет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𝑁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г.</m:t>
                                  </m:r>
                                </m:sub>
                              </m:s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вод</m:t>
                                  </m:r>
                                </m:sub>
                              </m:sSub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4" name="TextBox 43"/>
                  <xdr:cNvSpPr txBox="1"/>
                </xdr:nvSpPr>
                <xdr:spPr>
                  <a:xfrm>
                    <a:off x="9629271" y="62939192"/>
                    <a:ext cx="2891753" cy="495777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З_вод^пром=(〖0,5м〗^3∗М_дет∗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𝑁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_(г.)∗Ц_вод)/1000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5" name="TextBox 44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Sup>
                            <m:sSubSup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Sup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  <m:sup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эм</m:t>
                              </m:r>
                            </m:sup>
                          </m:sSub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4</m:t>
                              </m:r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1000</m:t>
                              </m:r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вод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5" name="TextBox 44"/>
                  <xdr:cNvSpPr txBox="1"/>
                </xdr:nvSpPr>
                <xdr:spPr>
                  <a:xfrm>
                    <a:off x="9775658" y="63506684"/>
                    <a:ext cx="2886881" cy="461729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З_вод^эм=4/1000∗С∗Д_раб∗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∗Ц_вод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6" name="TextBox 45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воз.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sSup>
                            <m:sSup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0,5м</m:t>
                              </m:r>
                            </m:e>
                            <m:sup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3</m:t>
                              </m:r>
                            </m:sup>
                          </m:sSup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∗С∗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Д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раб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𝑆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Ц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сж.  воз.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6" name="TextBox 45"/>
                  <xdr:cNvSpPr txBox="1"/>
                </xdr:nvSpPr>
                <xdr:spPr>
                  <a:xfrm>
                    <a:off x="9777665" y="64050110"/>
                    <a:ext cx="3402983" cy="279500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З_(сж. воз.)=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〖0,5м〗^3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∗С∗Д_раб∗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𝑆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∗Ц_(сж.  воз.)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8" name="TextBox 4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сЕСН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налад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деж.э/м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ФЗП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деж. слес−рем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∗1,3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8" name="TextBox 47"/>
                  <xdr:cNvSpPr txBox="1"/>
                </xdr:nvSpPr>
                <xdr:spPr>
                  <a:xfrm>
                    <a:off x="9629274" y="64443142"/>
                    <a:ext cx="5057410" cy="285976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З_сЕСН=(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〖ФЗП〗_налад+〖ФЗП〗_(деж.э/м)+〖ФЗП〗_(деж. слес−рем) )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∗1,3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9" name="TextBox 4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МБП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=4120∗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всего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9" name="TextBox 48"/>
                  <xdr:cNvSpPr txBox="1"/>
                </xdr:nvSpPr>
                <xdr:spPr>
                  <a:xfrm>
                    <a:off x="9661356" y="64866251"/>
                    <a:ext cx="1890902" cy="2504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З_МБП=4120∗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_всего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0" name="TextBox 4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рем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d>
                            <m:dPr>
                              <m:begChr m:val="["/>
                              <m:endChr m:val="]"/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nary>
                                <m:naryPr>
                                  <m:chr m:val="∑"/>
                                  <m:subHide m:val="on"/>
                                  <m:supHide m:val="on"/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naryPr>
                                <m:sub/>
                                <m:sup/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</m:nary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𝑟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тар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𝑘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𝑐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sub>
                                  </m:s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+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𝑛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∗</m:t>
                                  </m:r>
                                  <m:sSub>
                                    <m:sSubPr>
                                      <m:ctrlPr>
                                        <a:rPr lang="ru-RU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𝑡</m:t>
                                      </m:r>
                                    </m:e>
                                    <m:sub>
                                      <m:r>
                                        <a:rPr lang="en-US" sz="16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  <m:t>𝑜</m:t>
                                      </m:r>
                                    </m:sub>
                                  </m:sSub>
                                </m:e>
                              </m:d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пр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д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р</m:t>
                                  </m:r>
                                </m:sub>
                              </m:s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𝐾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Есн</m:t>
                                  </m:r>
                                </m:sub>
                              </m:sSub>
                            </m:e>
                          </m:d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num>
                            <m:den>
                              <m:sSub>
                                <m:sSubPr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Т</m:t>
                                  </m:r>
                                </m:e>
                                <m: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ц</m:t>
                                  </m:r>
                                </m:sub>
                              </m:sSub>
                            </m:den>
                          </m:f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+М</m:t>
                          </m:r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0" name="TextBox 49"/>
                  <xdr:cNvSpPr txBox="1"/>
                </xdr:nvSpPr>
                <xdr:spPr>
                  <a:xfrm>
                    <a:off x="9653336" y="65179073"/>
                    <a:ext cx="7807137" cy="654538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ru-RU" sz="1600" b="0" i="0">
                        <a:latin typeface="Cambria Math" panose="02040503050406030204" pitchFamily="18" charset="0"/>
                      </a:rPr>
                      <a:t>З_рем=[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∑▒𝑅∗𝑟_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тар∗(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𝑘+𝑛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𝑐+𝑛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𝑡+𝑛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𝑡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𝑜 )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_пр∗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_д∗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_р∗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𝐾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_Есн ]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∗1/Т_ц +М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1" name="TextBox 5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nary>
                            <m:naryPr>
                              <m:chr m:val="∑"/>
                              <m:subHide m:val="on"/>
                              <m:supHide m:val="on"/>
                              <m:ctrl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/>
                            <m:sup/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𝑅</m:t>
                              </m:r>
                            </m:e>
                          </m:nary>
                          <m:r>
                            <a:rPr lang="ru-RU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=</m:t>
                          </m:r>
                          <m:nary>
                            <m:naryPr>
                              <m:chr m:val="∑"/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23"/>
                                </m:rP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=1</m:t>
                              </m:r>
                            </m:sub>
                            <m:sup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𝑛</m:t>
                              </m:r>
                            </m:sup>
                            <m:e>
                              <m:sSub>
                                <m:sSubPr>
                                  <m:ctrlPr>
                                    <a:rPr lang="ru-RU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𝑅</m:t>
                                  </m:r>
                                </m:e>
                                <m:sub>
                                  <m:r>
                                    <a:rPr lang="en-US" sz="16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  <m:r>
                            <a:rPr lang="en-US" sz="16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𝐶</m:t>
                              </m:r>
                            </m:e>
                            <m:sub>
                              <m:r>
                                <a:rPr lang="en-US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oMath>
                      </m:oMathPara>
                    </a14:m>
                    <a:endParaRPr lang="ru-RU" sz="2400"/>
                  </a:p>
                </xdr:txBody>
              </xdr:sp>
            </mc:Choice>
            <mc:Fallback xmlns="">
              <xdr:sp macro="" textlink="">
                <xdr:nvSpPr>
                  <xdr:cNvPr id="51" name="TextBox 50"/>
                  <xdr:cNvSpPr txBox="1"/>
                </xdr:nvSpPr>
                <xdr:spPr>
                  <a:xfrm>
                    <a:off x="9905999" y="65822762"/>
                    <a:ext cx="1666675" cy="670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∑▒𝑅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=∑_(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=1)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^𝑛▒𝑅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 ∗𝐶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_</a:t>
                    </a:r>
                    <a:r>
                      <a:rPr lang="en-US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𝑖</a:t>
                    </a:r>
                    <a:endParaRPr lang="ru-RU" sz="24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𝑀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5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0</m:t>
                          </m:r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%</m:t>
                          </m:r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∗</m:t>
                          </m:r>
                          <m:sSub>
                            <m:sSubPr>
                              <m:ctrlP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З</m:t>
                              </m:r>
                            </m:e>
                            <m:sub>
                              <m:r>
                                <a:rPr lang="ru-RU" sz="16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пр.  сл−рем</m:t>
                              </m:r>
                            </m:sub>
                          </m:sSub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53" name="TextBox 52"/>
                  <xdr:cNvSpPr txBox="1"/>
                </xdr:nvSpPr>
                <xdr:spPr>
                  <a:xfrm>
                    <a:off x="9785684" y="66554684"/>
                    <a:ext cx="1961050" cy="26866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:r>
                      <a:rPr lang="en-US" sz="1600" b="0" i="0">
                        <a:latin typeface="Cambria Math" panose="02040503050406030204" pitchFamily="18" charset="0"/>
                      </a:rPr>
                      <a:t>𝑀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=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5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0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%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</a:t>
                    </a:r>
                    <a:r>
                      <a:rPr lang="ru-RU" sz="16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a:t>З_(пр.  сл−рем)</a:t>
                    </a:r>
                    <a:endParaRPr lang="ru-RU" sz="1600"/>
                  </a:p>
                </xdr:txBody>
              </xdr:sp>
            </mc:Fallback>
          </mc:AlternateContent>
          <mc:AlternateContent xmlns:mc="http://schemas.openxmlformats.org/markup-compatibility/2006" xmlns:a14="http://schemas.microsoft.com/office/drawing/2010/main">
            <mc:Choice Requires="a14">
              <xdr:sp macro="" textlink="">
                <xdr:nvSpPr>
                  <xdr:cNvPr id="43" name="TextBox 4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pPr/>
                    <a14:m>
                      <m:oMathPara xmlns:m="http://schemas.openxmlformats.org/officeDocument/2006/math">
                        <m:oMathParaPr>
                          <m:jc m:val="centerGroup"/>
                        </m:oMathParaPr>
                        <m:oMath xmlns:m="http://schemas.openxmlformats.org/officeDocument/2006/math">
                          <m:sSub>
                            <m:sSubPr>
                              <m:ctrlPr>
                                <a:rPr lang="ru-RU" sz="160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К</m:t>
                              </m:r>
                            </m:e>
                            <m:sub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загр.</m:t>
                              </m:r>
                            </m:sub>
                          </m:s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=</m:t>
                          </m:r>
                          <m:f>
                            <m:fPr>
                              <m:ctrlPr>
                                <a:rPr lang="ru-RU" sz="1600" b="0" i="1">
                                  <a:latin typeface="Cambria Math" panose="02040503050406030204" pitchFamily="18" charset="0"/>
                                </a:rPr>
                              </m:ctrlPr>
                            </m:fPr>
                            <m:num>
                              <m:nary>
                                <m:naryPr>
                                  <m:chr m:val="∑"/>
                                  <m:ctrlP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</m:ctrlPr>
                                </m:naryPr>
                                <m:sub>
                                  <m:r>
                                    <m:rPr>
                                      <m:brk m:alnAt="23"/>
                                    </m:rP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𝑖</m:t>
                                  </m:r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=1</m:t>
                                  </m:r>
                                </m:sub>
                                <m:sup>
                                  <m:r>
                                    <a:rPr lang="en-US" sz="1600" b="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</m:sup>
                                <m:e>
                                  <m:sSub>
                                    <m:sSubPr>
                                      <m:ctrlP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К</m:t>
                                      </m:r>
                                    </m:e>
                                    <m:sub>
                                      <m:r>
                                        <a:rPr lang="ru-RU" sz="1600" b="0" i="1">
                                          <a:latin typeface="Cambria Math" panose="02040503050406030204" pitchFamily="18" charset="0"/>
                                        </a:rPr>
                                        <m:t>з</m:t>
                                      </m:r>
                                      <m:r>
                                        <a:rPr lang="en-US" sz="1600" b="0" i="1">
                                          <a:latin typeface="Cambria Math" panose="02040503050406030204" pitchFamily="18" charset="0"/>
                                        </a:rPr>
                                        <m:t>𝑖</m:t>
                                      </m:r>
                                    </m:sub>
                                  </m:sSub>
                                  <m:r>
                                    <a:rPr lang="ru-RU" sz="1600" b="0" i="1">
                                      <a:latin typeface="Cambria Math" panose="02040503050406030204" pitchFamily="18" charset="0"/>
                                    </a:rPr>
                                    <m:t>∗С</m:t>
                                  </m:r>
                                </m:e>
                              </m:nary>
                            </m:num>
                            <m:den>
                              <m:r>
                                <a:rPr lang="ru-RU" sz="1600" b="0" i="1">
                                  <a:latin typeface="Cambria Math" panose="02040503050406030204" pitchFamily="18" charset="0"/>
                                </a:rPr>
                                <m:t>С</m:t>
                              </m:r>
                            </m:den>
                          </m:f>
                        </m:oMath>
                      </m:oMathPara>
                    </a14:m>
                    <a:endParaRPr lang="ru-RU" sz="1600"/>
                  </a:p>
                </xdr:txBody>
              </xdr:sp>
            </mc:Choice>
            <mc:Fallback xmlns="">
              <xdr:sp macro="" textlink="">
                <xdr:nvSpPr>
                  <xdr:cNvPr id="43" name="TextBox 42"/>
                  <xdr:cNvSpPr txBox="1"/>
                </xdr:nvSpPr>
                <xdr:spPr>
                  <a:xfrm>
                    <a:off x="9829798" y="66849458"/>
                    <a:ext cx="1784976" cy="482953"/>
                  </a:xfrm>
                  <a:prstGeom prst="rect">
                    <a:avLst/>
                  </a:prstGeom>
                  <a:noFill/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tx1"/>
                  </a:fontRef>
                </xdr:style>
                <xdr:txBody>
                  <a:bodyPr vertOverflow="clip" horzOverflow="clip" wrap="none" lIns="0" tIns="0" rIns="0" bIns="0" rtlCol="0" anchor="t">
                    <a:spAutoFit/>
                  </a:bodyPr>
                  <a:lstStyle/>
                  <a:p>
                    <a:r>
                      <a:rPr lang="ru-RU" sz="1600" b="0" i="0">
                        <a:latin typeface="Cambria Math" panose="02040503050406030204" pitchFamily="18" charset="0"/>
                      </a:rPr>
                      <a:t>К_(загр.)=(∑24_(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𝑖=1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)^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𝑛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▒〖К_з</a:t>
                    </a:r>
                    <a:r>
                      <a:rPr lang="en-US" sz="1600" b="0" i="0">
                        <a:latin typeface="Cambria Math" panose="02040503050406030204" pitchFamily="18" charset="0"/>
                      </a:rPr>
                      <a:t>𝑖</a:t>
                    </a:r>
                    <a:r>
                      <a:rPr lang="ru-RU" sz="1600" b="0" i="0">
                        <a:latin typeface="Cambria Math" panose="02040503050406030204" pitchFamily="18" charset="0"/>
                      </a:rPr>
                      <a:t>∗С〗)/С</a:t>
                    </a:r>
                    <a:endParaRPr lang="ru-RU" sz="1600"/>
                  </a:p>
                </xdr:txBody>
              </xdr:sp>
            </mc:Fallback>
          </mc:AlternateContent>
          <xdr:pic>
            <xdr:nvPicPr>
              <xdr:cNvPr id="47" name="Рисунок 4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9685422" y="67336738"/>
                <a:ext cx="6253206" cy="324000"/>
              </a:xfrm>
              <a:prstGeom prst="rect">
                <a:avLst/>
              </a:prstGeom>
            </xdr:spPr>
          </xdr:pic>
          <xdr:pic>
            <xdr:nvPicPr>
              <xdr:cNvPr id="52" name="Рисунок 51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9645317" y="67767868"/>
                <a:ext cx="3564000" cy="342514"/>
              </a:xfrm>
              <a:prstGeom prst="rect">
                <a:avLst/>
              </a:prstGeom>
            </xdr:spPr>
          </xdr:pic>
          <xdr:pic>
            <xdr:nvPicPr>
              <xdr:cNvPr id="54" name="Рисунок 53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9986212" y="68299264"/>
                <a:ext cx="1824262" cy="324000"/>
              </a:xfrm>
              <a:prstGeom prst="rect">
                <a:avLst/>
              </a:prstGeom>
            </xdr:spPr>
          </xdr:pic>
          <xdr:pic>
            <xdr:nvPicPr>
              <xdr:cNvPr id="55" name="Рисунок 54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9835815" y="68740422"/>
                <a:ext cx="2352245" cy="324000"/>
              </a:xfrm>
              <a:prstGeom prst="rect">
                <a:avLst/>
              </a:prstGeom>
            </xdr:spPr>
          </xdr:pic>
          <xdr:pic>
            <xdr:nvPicPr>
              <xdr:cNvPr id="56" name="Рисунок 55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9685422" y="69191605"/>
                <a:ext cx="2407936" cy="396000"/>
              </a:xfrm>
              <a:prstGeom prst="rect">
                <a:avLst/>
              </a:prstGeom>
            </xdr:spPr>
          </xdr:pic>
          <xdr:pic>
            <xdr:nvPicPr>
              <xdr:cNvPr id="57" name="Рисунок 56"/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9705474" y="69773131"/>
                <a:ext cx="3544160" cy="324000"/>
              </a:xfrm>
              <a:prstGeom prst="rect">
                <a:avLst/>
              </a:prstGeom>
            </xdr:spPr>
          </xdr:pic>
          <xdr:pic>
            <xdr:nvPicPr>
              <xdr:cNvPr id="58" name="Рисунок 57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9685422" y="70254394"/>
                <a:ext cx="2267999" cy="504000"/>
              </a:xfrm>
              <a:prstGeom prst="rect">
                <a:avLst/>
              </a:prstGeom>
            </xdr:spPr>
          </xdr:pic>
          <xdr:pic>
            <xdr:nvPicPr>
              <xdr:cNvPr id="59" name="Рисунок 58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9695447" y="70805842"/>
                <a:ext cx="2734824" cy="504000"/>
              </a:xfrm>
              <a:prstGeom prst="rect">
                <a:avLst/>
              </a:prstGeom>
            </xdr:spPr>
          </xdr:pic>
          <xdr:pic>
            <xdr:nvPicPr>
              <xdr:cNvPr id="60" name="Рисунок 59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9845845" y="71407420"/>
                <a:ext cx="2078029" cy="504000"/>
              </a:xfrm>
              <a:prstGeom prst="rect">
                <a:avLst/>
              </a:prstGeom>
            </xdr:spPr>
          </xdr:pic>
        </xdr:grpSp>
      </xdr:grpSp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3" name="TextBox 62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исп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=3 500∗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63" name="TextBox 62"/>
              <xdr:cNvSpPr txBox="1"/>
            </xdr:nvSpPr>
            <xdr:spPr>
              <a:xfrm>
                <a:off x="9769641" y="72514326"/>
                <a:ext cx="1779141" cy="260905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ru-RU" sz="1600" b="0" i="0">
                    <a:latin typeface="Cambria Math" panose="02040503050406030204" pitchFamily="18" charset="0"/>
                  </a:rPr>
                  <a:t>З_исп=3 500∗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64" name="TextBox 63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pPr/>
                <a14:m>
                  <m:oMathPara xmlns:m="http://schemas.openxmlformats.org/officeDocument/2006/math">
                    <m:oMathParaPr>
                      <m:jc m:val="centerGroup"/>
                    </m:oMathParaPr>
                    <m:oMath xmlns:m="http://schemas.openxmlformats.org/officeDocument/2006/math">
                      <m:sSub>
                        <m:sSubPr>
                          <m:ctrlPr>
                            <a:rPr lang="ru-RU" sz="16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З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охр.тр.</m:t>
                          </m:r>
                        </m:sub>
                      </m:sSub>
                      <m:r>
                        <a:rPr lang="ru-RU" sz="1600" b="0" i="1">
                          <a:latin typeface="Cambria Math" panose="02040503050406030204" pitchFamily="18" charset="0"/>
                        </a:rPr>
                        <m:t>=3 190∗</m:t>
                      </m:r>
                      <m:sSub>
                        <m:sSubPr>
                          <m:ctrlPr>
                            <a:rPr lang="ru-RU" sz="1600" b="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en-US" sz="1600" b="0" i="1">
                              <a:latin typeface="Cambria Math" panose="02040503050406030204" pitchFamily="18" charset="0"/>
                            </a:rPr>
                            <m:t>𝑅</m:t>
                          </m:r>
                        </m:e>
                        <m:sub>
                          <m:r>
                            <a:rPr lang="ru-RU" sz="1600" b="0" i="1">
                              <a:latin typeface="Cambria Math" panose="02040503050406030204" pitchFamily="18" charset="0"/>
                            </a:rPr>
                            <m:t>общ</m:t>
                          </m:r>
                        </m:sub>
                      </m:sSub>
                    </m:oMath>
                  </m:oMathPara>
                </a14:m>
                <a:endParaRPr lang="ru-RU" sz="1600"/>
              </a:p>
            </xdr:txBody>
          </xdr:sp>
        </mc:Choice>
        <mc:Fallback xmlns="">
          <xdr:sp macro="" textlink="">
            <xdr:nvSpPr>
              <xdr:cNvPr id="64" name="TextBox 63"/>
              <xdr:cNvSpPr txBox="1"/>
            </xdr:nvSpPr>
            <xdr:spPr>
              <a:xfrm>
                <a:off x="9811751" y="72877278"/>
                <a:ext cx="1996316" cy="268663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none" lIns="0" tIns="0" rIns="0" bIns="0" rtlCol="0" anchor="t">
                <a:spAutoFit/>
              </a:bodyPr>
              <a:lstStyle/>
              <a:p>
                <a:r>
                  <a:rPr lang="ru-RU" sz="1600" b="0" i="0">
                    <a:latin typeface="Cambria Math" panose="02040503050406030204" pitchFamily="18" charset="0"/>
                  </a:rPr>
                  <a:t>З_(охр.тр.)=3 190∗</a:t>
                </a:r>
                <a:r>
                  <a:rPr lang="en-US" sz="1600" b="0" i="0">
                    <a:latin typeface="Cambria Math" panose="02040503050406030204" pitchFamily="18" charset="0"/>
                  </a:rPr>
                  <a:t>𝑅</a:t>
                </a:r>
                <a:r>
                  <a:rPr lang="ru-RU" sz="1600" b="0" i="0">
                    <a:latin typeface="Cambria Math" panose="02040503050406030204" pitchFamily="18" charset="0"/>
                  </a:rPr>
                  <a:t>_общ</a:t>
                </a:r>
                <a:endParaRPr lang="ru-RU" sz="1600"/>
              </a:p>
            </xdr:txBody>
          </xdr:sp>
        </mc:Fallback>
      </mc:AlternateContent>
      <xdr:pic>
        <xdr:nvPicPr>
          <xdr:cNvPr id="65" name="Рисунок 64"/>
          <xdr:cNvPicPr>
            <a:picLocks noChangeAspect="1"/>
          </xdr:cNvPicPr>
        </xdr:nvPicPr>
        <xdr:blipFill>
          <a:blip xmlns:r="http://schemas.openxmlformats.org/officeDocument/2006/relationships" r:embed="rId10"/>
          <a:stretch>
            <a:fillRect/>
          </a:stretch>
        </xdr:blipFill>
        <xdr:spPr>
          <a:xfrm>
            <a:off x="9795710" y="73242236"/>
            <a:ext cx="2036572" cy="396000"/>
          </a:xfrm>
          <a:prstGeom prst="rect">
            <a:avLst/>
          </a:prstGeom>
        </xdr:spPr>
      </xdr:pic>
      <xdr:pic>
        <xdr:nvPicPr>
          <xdr:cNvPr id="66" name="Рисунок 65"/>
          <xdr:cNvPicPr>
            <a:picLocks noChangeAspect="1"/>
          </xdr:cNvPicPr>
        </xdr:nvPicPr>
        <xdr:blipFill>
          <a:blip xmlns:r="http://schemas.openxmlformats.org/officeDocument/2006/relationships" r:embed="rId11"/>
          <a:stretch>
            <a:fillRect/>
          </a:stretch>
        </xdr:blipFill>
        <xdr:spPr>
          <a:xfrm>
            <a:off x="9895977" y="73673368"/>
            <a:ext cx="1432799" cy="756000"/>
          </a:xfrm>
          <a:prstGeom prst="rect">
            <a:avLst/>
          </a:prstGeom>
        </xdr:spPr>
      </xdr:pic>
      <xdr:pic>
        <xdr:nvPicPr>
          <xdr:cNvPr id="67" name="Рисунок 66"/>
          <xdr:cNvPicPr>
            <a:picLocks noChangeAspect="1"/>
          </xdr:cNvPicPr>
        </xdr:nvPicPr>
        <xdr:blipFill>
          <a:blip xmlns:r="http://schemas.openxmlformats.org/officeDocument/2006/relationships" r:embed="rId12"/>
          <a:stretch>
            <a:fillRect/>
          </a:stretch>
        </xdr:blipFill>
        <xdr:spPr>
          <a:xfrm>
            <a:off x="9635289" y="74435368"/>
            <a:ext cx="4222192" cy="43200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801494</xdr:colOff>
      <xdr:row>376</xdr:row>
      <xdr:rowOff>125155</xdr:rowOff>
    </xdr:from>
    <xdr:to>
      <xdr:col>1</xdr:col>
      <xdr:colOff>4164288</xdr:colOff>
      <xdr:row>389</xdr:row>
      <xdr:rowOff>185538</xdr:rowOff>
    </xdr:to>
    <xdr:grpSp>
      <xdr:nvGrpSpPr>
        <xdr:cNvPr id="76" name="Группа 75"/>
        <xdr:cNvGrpSpPr/>
      </xdr:nvGrpSpPr>
      <xdr:grpSpPr>
        <a:xfrm>
          <a:off x="7725848" y="94476166"/>
          <a:ext cx="3362794" cy="3260355"/>
          <a:chOff x="197470" y="94329729"/>
          <a:chExt cx="3362794" cy="3231511"/>
        </a:xfrm>
      </xdr:grpSpPr>
      <xdr:pic>
        <xdr:nvPicPr>
          <xdr:cNvPr id="69" name="Рисунок 68"/>
          <xdr:cNvPicPr>
            <a:picLocks noChangeAspect="1"/>
          </xdr:cNvPicPr>
        </xdr:nvPicPr>
        <xdr:blipFill>
          <a:blip xmlns:r="http://schemas.openxmlformats.org/officeDocument/2006/relationships" r:embed="rId13"/>
          <a:stretch>
            <a:fillRect/>
          </a:stretch>
        </xdr:blipFill>
        <xdr:spPr>
          <a:xfrm>
            <a:off x="607950" y="95180469"/>
            <a:ext cx="1952898" cy="895764"/>
          </a:xfrm>
          <a:prstGeom prst="rect">
            <a:avLst/>
          </a:prstGeom>
        </xdr:spPr>
      </xdr:pic>
      <xdr:pic>
        <xdr:nvPicPr>
          <xdr:cNvPr id="70" name="Рисунок 69"/>
          <xdr:cNvPicPr>
            <a:picLocks noChangeAspect="1"/>
          </xdr:cNvPicPr>
        </xdr:nvPicPr>
        <xdr:blipFill>
          <a:blip xmlns:r="http://schemas.openxmlformats.org/officeDocument/2006/relationships" r:embed="rId14"/>
          <a:stretch>
            <a:fillRect/>
          </a:stretch>
        </xdr:blipFill>
        <xdr:spPr>
          <a:xfrm>
            <a:off x="603698" y="94329729"/>
            <a:ext cx="2228571" cy="750220"/>
          </a:xfrm>
          <a:prstGeom prst="rect">
            <a:avLst/>
          </a:prstGeom>
        </xdr:spPr>
      </xdr:pic>
      <xdr:pic>
        <xdr:nvPicPr>
          <xdr:cNvPr id="71" name="Рисунок 70"/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453019" y="96051494"/>
            <a:ext cx="2581635" cy="760223"/>
          </a:xfrm>
          <a:prstGeom prst="rect">
            <a:avLst/>
          </a:prstGeom>
        </xdr:spPr>
      </xdr:pic>
      <xdr:pic>
        <xdr:nvPicPr>
          <xdr:cNvPr id="72" name="Рисунок 71"/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197470" y="96771676"/>
            <a:ext cx="3362794" cy="78956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337038</xdr:colOff>
      <xdr:row>463</xdr:row>
      <xdr:rowOff>234471</xdr:rowOff>
    </xdr:from>
    <xdr:to>
      <xdr:col>0</xdr:col>
      <xdr:colOff>6746467</xdr:colOff>
      <xdr:row>467</xdr:row>
      <xdr:rowOff>119227</xdr:rowOff>
    </xdr:to>
    <xdr:pic>
      <xdr:nvPicPr>
        <xdr:cNvPr id="73" name="Рисунок 72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337038" y="118872009"/>
          <a:ext cx="6409429" cy="881218"/>
        </a:xfrm>
        <a:prstGeom prst="rect">
          <a:avLst/>
        </a:prstGeom>
      </xdr:spPr>
    </xdr:pic>
    <xdr:clientData/>
  </xdr:twoCellAnchor>
  <xdr:twoCellAnchor>
    <xdr:from>
      <xdr:col>0</xdr:col>
      <xdr:colOff>355817</xdr:colOff>
      <xdr:row>508</xdr:row>
      <xdr:rowOff>109919</xdr:rowOff>
    </xdr:from>
    <xdr:to>
      <xdr:col>1</xdr:col>
      <xdr:colOff>5925872</xdr:colOff>
      <xdr:row>520</xdr:row>
      <xdr:rowOff>81669</xdr:rowOff>
    </xdr:to>
    <xdr:grpSp>
      <xdr:nvGrpSpPr>
        <xdr:cNvPr id="77" name="Группа 76"/>
        <xdr:cNvGrpSpPr/>
      </xdr:nvGrpSpPr>
      <xdr:grpSpPr>
        <a:xfrm>
          <a:off x="355817" y="126952953"/>
          <a:ext cx="12494409" cy="2925570"/>
          <a:chOff x="452631" y="128341098"/>
          <a:chExt cx="12078354" cy="2946305"/>
        </a:xfrm>
      </xdr:grpSpPr>
      <xdr:pic>
        <xdr:nvPicPr>
          <xdr:cNvPr id="74" name="Рисунок 73"/>
          <xdr:cNvPicPr>
            <a:picLocks noChangeAspect="1"/>
          </xdr:cNvPicPr>
        </xdr:nvPicPr>
        <xdr:blipFill>
          <a:blip xmlns:r="http://schemas.openxmlformats.org/officeDocument/2006/relationships" r:embed="rId18"/>
          <a:stretch>
            <a:fillRect/>
          </a:stretch>
        </xdr:blipFill>
        <xdr:spPr>
          <a:xfrm>
            <a:off x="452631" y="128341098"/>
            <a:ext cx="5760580" cy="2946305"/>
          </a:xfrm>
          <a:prstGeom prst="rect">
            <a:avLst/>
          </a:prstGeom>
        </xdr:spPr>
      </xdr:pic>
      <xdr:pic>
        <xdr:nvPicPr>
          <xdr:cNvPr id="75" name="Рисунок 74"/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6212652" y="128676448"/>
            <a:ext cx="6318333" cy="2378342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16423</xdr:colOff>
      <xdr:row>531</xdr:row>
      <xdr:rowOff>65690</xdr:rowOff>
    </xdr:from>
    <xdr:to>
      <xdr:col>1</xdr:col>
      <xdr:colOff>581373</xdr:colOff>
      <xdr:row>544</xdr:row>
      <xdr:rowOff>67319</xdr:rowOff>
    </xdr:to>
    <xdr:pic>
      <xdr:nvPicPr>
        <xdr:cNvPr id="78" name="Рисунок 77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423" y="133103664"/>
          <a:ext cx="7485798" cy="320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30"/>
  <sheetViews>
    <sheetView tabSelected="1" zoomScale="89" zoomScaleNormal="100" workbookViewId="0">
      <selection activeCell="D9" sqref="D9:E9"/>
    </sheetView>
  </sheetViews>
  <sheetFormatPr defaultRowHeight="19.5" x14ac:dyDescent="0.25"/>
  <cols>
    <col min="1" max="1" width="103.85546875" style="71" bestFit="1" customWidth="1"/>
    <col min="2" max="2" width="95.5703125" style="113" bestFit="1" customWidth="1"/>
    <col min="3" max="3" width="40.7109375" style="57" bestFit="1" customWidth="1"/>
    <col min="4" max="4" width="63.85546875" style="52" bestFit="1" customWidth="1"/>
    <col min="5" max="5" width="73" style="46" bestFit="1" customWidth="1"/>
    <col min="6" max="6" width="31.85546875" style="57" bestFit="1" customWidth="1"/>
    <col min="7" max="7" width="49.140625" style="57" bestFit="1" customWidth="1"/>
    <col min="8" max="8" width="23.42578125" style="57" bestFit="1" customWidth="1"/>
    <col min="9" max="9" width="53" style="46" bestFit="1" customWidth="1"/>
    <col min="10" max="11" width="24.140625" style="57" bestFit="1" customWidth="1"/>
    <col min="12" max="21" width="23.85546875" style="57" bestFit="1" customWidth="1"/>
    <col min="22" max="22" width="7.140625" style="57" bestFit="1" customWidth="1"/>
    <col min="23" max="23" width="7.7109375" style="57" bestFit="1" customWidth="1"/>
    <col min="24" max="24" width="4.140625" style="57" bestFit="1" customWidth="1"/>
    <col min="25" max="26" width="8.7109375" style="57" bestFit="1" customWidth="1"/>
    <col min="27" max="27" width="8.28515625" style="57" bestFit="1" customWidth="1"/>
    <col min="28" max="29" width="9.140625" style="57"/>
    <col min="30" max="30" width="16.42578125" style="57" bestFit="1" customWidth="1"/>
    <col min="31" max="32" width="13.28515625" style="57" bestFit="1" customWidth="1"/>
    <col min="33" max="16384" width="9.140625" style="57"/>
  </cols>
  <sheetData>
    <row r="1" spans="1:30" ht="20.25" thickBot="1" x14ac:dyDescent="0.3">
      <c r="A1" s="1" t="str">
        <f>"Выручка с НДС на 1 шаге = Объем реализации * Цена единицы НДС = "&amp;'666'!F408&amp;" * "</f>
        <v xml:space="preserve">Выручка с НДС на 1 шаге = Объем реализации * Цена единицы НДС = 55000 * </v>
      </c>
      <c r="B1" s="1" t="s">
        <v>0</v>
      </c>
      <c r="C1" s="58" t="s">
        <v>1</v>
      </c>
      <c r="D1" s="1" t="s">
        <v>4</v>
      </c>
      <c r="E1" s="1" t="s">
        <v>5</v>
      </c>
      <c r="F1" s="58" t="s">
        <v>6</v>
      </c>
      <c r="G1" s="58" t="s">
        <v>3</v>
      </c>
      <c r="H1" s="58" t="s">
        <v>2</v>
      </c>
      <c r="I1" s="1" t="s">
        <v>7</v>
      </c>
    </row>
    <row r="2" spans="1:30" ht="20.25" thickBot="1" x14ac:dyDescent="0.3">
      <c r="A2" s="4">
        <v>1</v>
      </c>
      <c r="B2" s="118" t="s">
        <v>160</v>
      </c>
      <c r="C2" s="59" t="s">
        <v>162</v>
      </c>
      <c r="D2" s="54">
        <v>3</v>
      </c>
      <c r="E2" s="48">
        <v>134</v>
      </c>
      <c r="F2" s="60">
        <v>0.62</v>
      </c>
      <c r="G2" s="59">
        <v>49</v>
      </c>
      <c r="H2" s="61">
        <v>7.5</v>
      </c>
      <c r="I2" s="48">
        <v>20</v>
      </c>
    </row>
    <row r="3" spans="1:30" ht="20.25" thickBot="1" x14ac:dyDescent="0.3">
      <c r="A3" s="5">
        <v>2</v>
      </c>
      <c r="B3" s="118" t="s">
        <v>160</v>
      </c>
      <c r="C3" s="62" t="s">
        <v>163</v>
      </c>
      <c r="D3" s="3">
        <v>3</v>
      </c>
      <c r="E3" s="3">
        <v>240</v>
      </c>
      <c r="F3" s="61">
        <v>0.45</v>
      </c>
      <c r="G3" s="62">
        <v>32</v>
      </c>
      <c r="H3" s="61">
        <v>19</v>
      </c>
      <c r="I3" s="48">
        <v>26</v>
      </c>
      <c r="AD3" s="74"/>
    </row>
    <row r="4" spans="1:30" x14ac:dyDescent="0.25">
      <c r="A4" s="5">
        <v>3</v>
      </c>
      <c r="B4" s="118" t="s">
        <v>160</v>
      </c>
      <c r="C4" s="62" t="s">
        <v>163</v>
      </c>
      <c r="D4" s="3">
        <v>2</v>
      </c>
      <c r="E4" s="3">
        <v>240</v>
      </c>
      <c r="F4" s="61">
        <v>0.9</v>
      </c>
      <c r="G4" s="62">
        <v>45</v>
      </c>
      <c r="H4" s="61">
        <v>19</v>
      </c>
      <c r="I4" s="48">
        <v>26</v>
      </c>
      <c r="W4" s="74"/>
      <c r="AD4" s="74"/>
    </row>
    <row r="5" spans="1:30" x14ac:dyDescent="0.25">
      <c r="A5" s="5">
        <v>4</v>
      </c>
      <c r="B5" s="3" t="s">
        <v>161</v>
      </c>
      <c r="C5" s="62" t="s">
        <v>164</v>
      </c>
      <c r="D5" s="3">
        <v>5</v>
      </c>
      <c r="E5" s="3">
        <v>360</v>
      </c>
      <c r="F5" s="61">
        <v>0.79</v>
      </c>
      <c r="G5" s="62">
        <v>54</v>
      </c>
      <c r="H5" s="62">
        <v>25</v>
      </c>
      <c r="I5" s="3">
        <v>19</v>
      </c>
      <c r="AD5" s="74"/>
    </row>
    <row r="6" spans="1:30" x14ac:dyDescent="0.25">
      <c r="A6" s="5">
        <v>5</v>
      </c>
      <c r="B6" s="3" t="s">
        <v>161</v>
      </c>
      <c r="C6" s="62" t="s">
        <v>164</v>
      </c>
      <c r="D6" s="3">
        <v>4</v>
      </c>
      <c r="E6" s="3">
        <v>360</v>
      </c>
      <c r="F6" s="61">
        <v>0.52</v>
      </c>
      <c r="G6" s="62">
        <v>30</v>
      </c>
      <c r="H6" s="62">
        <v>25</v>
      </c>
      <c r="I6" s="3">
        <v>19</v>
      </c>
      <c r="AD6" s="74"/>
    </row>
    <row r="7" spans="1:30" x14ac:dyDescent="0.25">
      <c r="A7" s="5">
        <v>6</v>
      </c>
      <c r="B7" s="3" t="s">
        <v>161</v>
      </c>
      <c r="C7" s="62" t="s">
        <v>164</v>
      </c>
      <c r="D7" s="3">
        <v>2</v>
      </c>
      <c r="E7" s="3">
        <v>360</v>
      </c>
      <c r="F7" s="61">
        <v>0.4</v>
      </c>
      <c r="G7" s="61">
        <v>48</v>
      </c>
      <c r="H7" s="62">
        <v>25</v>
      </c>
      <c r="I7" s="3">
        <v>19</v>
      </c>
      <c r="AD7" s="74"/>
    </row>
    <row r="8" spans="1:30" x14ac:dyDescent="0.25">
      <c r="A8" s="46"/>
      <c r="AD8" s="74"/>
    </row>
    <row r="9" spans="1:30" x14ac:dyDescent="0.25">
      <c r="A9" s="227" t="s">
        <v>165</v>
      </c>
      <c r="B9" s="227"/>
      <c r="C9" s="86"/>
      <c r="D9" s="227"/>
      <c r="E9" s="227"/>
      <c r="F9" s="74">
        <f>I2*D2</f>
        <v>60</v>
      </c>
      <c r="G9" s="74">
        <f>G2*D2</f>
        <v>147</v>
      </c>
      <c r="AD9" s="74"/>
    </row>
    <row r="10" spans="1:30" x14ac:dyDescent="0.25">
      <c r="A10" s="86" t="s">
        <v>166</v>
      </c>
      <c r="B10" s="86"/>
      <c r="C10" s="86"/>
      <c r="F10" s="74">
        <f>I3*D3</f>
        <v>78</v>
      </c>
      <c r="G10" s="74">
        <f>G3*D3</f>
        <v>96</v>
      </c>
    </row>
    <row r="11" spans="1:30" x14ac:dyDescent="0.25">
      <c r="A11" s="86" t="s">
        <v>167</v>
      </c>
      <c r="B11" s="86">
        <v>3.15</v>
      </c>
      <c r="C11" s="86"/>
      <c r="F11" s="74">
        <f>I4*D4</f>
        <v>52</v>
      </c>
      <c r="G11" s="74">
        <f>G4*D4</f>
        <v>90</v>
      </c>
    </row>
    <row r="12" spans="1:30" x14ac:dyDescent="0.25">
      <c r="A12" s="86" t="s">
        <v>168</v>
      </c>
      <c r="B12" s="86">
        <v>2.98</v>
      </c>
      <c r="C12" s="86"/>
      <c r="F12" s="74">
        <f>I5*D5</f>
        <v>95</v>
      </c>
      <c r="G12" s="74">
        <f>G5*D5</f>
        <v>270</v>
      </c>
    </row>
    <row r="13" spans="1:30" x14ac:dyDescent="0.25">
      <c r="A13" s="86" t="s">
        <v>191</v>
      </c>
      <c r="B13" s="86">
        <v>50</v>
      </c>
      <c r="C13" s="86"/>
      <c r="F13" s="74">
        <f>I6*D6</f>
        <v>76</v>
      </c>
      <c r="G13" s="74">
        <f>G6*D6</f>
        <v>120</v>
      </c>
    </row>
    <row r="14" spans="1:30" x14ac:dyDescent="0.25">
      <c r="A14" s="86" t="s">
        <v>8</v>
      </c>
      <c r="B14" s="86"/>
      <c r="C14" s="86"/>
      <c r="F14" s="74">
        <f>I7*D7</f>
        <v>38</v>
      </c>
      <c r="G14" s="74">
        <f>G7*D7</f>
        <v>96</v>
      </c>
    </row>
    <row r="15" spans="1:30" x14ac:dyDescent="0.25">
      <c r="A15" s="76" t="s">
        <v>190</v>
      </c>
      <c r="B15" s="113">
        <v>112</v>
      </c>
      <c r="F15" s="74">
        <f>SUM(F9:F14)</f>
        <v>399</v>
      </c>
      <c r="G15" s="74">
        <f>SUM(G9:G14)</f>
        <v>819</v>
      </c>
    </row>
    <row r="16" spans="1:30" x14ac:dyDescent="0.25">
      <c r="A16" s="144" t="s">
        <v>58</v>
      </c>
      <c r="B16" s="144"/>
    </row>
    <row r="17" spans="1:1" x14ac:dyDescent="0.25">
      <c r="A17" s="46"/>
    </row>
    <row r="18" spans="1:1" x14ac:dyDescent="0.25">
      <c r="A18" s="46"/>
    </row>
    <row r="19" spans="1:1" x14ac:dyDescent="0.25">
      <c r="A19" s="46"/>
    </row>
    <row r="20" spans="1:1" x14ac:dyDescent="0.25">
      <c r="A20" s="46"/>
    </row>
    <row r="21" spans="1:1" x14ac:dyDescent="0.25">
      <c r="A21" s="46"/>
    </row>
    <row r="22" spans="1:1" x14ac:dyDescent="0.25">
      <c r="A22" s="46"/>
    </row>
    <row r="23" spans="1:1" x14ac:dyDescent="0.25">
      <c r="A23" s="46"/>
    </row>
    <row r="24" spans="1:1" x14ac:dyDescent="0.25">
      <c r="A24" s="46"/>
    </row>
    <row r="25" spans="1:1" x14ac:dyDescent="0.25">
      <c r="A25" s="46"/>
    </row>
    <row r="26" spans="1:1" x14ac:dyDescent="0.25">
      <c r="A26" s="46"/>
    </row>
    <row r="27" spans="1:1" x14ac:dyDescent="0.25">
      <c r="A27" s="46"/>
    </row>
    <row r="28" spans="1:1" x14ac:dyDescent="0.25">
      <c r="A28" s="46" t="str">
        <f>"Затраты на материалы = Затраты на материалы * Цена единицы НДС = "&amp;'666'!C342&amp;" * "</f>
        <v xml:space="preserve">Затраты на материалы = Затраты на материалы * Цена единицы НДС = 354,88 * </v>
      </c>
    </row>
    <row r="29" spans="1:1" x14ac:dyDescent="0.25">
      <c r="A29" s="46"/>
    </row>
    <row r="30" spans="1:1" x14ac:dyDescent="0.25">
      <c r="A30" s="46"/>
    </row>
    <row r="31" spans="1:1" x14ac:dyDescent="0.25">
      <c r="A31" s="46"/>
    </row>
    <row r="32" spans="1:1" x14ac:dyDescent="0.25">
      <c r="A32" s="46"/>
    </row>
    <row r="33" spans="1:6" x14ac:dyDescent="0.25">
      <c r="A33" s="46"/>
    </row>
    <row r="34" spans="1:6" x14ac:dyDescent="0.25">
      <c r="A34" s="227" t="s">
        <v>59</v>
      </c>
      <c r="B34" s="227"/>
      <c r="D34" s="52" t="s">
        <v>63</v>
      </c>
    </row>
    <row r="35" spans="1:6" x14ac:dyDescent="0.4">
      <c r="A35" s="227" t="s">
        <v>10</v>
      </c>
      <c r="B35" s="227"/>
      <c r="C35" s="46">
        <f>ROUND(SUM(D2:D7),2)</f>
        <v>19</v>
      </c>
      <c r="D35" s="248" t="s">
        <v>12</v>
      </c>
      <c r="E35" s="248"/>
      <c r="F35" s="6">
        <v>2</v>
      </c>
    </row>
    <row r="36" spans="1:6" x14ac:dyDescent="0.4">
      <c r="A36" s="227" t="s">
        <v>64</v>
      </c>
      <c r="B36" s="227"/>
      <c r="C36" s="46">
        <f>ROUND((1+F39)*F35*C35,0)</f>
        <v>42</v>
      </c>
      <c r="D36" s="248" t="s">
        <v>11</v>
      </c>
      <c r="E36" s="248"/>
      <c r="F36" s="21">
        <f>IF(F37&gt;100000,7%,5%)</f>
        <v>7.0000000000000007E-2</v>
      </c>
    </row>
    <row r="37" spans="1:6" x14ac:dyDescent="0.4">
      <c r="A37" s="227" t="s">
        <v>65</v>
      </c>
      <c r="B37" s="227"/>
      <c r="C37" s="46">
        <f>ROUND(C36*F36,2)</f>
        <v>2.94</v>
      </c>
      <c r="D37" s="248" t="s">
        <v>26</v>
      </c>
      <c r="E37" s="248"/>
      <c r="F37" s="22">
        <v>275000</v>
      </c>
    </row>
    <row r="38" spans="1:6" x14ac:dyDescent="0.4">
      <c r="A38" s="227" t="s">
        <v>66</v>
      </c>
      <c r="B38" s="227"/>
      <c r="C38" s="46">
        <f>ROUND(C36/33,2)</f>
        <v>1.27</v>
      </c>
      <c r="D38" s="248" t="s">
        <v>90</v>
      </c>
      <c r="E38" s="248"/>
      <c r="F38" s="23">
        <f>IF(F37&gt;100000,102.61,124.36)</f>
        <v>102.61</v>
      </c>
    </row>
    <row r="39" spans="1:6" x14ac:dyDescent="0.4">
      <c r="A39" s="227" t="s">
        <v>67</v>
      </c>
      <c r="B39" s="227"/>
      <c r="C39" s="46">
        <f>ROUND(10%*C35*F35,2)</f>
        <v>3.8</v>
      </c>
      <c r="D39" s="248" t="s">
        <v>28</v>
      </c>
      <c r="E39" s="248"/>
      <c r="F39" s="6">
        <v>0.11</v>
      </c>
    </row>
    <row r="40" spans="1:6" x14ac:dyDescent="0.4">
      <c r="A40" s="227" t="s">
        <v>68</v>
      </c>
      <c r="B40" s="227"/>
      <c r="C40" s="46">
        <f>ROUND(($C$35*$F$35)/100,2)</f>
        <v>0.38</v>
      </c>
      <c r="D40" s="248" t="s">
        <v>89</v>
      </c>
      <c r="E40" s="248"/>
      <c r="F40" s="6">
        <v>1.1499999999999999</v>
      </c>
    </row>
    <row r="41" spans="1:6" x14ac:dyDescent="0.25">
      <c r="A41" s="227" t="s">
        <v>69</v>
      </c>
      <c r="B41" s="227"/>
      <c r="C41" s="46">
        <f>ROUND(($C$35*$F$35)/25,2)</f>
        <v>1.52</v>
      </c>
    </row>
    <row r="42" spans="1:6" x14ac:dyDescent="0.25">
      <c r="A42" s="227" t="s">
        <v>70</v>
      </c>
      <c r="B42" s="227"/>
      <c r="C42" s="46">
        <f>ROUND(2%*C36,2)</f>
        <v>0.84</v>
      </c>
    </row>
    <row r="43" spans="1:6" x14ac:dyDescent="0.25">
      <c r="A43" s="227" t="s">
        <v>13</v>
      </c>
      <c r="B43" s="227"/>
      <c r="C43" s="46">
        <f>ROUND(C39,2)</f>
        <v>3.8</v>
      </c>
    </row>
    <row r="44" spans="1:6" x14ac:dyDescent="0.25">
      <c r="A44" s="227" t="s">
        <v>14</v>
      </c>
      <c r="B44" s="227"/>
      <c r="C44" s="46">
        <f>ROUND(SUM(C37:C43),2)</f>
        <v>14.55</v>
      </c>
    </row>
    <row r="45" spans="1:6" x14ac:dyDescent="0.25">
      <c r="A45" s="227" t="s">
        <v>71</v>
      </c>
      <c r="B45" s="227"/>
      <c r="C45" s="46">
        <f>ROUND(C36/20,2)</f>
        <v>2.1</v>
      </c>
    </row>
    <row r="46" spans="1:6" ht="20.25" thickBot="1" x14ac:dyDescent="0.3">
      <c r="A46" s="249" t="s">
        <v>60</v>
      </c>
      <c r="B46" s="249"/>
    </row>
    <row r="47" spans="1:6" ht="20.25" thickBot="1" x14ac:dyDescent="0.3">
      <c r="A47" s="250" t="s">
        <v>16</v>
      </c>
      <c r="B47" s="251"/>
      <c r="C47" s="251"/>
      <c r="D47" s="251"/>
      <c r="E47" s="252"/>
    </row>
    <row r="48" spans="1:6" ht="20.25" thickBot="1" x14ac:dyDescent="0.3">
      <c r="A48" s="253" t="s">
        <v>17</v>
      </c>
      <c r="B48" s="255" t="s">
        <v>15</v>
      </c>
      <c r="C48" s="253" t="s">
        <v>18</v>
      </c>
      <c r="D48" s="247" t="s">
        <v>19</v>
      </c>
      <c r="E48" s="246"/>
    </row>
    <row r="49" spans="1:5" ht="20.25" thickBot="1" x14ac:dyDescent="0.3">
      <c r="A49" s="254"/>
      <c r="B49" s="256"/>
      <c r="C49" s="254"/>
      <c r="D49" s="53" t="s">
        <v>20</v>
      </c>
      <c r="E49" s="1" t="s">
        <v>21</v>
      </c>
    </row>
    <row r="50" spans="1:5" ht="20.25" thickBot="1" x14ac:dyDescent="0.3">
      <c r="A50" s="48" t="s">
        <v>22</v>
      </c>
      <c r="B50" s="120">
        <f>C36</f>
        <v>42</v>
      </c>
      <c r="C50" s="9">
        <f>ROUND(((B50/B$53)*100),2)</f>
        <v>71.61</v>
      </c>
      <c r="D50" s="55">
        <f>($B50/2)</f>
        <v>21</v>
      </c>
      <c r="E50" s="50">
        <f>($B50/2)</f>
        <v>21</v>
      </c>
    </row>
    <row r="51" spans="1:5" ht="20.25" thickBot="1" x14ac:dyDescent="0.3">
      <c r="A51" s="3" t="s">
        <v>23</v>
      </c>
      <c r="B51" s="11">
        <f>C44</f>
        <v>14.55</v>
      </c>
      <c r="C51" s="9">
        <f t="shared" ref="C51:C52" si="0">ROUND(((B51/B$53)*100),2)</f>
        <v>24.81</v>
      </c>
      <c r="D51" s="56">
        <f>ROUND(($B51/2),3)</f>
        <v>7.2750000000000004</v>
      </c>
      <c r="E51" s="51">
        <f>ROUND(($B51/2),3)</f>
        <v>7.2750000000000004</v>
      </c>
    </row>
    <row r="52" spans="1:5" ht="20.25" thickBot="1" x14ac:dyDescent="0.3">
      <c r="A52" s="10" t="s">
        <v>24</v>
      </c>
      <c r="B52" s="11">
        <f>C45</f>
        <v>2.1</v>
      </c>
      <c r="C52" s="9">
        <f t="shared" si="0"/>
        <v>3.58</v>
      </c>
      <c r="D52" s="56">
        <f>ROUND(($B52/2),2)</f>
        <v>1.05</v>
      </c>
      <c r="E52" s="51">
        <f>ROUND(($B52/2),2)</f>
        <v>1.05</v>
      </c>
    </row>
    <row r="53" spans="1:5" ht="20.25" thickBot="1" x14ac:dyDescent="0.3">
      <c r="A53" s="1" t="s">
        <v>25</v>
      </c>
      <c r="B53" s="114">
        <f>SUM(B50:B52)</f>
        <v>58.65</v>
      </c>
      <c r="C53" s="1">
        <f>SUM(C50:C52)</f>
        <v>100</v>
      </c>
      <c r="D53" s="53">
        <f>SUM(D50:D52)</f>
        <v>29.324999999999999</v>
      </c>
      <c r="E53" s="47">
        <f>SUM(E50:E52)</f>
        <v>29.324999999999999</v>
      </c>
    </row>
    <row r="54" spans="1:5" x14ac:dyDescent="0.25">
      <c r="A54" s="46"/>
    </row>
    <row r="55" spans="1:5" ht="20.25" thickBot="1" x14ac:dyDescent="0.3">
      <c r="A55" s="46" t="s">
        <v>61</v>
      </c>
    </row>
    <row r="56" spans="1:5" ht="20.25" thickBot="1" x14ac:dyDescent="0.3">
      <c r="A56" s="58" t="s">
        <v>50</v>
      </c>
      <c r="B56" s="115" t="s">
        <v>51</v>
      </c>
      <c r="C56" s="63" t="s">
        <v>27</v>
      </c>
    </row>
    <row r="57" spans="1:5" x14ac:dyDescent="0.25">
      <c r="A57" s="2" t="s">
        <v>41</v>
      </c>
      <c r="B57" s="79">
        <v>3</v>
      </c>
      <c r="C57" s="64">
        <v>88.51</v>
      </c>
    </row>
    <row r="58" spans="1:5" x14ac:dyDescent="0.25">
      <c r="A58" s="3" t="s">
        <v>42</v>
      </c>
      <c r="B58" s="117">
        <v>2</v>
      </c>
      <c r="C58" s="65">
        <v>80.400000000000006</v>
      </c>
    </row>
    <row r="59" spans="1:5" x14ac:dyDescent="0.25">
      <c r="A59" s="3" t="s">
        <v>43</v>
      </c>
      <c r="B59" s="117">
        <v>5</v>
      </c>
      <c r="C59" s="65">
        <v>113.59</v>
      </c>
    </row>
    <row r="60" spans="1:5" x14ac:dyDescent="0.25">
      <c r="A60" s="3" t="s">
        <v>44</v>
      </c>
      <c r="B60" s="117">
        <v>4</v>
      </c>
      <c r="C60" s="65">
        <v>99.58</v>
      </c>
    </row>
    <row r="61" spans="1:5" x14ac:dyDescent="0.25">
      <c r="A61" s="3" t="s">
        <v>45</v>
      </c>
      <c r="B61" s="117">
        <v>4</v>
      </c>
      <c r="C61" s="65">
        <v>99.58</v>
      </c>
    </row>
    <row r="62" spans="1:5" x14ac:dyDescent="0.25">
      <c r="A62" s="3" t="s">
        <v>46</v>
      </c>
      <c r="B62" s="117">
        <v>1</v>
      </c>
      <c r="C62" s="65">
        <v>73.760000000000005</v>
      </c>
    </row>
    <row r="63" spans="1:5" ht="20.25" thickBot="1" x14ac:dyDescent="0.3">
      <c r="A63" s="49" t="s">
        <v>47</v>
      </c>
      <c r="B63" s="80">
        <v>6</v>
      </c>
      <c r="C63" s="66">
        <v>132.77000000000001</v>
      </c>
    </row>
    <row r="64" spans="1:5" x14ac:dyDescent="0.25">
      <c r="A64" s="46"/>
    </row>
    <row r="65" spans="1:2" x14ac:dyDescent="0.25">
      <c r="A65" s="227" t="s">
        <v>62</v>
      </c>
      <c r="B65" s="227"/>
    </row>
    <row r="66" spans="1:2" x14ac:dyDescent="0.25">
      <c r="A66" s="46"/>
    </row>
    <row r="67" spans="1:2" x14ac:dyDescent="0.25">
      <c r="A67" s="46"/>
    </row>
    <row r="68" spans="1:2" x14ac:dyDescent="0.25">
      <c r="A68" s="46"/>
    </row>
    <row r="69" spans="1:2" x14ac:dyDescent="0.25">
      <c r="A69" s="46"/>
    </row>
    <row r="70" spans="1:2" x14ac:dyDescent="0.25">
      <c r="A70" s="46"/>
    </row>
    <row r="71" spans="1:2" x14ac:dyDescent="0.25">
      <c r="A71" s="46"/>
    </row>
    <row r="72" spans="1:2" x14ac:dyDescent="0.25">
      <c r="A72" s="46"/>
    </row>
    <row r="73" spans="1:2" x14ac:dyDescent="0.25">
      <c r="A73" s="46"/>
    </row>
    <row r="74" spans="1:2" x14ac:dyDescent="0.25">
      <c r="A74" s="46"/>
    </row>
    <row r="75" spans="1:2" x14ac:dyDescent="0.25">
      <c r="A75" s="46"/>
    </row>
    <row r="76" spans="1:2" x14ac:dyDescent="0.25">
      <c r="A76" s="46"/>
    </row>
    <row r="77" spans="1:2" x14ac:dyDescent="0.25">
      <c r="A77" s="46"/>
    </row>
    <row r="78" spans="1:2" x14ac:dyDescent="0.25">
      <c r="A78" s="46"/>
    </row>
    <row r="79" spans="1:2" x14ac:dyDescent="0.25">
      <c r="A79" s="46"/>
    </row>
    <row r="80" spans="1:2" x14ac:dyDescent="0.25">
      <c r="A80" s="46"/>
    </row>
    <row r="81" spans="1:4" x14ac:dyDescent="0.25">
      <c r="A81" s="46"/>
    </row>
    <row r="82" spans="1:4" x14ac:dyDescent="0.25">
      <c r="A82" s="46"/>
    </row>
    <row r="83" spans="1:4" x14ac:dyDescent="0.25">
      <c r="A83" s="46"/>
    </row>
    <row r="84" spans="1:4" x14ac:dyDescent="0.25">
      <c r="A84" s="46"/>
    </row>
    <row r="85" spans="1:4" x14ac:dyDescent="0.25">
      <c r="A85" s="46"/>
    </row>
    <row r="86" spans="1:4" x14ac:dyDescent="0.25">
      <c r="A86" s="46"/>
    </row>
    <row r="87" spans="1:4" x14ac:dyDescent="0.25">
      <c r="A87" s="46"/>
    </row>
    <row r="88" spans="1:4" x14ac:dyDescent="0.25">
      <c r="A88" s="46"/>
    </row>
    <row r="89" spans="1:4" x14ac:dyDescent="0.25">
      <c r="A89" s="46"/>
    </row>
    <row r="90" spans="1:4" x14ac:dyDescent="0.25">
      <c r="A90" s="227" t="s">
        <v>72</v>
      </c>
      <c r="B90" s="227"/>
    </row>
    <row r="91" spans="1:4" x14ac:dyDescent="0.4">
      <c r="A91" s="248" t="s">
        <v>73</v>
      </c>
      <c r="B91" s="248"/>
      <c r="C91" s="248"/>
      <c r="D91" s="52">
        <f>ROUND(F$37/B53,0)</f>
        <v>4689</v>
      </c>
    </row>
    <row r="92" spans="1:4" x14ac:dyDescent="0.4">
      <c r="A92" s="248" t="s">
        <v>74</v>
      </c>
      <c r="B92" s="248"/>
      <c r="C92" s="248"/>
      <c r="D92" s="52">
        <f>ROUND(F$37/C36,0)</f>
        <v>6548</v>
      </c>
    </row>
    <row r="93" spans="1:4" x14ac:dyDescent="0.4">
      <c r="A93" s="248" t="s">
        <v>76</v>
      </c>
      <c r="B93" s="248"/>
      <c r="C93" s="248"/>
      <c r="D93" s="52">
        <f>ROUND(D91/12,0)</f>
        <v>391</v>
      </c>
    </row>
    <row r="94" spans="1:4" x14ac:dyDescent="0.4">
      <c r="A94" s="248" t="s">
        <v>75</v>
      </c>
      <c r="B94" s="248"/>
      <c r="C94" s="248"/>
      <c r="D94" s="52">
        <f>ROUND(D92/12,0)</f>
        <v>546</v>
      </c>
    </row>
    <row r="95" spans="1:4" x14ac:dyDescent="0.4">
      <c r="A95" s="248" t="s">
        <v>77</v>
      </c>
      <c r="B95" s="248"/>
      <c r="C95" s="248"/>
      <c r="D95" s="52">
        <f t="shared" ref="D95:D100" si="1">ROUND((F2*F$38)/60,2)</f>
        <v>1.06</v>
      </c>
    </row>
    <row r="96" spans="1:4" x14ac:dyDescent="0.4">
      <c r="A96" s="248" t="s">
        <v>78</v>
      </c>
      <c r="B96" s="248"/>
      <c r="C96" s="248"/>
      <c r="D96" s="52">
        <f t="shared" si="1"/>
        <v>0.77</v>
      </c>
    </row>
    <row r="97" spans="1:4" x14ac:dyDescent="0.4">
      <c r="A97" s="248" t="s">
        <v>79</v>
      </c>
      <c r="B97" s="248"/>
      <c r="C97" s="248"/>
      <c r="D97" s="52">
        <f t="shared" si="1"/>
        <v>1.54</v>
      </c>
    </row>
    <row r="98" spans="1:4" x14ac:dyDescent="0.4">
      <c r="A98" s="248" t="s">
        <v>80</v>
      </c>
      <c r="B98" s="248"/>
      <c r="C98" s="248"/>
      <c r="D98" s="52">
        <f t="shared" si="1"/>
        <v>1.35</v>
      </c>
    </row>
    <row r="99" spans="1:4" x14ac:dyDescent="0.4">
      <c r="A99" s="248" t="s">
        <v>81</v>
      </c>
      <c r="B99" s="248"/>
      <c r="C99" s="248"/>
      <c r="D99" s="52">
        <f t="shared" si="1"/>
        <v>0.89</v>
      </c>
    </row>
    <row r="100" spans="1:4" x14ac:dyDescent="0.4">
      <c r="A100" s="248" t="s">
        <v>82</v>
      </c>
      <c r="B100" s="248"/>
      <c r="C100" s="248"/>
      <c r="D100" s="52">
        <f t="shared" si="1"/>
        <v>0.68</v>
      </c>
    </row>
    <row r="101" spans="1:4" x14ac:dyDescent="0.4">
      <c r="A101" s="248" t="s">
        <v>153</v>
      </c>
      <c r="B101" s="248"/>
      <c r="C101" s="248"/>
      <c r="D101" s="52">
        <f t="shared" ref="D101:D106" si="2">ROUND(F$37*D95,2)</f>
        <v>291500</v>
      </c>
    </row>
    <row r="102" spans="1:4" x14ac:dyDescent="0.4">
      <c r="A102" s="248" t="s">
        <v>154</v>
      </c>
      <c r="B102" s="248"/>
      <c r="C102" s="248"/>
      <c r="D102" s="52">
        <f t="shared" si="2"/>
        <v>211750</v>
      </c>
    </row>
    <row r="103" spans="1:4" x14ac:dyDescent="0.4">
      <c r="A103" s="248" t="s">
        <v>155</v>
      </c>
      <c r="B103" s="248"/>
      <c r="C103" s="248"/>
      <c r="D103" s="52">
        <f t="shared" si="2"/>
        <v>423500</v>
      </c>
    </row>
    <row r="104" spans="1:4" x14ac:dyDescent="0.4">
      <c r="A104" s="248" t="s">
        <v>156</v>
      </c>
      <c r="B104" s="248"/>
      <c r="C104" s="248"/>
      <c r="D104" s="52">
        <f t="shared" si="2"/>
        <v>371250</v>
      </c>
    </row>
    <row r="105" spans="1:4" x14ac:dyDescent="0.4">
      <c r="A105" s="248" t="s">
        <v>157</v>
      </c>
      <c r="B105" s="248"/>
      <c r="C105" s="248"/>
      <c r="D105" s="52">
        <f t="shared" si="2"/>
        <v>244750</v>
      </c>
    </row>
    <row r="106" spans="1:4" x14ac:dyDescent="0.4">
      <c r="A106" s="248" t="s">
        <v>158</v>
      </c>
      <c r="B106" s="248"/>
      <c r="C106" s="248"/>
      <c r="D106" s="52">
        <f t="shared" si="2"/>
        <v>187000</v>
      </c>
    </row>
    <row r="107" spans="1:4" x14ac:dyDescent="0.4">
      <c r="A107" s="248" t="s">
        <v>83</v>
      </c>
      <c r="B107" s="248"/>
      <c r="C107" s="248"/>
      <c r="D107" s="52">
        <f t="shared" ref="D107:D112" si="3">ROUND(50%*D101,2)</f>
        <v>145750</v>
      </c>
    </row>
    <row r="108" spans="1:4" x14ac:dyDescent="0.4">
      <c r="A108" s="248" t="s">
        <v>84</v>
      </c>
      <c r="B108" s="248"/>
      <c r="C108" s="248"/>
      <c r="D108" s="52">
        <f t="shared" si="3"/>
        <v>105875</v>
      </c>
    </row>
    <row r="109" spans="1:4" x14ac:dyDescent="0.4">
      <c r="A109" s="248" t="s">
        <v>85</v>
      </c>
      <c r="B109" s="248"/>
      <c r="C109" s="248"/>
      <c r="D109" s="52">
        <f t="shared" si="3"/>
        <v>211750</v>
      </c>
    </row>
    <row r="110" spans="1:4" x14ac:dyDescent="0.4">
      <c r="A110" s="248" t="s">
        <v>86</v>
      </c>
      <c r="B110" s="248"/>
      <c r="C110" s="248"/>
      <c r="D110" s="52">
        <f t="shared" si="3"/>
        <v>185625</v>
      </c>
    </row>
    <row r="111" spans="1:4" x14ac:dyDescent="0.4">
      <c r="A111" s="248" t="s">
        <v>87</v>
      </c>
      <c r="B111" s="248"/>
      <c r="C111" s="248"/>
      <c r="D111" s="52">
        <f t="shared" si="3"/>
        <v>122375</v>
      </c>
    </row>
    <row r="112" spans="1:4" x14ac:dyDescent="0.4">
      <c r="A112" s="248" t="s">
        <v>88</v>
      </c>
      <c r="B112" s="248"/>
      <c r="C112" s="248"/>
      <c r="D112" s="52">
        <f t="shared" si="3"/>
        <v>93500</v>
      </c>
    </row>
    <row r="113" spans="1:4" x14ac:dyDescent="0.4">
      <c r="A113" s="248" t="s">
        <v>91</v>
      </c>
      <c r="B113" s="248"/>
      <c r="C113" s="248"/>
      <c r="D113" s="52">
        <f t="shared" ref="D113:D118" si="4">ROUND((D101+D107)*F$40,2)</f>
        <v>502837.5</v>
      </c>
    </row>
    <row r="114" spans="1:4" x14ac:dyDescent="0.4">
      <c r="A114" s="248" t="s">
        <v>92</v>
      </c>
      <c r="B114" s="248"/>
      <c r="C114" s="248"/>
      <c r="D114" s="52">
        <f t="shared" si="4"/>
        <v>365268.75</v>
      </c>
    </row>
    <row r="115" spans="1:4" x14ac:dyDescent="0.4">
      <c r="A115" s="248" t="s">
        <v>93</v>
      </c>
      <c r="B115" s="248"/>
      <c r="C115" s="248"/>
      <c r="D115" s="52">
        <f t="shared" si="4"/>
        <v>730537.5</v>
      </c>
    </row>
    <row r="116" spans="1:4" x14ac:dyDescent="0.4">
      <c r="A116" s="248" t="s">
        <v>94</v>
      </c>
      <c r="B116" s="248"/>
      <c r="C116" s="248"/>
      <c r="D116" s="52">
        <f t="shared" si="4"/>
        <v>640406.25</v>
      </c>
    </row>
    <row r="117" spans="1:4" x14ac:dyDescent="0.4">
      <c r="A117" s="248" t="s">
        <v>95</v>
      </c>
      <c r="B117" s="248"/>
      <c r="C117" s="248"/>
      <c r="D117" s="52">
        <f t="shared" si="4"/>
        <v>422193.75</v>
      </c>
    </row>
    <row r="118" spans="1:4" x14ac:dyDescent="0.4">
      <c r="A118" s="248" t="s">
        <v>96</v>
      </c>
      <c r="B118" s="248"/>
      <c r="C118" s="248"/>
      <c r="D118" s="52">
        <f t="shared" si="4"/>
        <v>322575</v>
      </c>
    </row>
    <row r="119" spans="1:4" x14ac:dyDescent="0.4">
      <c r="A119" s="248" t="s">
        <v>97</v>
      </c>
      <c r="B119" s="248"/>
      <c r="C119" s="248"/>
      <c r="D119" s="52">
        <f t="shared" ref="D119:D124" si="5">ROUND(20%*D113,2)</f>
        <v>100567.5</v>
      </c>
    </row>
    <row r="120" spans="1:4" x14ac:dyDescent="0.4">
      <c r="A120" s="248" t="s">
        <v>98</v>
      </c>
      <c r="B120" s="248"/>
      <c r="C120" s="248"/>
      <c r="D120" s="52">
        <f t="shared" si="5"/>
        <v>73053.75</v>
      </c>
    </row>
    <row r="121" spans="1:4" x14ac:dyDescent="0.4">
      <c r="A121" s="248" t="s">
        <v>99</v>
      </c>
      <c r="B121" s="248"/>
      <c r="C121" s="248"/>
      <c r="D121" s="52">
        <f t="shared" si="5"/>
        <v>146107.5</v>
      </c>
    </row>
    <row r="122" spans="1:4" x14ac:dyDescent="0.4">
      <c r="A122" s="248" t="s">
        <v>100</v>
      </c>
      <c r="B122" s="248"/>
      <c r="C122" s="248"/>
      <c r="D122" s="52">
        <f t="shared" si="5"/>
        <v>128081.25</v>
      </c>
    </row>
    <row r="123" spans="1:4" x14ac:dyDescent="0.4">
      <c r="A123" s="248" t="s">
        <v>101</v>
      </c>
      <c r="B123" s="248"/>
      <c r="C123" s="248"/>
      <c r="D123" s="52">
        <f t="shared" si="5"/>
        <v>84438.75</v>
      </c>
    </row>
    <row r="124" spans="1:4" x14ac:dyDescent="0.4">
      <c r="A124" s="248" t="s">
        <v>102</v>
      </c>
      <c r="B124" s="248"/>
      <c r="C124" s="248"/>
      <c r="D124" s="52">
        <f t="shared" si="5"/>
        <v>64515</v>
      </c>
    </row>
    <row r="125" spans="1:4" x14ac:dyDescent="0.4">
      <c r="A125" s="248" t="s">
        <v>103</v>
      </c>
      <c r="B125" s="248"/>
      <c r="C125" s="57">
        <f t="shared" ref="C125:C130" si="6" xml:space="preserve"> ROUND(D113+D119,2)</f>
        <v>603405</v>
      </c>
    </row>
    <row r="126" spans="1:4" x14ac:dyDescent="0.4">
      <c r="A126" s="248" t="s">
        <v>104</v>
      </c>
      <c r="B126" s="248"/>
      <c r="C126" s="57">
        <f t="shared" si="6"/>
        <v>438322.5</v>
      </c>
    </row>
    <row r="127" spans="1:4" x14ac:dyDescent="0.4">
      <c r="A127" s="248" t="s">
        <v>105</v>
      </c>
      <c r="B127" s="248"/>
      <c r="C127" s="57">
        <f t="shared" si="6"/>
        <v>876645</v>
      </c>
    </row>
    <row r="128" spans="1:4" x14ac:dyDescent="0.4">
      <c r="A128" s="248" t="s">
        <v>106</v>
      </c>
      <c r="B128" s="248"/>
      <c r="C128" s="57">
        <f t="shared" si="6"/>
        <v>768487.5</v>
      </c>
    </row>
    <row r="129" spans="1:6" x14ac:dyDescent="0.4">
      <c r="A129" s="248" t="s">
        <v>107</v>
      </c>
      <c r="B129" s="248"/>
      <c r="C129" s="57">
        <f t="shared" si="6"/>
        <v>506632.5</v>
      </c>
    </row>
    <row r="130" spans="1:6" x14ac:dyDescent="0.4">
      <c r="A130" s="248" t="s">
        <v>108</v>
      </c>
      <c r="B130" s="248"/>
      <c r="C130" s="57">
        <f t="shared" si="6"/>
        <v>387090</v>
      </c>
    </row>
    <row r="131" spans="1:6" x14ac:dyDescent="0.4">
      <c r="A131" s="248" t="s">
        <v>109</v>
      </c>
      <c r="B131" s="248"/>
      <c r="C131" s="248"/>
      <c r="D131" s="248"/>
      <c r="E131" s="248"/>
      <c r="F131" s="6">
        <f>ROUND((365-115)*8-6,2)</f>
        <v>1994</v>
      </c>
    </row>
    <row r="132" spans="1:6" x14ac:dyDescent="0.4">
      <c r="A132" s="248" t="s">
        <v>110</v>
      </c>
      <c r="B132" s="248"/>
      <c r="C132" s="248"/>
      <c r="D132" s="248"/>
      <c r="E132" s="248"/>
      <c r="F132" s="6">
        <f>ROUND(F131*(1-F39),0)</f>
        <v>1775</v>
      </c>
    </row>
    <row r="133" spans="1:6" x14ac:dyDescent="0.4">
      <c r="A133" s="248" t="s">
        <v>111</v>
      </c>
      <c r="B133" s="248"/>
      <c r="C133" s="248"/>
      <c r="D133" s="6">
        <f t="shared" ref="D133:D139" si="7">ROUND(F$132*C57*C37,2)</f>
        <v>461889.44</v>
      </c>
    </row>
    <row r="134" spans="1:6" x14ac:dyDescent="0.4">
      <c r="A134" s="248" t="s">
        <v>112</v>
      </c>
      <c r="B134" s="248"/>
      <c r="C134" s="248"/>
      <c r="D134" s="6">
        <f t="shared" si="7"/>
        <v>181241.7</v>
      </c>
    </row>
    <row r="135" spans="1:6" x14ac:dyDescent="0.4">
      <c r="A135" s="248" t="s">
        <v>113</v>
      </c>
      <c r="B135" s="248"/>
      <c r="C135" s="248"/>
      <c r="D135" s="6">
        <f t="shared" si="7"/>
        <v>766164.55</v>
      </c>
    </row>
    <row r="136" spans="1:6" x14ac:dyDescent="0.4">
      <c r="A136" s="248" t="s">
        <v>117</v>
      </c>
      <c r="B136" s="248"/>
      <c r="C136" s="248"/>
      <c r="D136" s="6">
        <f t="shared" si="7"/>
        <v>67166.710000000006</v>
      </c>
    </row>
    <row r="137" spans="1:6" x14ac:dyDescent="0.4">
      <c r="A137" s="248" t="s">
        <v>116</v>
      </c>
      <c r="B137" s="248"/>
      <c r="C137" s="248"/>
      <c r="D137" s="6">
        <f t="shared" si="7"/>
        <v>268666.84000000003</v>
      </c>
    </row>
    <row r="138" spans="1:6" x14ac:dyDescent="0.4">
      <c r="A138" s="248" t="s">
        <v>115</v>
      </c>
      <c r="B138" s="248"/>
      <c r="C138" s="248"/>
      <c r="D138" s="6">
        <f t="shared" si="7"/>
        <v>109976.16</v>
      </c>
    </row>
    <row r="139" spans="1:6" x14ac:dyDescent="0.4">
      <c r="A139" s="248" t="s">
        <v>114</v>
      </c>
      <c r="B139" s="248"/>
      <c r="C139" s="248"/>
      <c r="D139" s="6">
        <f t="shared" si="7"/>
        <v>895533.65</v>
      </c>
    </row>
    <row r="140" spans="1:6" x14ac:dyDescent="0.4">
      <c r="A140" s="248" t="s">
        <v>118</v>
      </c>
      <c r="B140" s="248"/>
      <c r="C140" s="248"/>
      <c r="D140" s="6">
        <f>ROUND(40%*D133,2)</f>
        <v>184755.78</v>
      </c>
    </row>
    <row r="141" spans="1:6" x14ac:dyDescent="0.4">
      <c r="A141" s="248" t="s">
        <v>120</v>
      </c>
      <c r="B141" s="248"/>
      <c r="C141" s="248"/>
      <c r="D141" s="6">
        <f t="shared" ref="D141:D146" si="8">ROUND(40%*D134,2)</f>
        <v>72496.679999999993</v>
      </c>
    </row>
    <row r="142" spans="1:6" x14ac:dyDescent="0.4">
      <c r="A142" s="248" t="s">
        <v>121</v>
      </c>
      <c r="B142" s="248"/>
      <c r="C142" s="248"/>
      <c r="D142" s="6">
        <f t="shared" si="8"/>
        <v>306465.82</v>
      </c>
    </row>
    <row r="143" spans="1:6" x14ac:dyDescent="0.4">
      <c r="A143" s="248" t="s">
        <v>122</v>
      </c>
      <c r="B143" s="248"/>
      <c r="C143" s="248"/>
      <c r="D143" s="6">
        <f t="shared" si="8"/>
        <v>26866.68</v>
      </c>
    </row>
    <row r="144" spans="1:6" x14ac:dyDescent="0.4">
      <c r="A144" s="248" t="s">
        <v>123</v>
      </c>
      <c r="B144" s="248"/>
      <c r="C144" s="248"/>
      <c r="D144" s="6">
        <f t="shared" si="8"/>
        <v>107466.74</v>
      </c>
    </row>
    <row r="145" spans="1:4" x14ac:dyDescent="0.4">
      <c r="A145" s="248" t="s">
        <v>124</v>
      </c>
      <c r="B145" s="248"/>
      <c r="C145" s="248"/>
      <c r="D145" s="6">
        <f t="shared" si="8"/>
        <v>43990.46</v>
      </c>
    </row>
    <row r="146" spans="1:4" x14ac:dyDescent="0.4">
      <c r="A146" s="248" t="s">
        <v>119</v>
      </c>
      <c r="B146" s="248"/>
      <c r="C146" s="248"/>
      <c r="D146" s="6">
        <f t="shared" si="8"/>
        <v>358213.46</v>
      </c>
    </row>
    <row r="147" spans="1:4" x14ac:dyDescent="0.4">
      <c r="A147" s="248" t="s">
        <v>125</v>
      </c>
      <c r="B147" s="248"/>
      <c r="C147" s="248"/>
      <c r="D147" s="6">
        <f>ROUND((D133+D140)*1.15,2)</f>
        <v>743642</v>
      </c>
    </row>
    <row r="148" spans="1:4" x14ac:dyDescent="0.4">
      <c r="A148" s="248" t="s">
        <v>127</v>
      </c>
      <c r="B148" s="248"/>
      <c r="C148" s="248"/>
      <c r="D148" s="6">
        <f t="shared" ref="D148:D153" si="9">ROUND((D134+D141)*1.15,2)</f>
        <v>291799.14</v>
      </c>
    </row>
    <row r="149" spans="1:4" x14ac:dyDescent="0.4">
      <c r="A149" s="248" t="s">
        <v>128</v>
      </c>
      <c r="B149" s="248"/>
      <c r="C149" s="248"/>
      <c r="D149" s="6">
        <f t="shared" si="9"/>
        <v>1233524.93</v>
      </c>
    </row>
    <row r="150" spans="1:4" x14ac:dyDescent="0.4">
      <c r="A150" s="248" t="s">
        <v>129</v>
      </c>
      <c r="B150" s="248"/>
      <c r="C150" s="248"/>
      <c r="D150" s="6">
        <f t="shared" si="9"/>
        <v>108138.4</v>
      </c>
    </row>
    <row r="151" spans="1:4" x14ac:dyDescent="0.4">
      <c r="A151" s="248" t="s">
        <v>130</v>
      </c>
      <c r="B151" s="248"/>
      <c r="C151" s="248"/>
      <c r="D151" s="6">
        <f t="shared" si="9"/>
        <v>432553.62</v>
      </c>
    </row>
    <row r="152" spans="1:4" x14ac:dyDescent="0.4">
      <c r="A152" s="248" t="s">
        <v>131</v>
      </c>
      <c r="B152" s="248"/>
      <c r="C152" s="248"/>
      <c r="D152" s="6">
        <f t="shared" si="9"/>
        <v>177061.61</v>
      </c>
    </row>
    <row r="153" spans="1:4" x14ac:dyDescent="0.4">
      <c r="A153" s="248" t="s">
        <v>126</v>
      </c>
      <c r="B153" s="248"/>
      <c r="C153" s="248"/>
      <c r="D153" s="6">
        <f t="shared" si="9"/>
        <v>1441809.18</v>
      </c>
    </row>
    <row r="154" spans="1:4" x14ac:dyDescent="0.4">
      <c r="A154" s="248" t="s">
        <v>132</v>
      </c>
      <c r="B154" s="248"/>
      <c r="C154" s="248"/>
      <c r="D154" s="6">
        <f>ROUND(D147*20%,2)</f>
        <v>148728.4</v>
      </c>
    </row>
    <row r="155" spans="1:4" x14ac:dyDescent="0.4">
      <c r="A155" s="248" t="s">
        <v>133</v>
      </c>
      <c r="B155" s="248"/>
      <c r="C155" s="248"/>
      <c r="D155" s="6">
        <f t="shared" ref="D155:D160" si="10">ROUND(D148*20%,2)</f>
        <v>58359.83</v>
      </c>
    </row>
    <row r="156" spans="1:4" x14ac:dyDescent="0.4">
      <c r="A156" s="248" t="s">
        <v>134</v>
      </c>
      <c r="B156" s="248"/>
      <c r="C156" s="248"/>
      <c r="D156" s="6">
        <f t="shared" si="10"/>
        <v>246704.99</v>
      </c>
    </row>
    <row r="157" spans="1:4" x14ac:dyDescent="0.4">
      <c r="A157" s="248" t="s">
        <v>135</v>
      </c>
      <c r="B157" s="248"/>
      <c r="C157" s="248"/>
      <c r="D157" s="6">
        <f t="shared" si="10"/>
        <v>21627.68</v>
      </c>
    </row>
    <row r="158" spans="1:4" x14ac:dyDescent="0.4">
      <c r="A158" s="248" t="s">
        <v>136</v>
      </c>
      <c r="B158" s="248"/>
      <c r="C158" s="248"/>
      <c r="D158" s="6">
        <f t="shared" si="10"/>
        <v>86510.720000000001</v>
      </c>
    </row>
    <row r="159" spans="1:4" x14ac:dyDescent="0.4">
      <c r="A159" s="248" t="s">
        <v>137</v>
      </c>
      <c r="B159" s="248"/>
      <c r="C159" s="248"/>
      <c r="D159" s="6">
        <f t="shared" si="10"/>
        <v>35412.32</v>
      </c>
    </row>
    <row r="160" spans="1:4" x14ac:dyDescent="0.4">
      <c r="A160" s="248" t="s">
        <v>138</v>
      </c>
      <c r="B160" s="248"/>
      <c r="C160" s="248"/>
      <c r="D160" s="6">
        <f t="shared" si="10"/>
        <v>288361.84000000003</v>
      </c>
    </row>
    <row r="161" spans="1:11" x14ac:dyDescent="0.4">
      <c r="A161" s="248" t="s">
        <v>139</v>
      </c>
      <c r="B161" s="248"/>
      <c r="C161" s="248"/>
      <c r="D161" s="6">
        <f>ROUND(D147+D154,2)</f>
        <v>892370.4</v>
      </c>
    </row>
    <row r="162" spans="1:11" x14ac:dyDescent="0.4">
      <c r="A162" s="248" t="s">
        <v>140</v>
      </c>
      <c r="B162" s="248"/>
      <c r="C162" s="248"/>
      <c r="D162" s="6">
        <f t="shared" ref="D162:D167" si="11">ROUND(D148+D155,2)</f>
        <v>350158.97</v>
      </c>
    </row>
    <row r="163" spans="1:11" x14ac:dyDescent="0.4">
      <c r="A163" s="248" t="s">
        <v>141</v>
      </c>
      <c r="B163" s="248"/>
      <c r="C163" s="248"/>
      <c r="D163" s="6">
        <f t="shared" si="11"/>
        <v>1480229.92</v>
      </c>
    </row>
    <row r="164" spans="1:11" x14ac:dyDescent="0.4">
      <c r="A164" s="248" t="s">
        <v>142</v>
      </c>
      <c r="B164" s="248"/>
      <c r="C164" s="248"/>
      <c r="D164" s="6">
        <f t="shared" si="11"/>
        <v>129766.08</v>
      </c>
    </row>
    <row r="165" spans="1:11" x14ac:dyDescent="0.4">
      <c r="A165" s="248" t="s">
        <v>143</v>
      </c>
      <c r="B165" s="248"/>
      <c r="C165" s="248"/>
      <c r="D165" s="6">
        <f t="shared" si="11"/>
        <v>519064.34</v>
      </c>
    </row>
    <row r="166" spans="1:11" x14ac:dyDescent="0.4">
      <c r="A166" s="248" t="s">
        <v>144</v>
      </c>
      <c r="B166" s="248"/>
      <c r="C166" s="248"/>
      <c r="D166" s="6">
        <f t="shared" si="11"/>
        <v>212473.93</v>
      </c>
    </row>
    <row r="167" spans="1:11" x14ac:dyDescent="0.4">
      <c r="A167" s="248" t="s">
        <v>145</v>
      </c>
      <c r="B167" s="248"/>
      <c r="C167" s="248"/>
      <c r="D167" s="6">
        <f t="shared" si="11"/>
        <v>1730171.02</v>
      </c>
    </row>
    <row r="168" spans="1:11" x14ac:dyDescent="0.4">
      <c r="A168" s="248" t="s">
        <v>146</v>
      </c>
      <c r="B168" s="248"/>
      <c r="C168" s="248"/>
      <c r="D168" s="57">
        <f>ROUND(E193*11*B193,2)</f>
        <v>924000</v>
      </c>
    </row>
    <row r="169" spans="1:11" x14ac:dyDescent="0.4">
      <c r="A169" s="248" t="s">
        <v>147</v>
      </c>
      <c r="B169" s="248"/>
      <c r="C169" s="248"/>
      <c r="D169" s="57">
        <f>ROUND(D168*60%,2)</f>
        <v>554400</v>
      </c>
    </row>
    <row r="170" spans="1:11" x14ac:dyDescent="0.4">
      <c r="A170" s="248" t="s">
        <v>148</v>
      </c>
      <c r="B170" s="248"/>
      <c r="C170" s="248"/>
      <c r="D170" s="57">
        <f>ROUND((D168+D169)*F40,2)</f>
        <v>1700160</v>
      </c>
    </row>
    <row r="171" spans="1:11" x14ac:dyDescent="0.4">
      <c r="A171" s="248" t="s">
        <v>149</v>
      </c>
      <c r="B171" s="248"/>
      <c r="C171" s="248"/>
      <c r="D171" s="57">
        <f>ROUND(D170*20%,2)</f>
        <v>340032</v>
      </c>
    </row>
    <row r="172" spans="1:11" x14ac:dyDescent="0.4">
      <c r="A172" s="248" t="s">
        <v>150</v>
      </c>
      <c r="B172" s="248"/>
      <c r="C172" s="248"/>
      <c r="D172" s="57">
        <f>ROUND(D170+D171,2)</f>
        <v>2040192</v>
      </c>
    </row>
    <row r="173" spans="1:11" x14ac:dyDescent="0.25">
      <c r="A173" s="46"/>
    </row>
    <row r="174" spans="1:11" ht="20.25" thickBot="1" x14ac:dyDescent="0.3">
      <c r="A174" s="46" t="s">
        <v>152</v>
      </c>
    </row>
    <row r="175" spans="1:11" ht="39.75" thickBot="1" x14ac:dyDescent="0.3">
      <c r="A175" s="9" t="s">
        <v>29</v>
      </c>
      <c r="B175" s="9" t="s">
        <v>30</v>
      </c>
      <c r="C175" s="9" t="s">
        <v>31</v>
      </c>
      <c r="D175" s="24" t="s">
        <v>32</v>
      </c>
      <c r="E175" s="9" t="s">
        <v>27</v>
      </c>
      <c r="F175" s="9" t="s">
        <v>33</v>
      </c>
      <c r="G175" s="9" t="s">
        <v>34</v>
      </c>
      <c r="H175" s="9" t="s">
        <v>35</v>
      </c>
      <c r="I175" s="9" t="s">
        <v>36</v>
      </c>
      <c r="J175" s="9" t="s">
        <v>37</v>
      </c>
      <c r="K175" s="9" t="s">
        <v>38</v>
      </c>
    </row>
    <row r="176" spans="1:11" ht="20.25" thickBot="1" x14ac:dyDescent="0.3">
      <c r="A176" s="237" t="s">
        <v>39</v>
      </c>
      <c r="B176" s="238"/>
      <c r="C176" s="238"/>
      <c r="D176" s="238"/>
      <c r="E176" s="238"/>
      <c r="F176" s="238"/>
      <c r="G176" s="238"/>
      <c r="H176" s="238"/>
      <c r="I176" s="238"/>
      <c r="J176" s="238"/>
      <c r="K176" s="246"/>
    </row>
    <row r="177" spans="1:11" ht="20.25" thickBot="1" x14ac:dyDescent="0.3">
      <c r="A177" s="16">
        <v>1</v>
      </c>
      <c r="B177" s="116">
        <f t="shared" ref="B177:B182" si="12">D2</f>
        <v>3</v>
      </c>
      <c r="C177" s="8">
        <v>3</v>
      </c>
      <c r="D177" s="41">
        <f t="shared" ref="D177:D182" si="13">F2</f>
        <v>0.62</v>
      </c>
      <c r="E177" s="41">
        <f t="shared" ref="E177:E182" si="14">F$38</f>
        <v>102.61</v>
      </c>
      <c r="F177" s="42">
        <f t="shared" ref="F177:F182" si="15">D95</f>
        <v>1.06</v>
      </c>
      <c r="G177" s="27">
        <f t="shared" ref="G177:G182" si="16">ROUND($D101*$B177,2)</f>
        <v>874500</v>
      </c>
      <c r="H177" s="27">
        <f t="shared" ref="H177:H182" si="17">ROUND($D107*$B177,2)</f>
        <v>437250</v>
      </c>
      <c r="I177" s="27">
        <f t="shared" ref="I177:I182" si="18">ROUND($D113*$B177,2)</f>
        <v>1508512.5</v>
      </c>
      <c r="J177" s="27">
        <f t="shared" ref="J177:J182" si="19">ROUND($D119*$B177,2)</f>
        <v>301702.5</v>
      </c>
      <c r="K177" s="27">
        <f>ROUND(C125*$B177,2)</f>
        <v>1810215</v>
      </c>
    </row>
    <row r="178" spans="1:11" ht="20.25" thickBot="1" x14ac:dyDescent="0.3">
      <c r="A178" s="3">
        <v>2</v>
      </c>
      <c r="B178" s="116">
        <f t="shared" si="12"/>
        <v>3</v>
      </c>
      <c r="C178" s="7">
        <v>3</v>
      </c>
      <c r="D178" s="41">
        <f t="shared" si="13"/>
        <v>0.45</v>
      </c>
      <c r="E178" s="41">
        <f t="shared" si="14"/>
        <v>102.61</v>
      </c>
      <c r="F178" s="42">
        <f t="shared" si="15"/>
        <v>0.77</v>
      </c>
      <c r="G178" s="27">
        <f t="shared" si="16"/>
        <v>635250</v>
      </c>
      <c r="H178" s="27">
        <f t="shared" si="17"/>
        <v>317625</v>
      </c>
      <c r="I178" s="27">
        <f t="shared" si="18"/>
        <v>1095806.25</v>
      </c>
      <c r="J178" s="27">
        <f t="shared" si="19"/>
        <v>219161.25</v>
      </c>
      <c r="K178" s="27">
        <f t="shared" ref="K178:K182" si="20">ROUND(C126*$B178,2)</f>
        <v>1314967.5</v>
      </c>
    </row>
    <row r="179" spans="1:11" ht="20.25" thickBot="1" x14ac:dyDescent="0.3">
      <c r="A179" s="3">
        <v>3</v>
      </c>
      <c r="B179" s="116">
        <f t="shared" si="12"/>
        <v>2</v>
      </c>
      <c r="C179" s="7">
        <v>3</v>
      </c>
      <c r="D179" s="41">
        <f t="shared" si="13"/>
        <v>0.9</v>
      </c>
      <c r="E179" s="41">
        <f t="shared" si="14"/>
        <v>102.61</v>
      </c>
      <c r="F179" s="42">
        <f t="shared" si="15"/>
        <v>1.54</v>
      </c>
      <c r="G179" s="27">
        <f t="shared" si="16"/>
        <v>847000</v>
      </c>
      <c r="H179" s="27">
        <f t="shared" si="17"/>
        <v>423500</v>
      </c>
      <c r="I179" s="27">
        <f t="shared" si="18"/>
        <v>1461075</v>
      </c>
      <c r="J179" s="27">
        <f t="shared" si="19"/>
        <v>292215</v>
      </c>
      <c r="K179" s="27">
        <f t="shared" si="20"/>
        <v>1753290</v>
      </c>
    </row>
    <row r="180" spans="1:11" ht="20.25" thickBot="1" x14ac:dyDescent="0.3">
      <c r="A180" s="3">
        <v>4</v>
      </c>
      <c r="B180" s="116">
        <f t="shared" si="12"/>
        <v>5</v>
      </c>
      <c r="C180" s="7">
        <v>3</v>
      </c>
      <c r="D180" s="41">
        <f t="shared" si="13"/>
        <v>0.79</v>
      </c>
      <c r="E180" s="41">
        <f t="shared" si="14"/>
        <v>102.61</v>
      </c>
      <c r="F180" s="42">
        <f t="shared" si="15"/>
        <v>1.35</v>
      </c>
      <c r="G180" s="27">
        <f t="shared" si="16"/>
        <v>1856250</v>
      </c>
      <c r="H180" s="27">
        <f t="shared" si="17"/>
        <v>928125</v>
      </c>
      <c r="I180" s="27">
        <f t="shared" si="18"/>
        <v>3202031.25</v>
      </c>
      <c r="J180" s="27">
        <f t="shared" si="19"/>
        <v>640406.25</v>
      </c>
      <c r="K180" s="27">
        <f t="shared" si="20"/>
        <v>3842437.5</v>
      </c>
    </row>
    <row r="181" spans="1:11" ht="20.25" thickBot="1" x14ac:dyDescent="0.3">
      <c r="A181" s="3">
        <v>5</v>
      </c>
      <c r="B181" s="116">
        <f t="shared" si="12"/>
        <v>4</v>
      </c>
      <c r="C181" s="7">
        <v>3</v>
      </c>
      <c r="D181" s="41">
        <f t="shared" si="13"/>
        <v>0.52</v>
      </c>
      <c r="E181" s="41">
        <f t="shared" si="14"/>
        <v>102.61</v>
      </c>
      <c r="F181" s="42">
        <f t="shared" si="15"/>
        <v>0.89</v>
      </c>
      <c r="G181" s="27">
        <f t="shared" si="16"/>
        <v>979000</v>
      </c>
      <c r="H181" s="27">
        <f t="shared" si="17"/>
        <v>489500</v>
      </c>
      <c r="I181" s="27">
        <f t="shared" si="18"/>
        <v>1688775</v>
      </c>
      <c r="J181" s="27">
        <f t="shared" si="19"/>
        <v>337755</v>
      </c>
      <c r="K181" s="27">
        <f t="shared" si="20"/>
        <v>2026530</v>
      </c>
    </row>
    <row r="182" spans="1:11" ht="20.25" thickBot="1" x14ac:dyDescent="0.3">
      <c r="A182" s="10">
        <v>6</v>
      </c>
      <c r="B182" s="116">
        <f t="shared" si="12"/>
        <v>2</v>
      </c>
      <c r="C182" s="28">
        <v>3</v>
      </c>
      <c r="D182" s="41">
        <f t="shared" si="13"/>
        <v>0.4</v>
      </c>
      <c r="E182" s="41">
        <f t="shared" si="14"/>
        <v>102.61</v>
      </c>
      <c r="F182" s="42">
        <f t="shared" si="15"/>
        <v>0.68</v>
      </c>
      <c r="G182" s="27">
        <f t="shared" si="16"/>
        <v>374000</v>
      </c>
      <c r="H182" s="27">
        <f t="shared" si="17"/>
        <v>187000</v>
      </c>
      <c r="I182" s="27">
        <f t="shared" si="18"/>
        <v>645150</v>
      </c>
      <c r="J182" s="27">
        <f t="shared" si="19"/>
        <v>129030</v>
      </c>
      <c r="K182" s="27">
        <f t="shared" si="20"/>
        <v>774180</v>
      </c>
    </row>
    <row r="183" spans="1:11" ht="20.25" thickBot="1" x14ac:dyDescent="0.3">
      <c r="A183" s="1" t="s">
        <v>25</v>
      </c>
      <c r="B183" s="115">
        <f>C36</f>
        <v>42</v>
      </c>
      <c r="C183" s="39"/>
      <c r="D183" s="33"/>
      <c r="E183" s="33"/>
      <c r="F183" s="40"/>
      <c r="G183" s="15">
        <f>ROUND(SUM(G$177:G$182),2)</f>
        <v>5566000</v>
      </c>
      <c r="H183" s="15">
        <f>ROUND(SUM(H$177:H$182),2)</f>
        <v>2783000</v>
      </c>
      <c r="I183" s="15">
        <f>ROUND(SUM(I$177:I$182),2)</f>
        <v>9601350</v>
      </c>
      <c r="J183" s="15">
        <f>ROUND(SUM(J$177:J$182),2)</f>
        <v>1920270</v>
      </c>
      <c r="K183" s="18">
        <f>ROUND(SUM(K$177:K$182),2)</f>
        <v>11521620</v>
      </c>
    </row>
    <row r="184" spans="1:11" ht="20.25" thickBot="1" x14ac:dyDescent="0.3">
      <c r="A184" s="237" t="s">
        <v>40</v>
      </c>
      <c r="B184" s="238"/>
      <c r="C184" s="238"/>
      <c r="D184" s="238"/>
      <c r="E184" s="238"/>
      <c r="F184" s="238"/>
      <c r="G184" s="238"/>
      <c r="H184" s="238"/>
      <c r="I184" s="238"/>
      <c r="J184" s="238"/>
      <c r="K184" s="246"/>
    </row>
    <row r="185" spans="1:11" ht="20.25" thickBot="1" x14ac:dyDescent="0.3">
      <c r="A185" s="16" t="s">
        <v>41</v>
      </c>
      <c r="B185" s="116">
        <f t="shared" ref="B185:B193" si="21">C37</f>
        <v>2.94</v>
      </c>
      <c r="C185" s="19">
        <f t="shared" ref="C185:C191" si="22">B57</f>
        <v>3</v>
      </c>
      <c r="D185" s="257">
        <f>F132</f>
        <v>1775</v>
      </c>
      <c r="E185" s="8">
        <f t="shared" ref="E185:E191" si="23">C57</f>
        <v>88.51</v>
      </c>
      <c r="F185" s="36"/>
      <c r="G185" s="26">
        <f t="shared" ref="G185:G191" si="24">D133</f>
        <v>461889.44</v>
      </c>
      <c r="H185" s="27">
        <f t="shared" ref="H185:H191" si="25">D140</f>
        <v>184755.78</v>
      </c>
      <c r="I185" s="8">
        <f t="shared" ref="I185:I191" si="26">D147</f>
        <v>743642</v>
      </c>
      <c r="J185" s="8">
        <f t="shared" ref="J185:J191" si="27">D154</f>
        <v>148728.4</v>
      </c>
      <c r="K185" s="8">
        <f t="shared" ref="K185:K191" si="28">D161</f>
        <v>892370.4</v>
      </c>
    </row>
    <row r="186" spans="1:11" ht="20.25" thickBot="1" x14ac:dyDescent="0.3">
      <c r="A186" s="3" t="s">
        <v>42</v>
      </c>
      <c r="B186" s="116">
        <f t="shared" si="21"/>
        <v>1.27</v>
      </c>
      <c r="C186" s="54">
        <f t="shared" si="22"/>
        <v>2</v>
      </c>
      <c r="D186" s="258"/>
      <c r="E186" s="55">
        <f t="shared" si="23"/>
        <v>80.400000000000006</v>
      </c>
      <c r="F186" s="37"/>
      <c r="G186" s="26">
        <f t="shared" si="24"/>
        <v>181241.7</v>
      </c>
      <c r="H186" s="27">
        <f t="shared" si="25"/>
        <v>72496.679999999993</v>
      </c>
      <c r="I186" s="55">
        <f t="shared" si="26"/>
        <v>291799.14</v>
      </c>
      <c r="J186" s="55">
        <f t="shared" si="27"/>
        <v>58359.83</v>
      </c>
      <c r="K186" s="55">
        <f t="shared" si="28"/>
        <v>350158.97</v>
      </c>
    </row>
    <row r="187" spans="1:11" ht="20.25" thickBot="1" x14ac:dyDescent="0.3">
      <c r="A187" s="3" t="s">
        <v>43</v>
      </c>
      <c r="B187" s="116">
        <f t="shared" si="21"/>
        <v>3.8</v>
      </c>
      <c r="C187" s="54">
        <f t="shared" si="22"/>
        <v>5</v>
      </c>
      <c r="D187" s="258"/>
      <c r="E187" s="55">
        <f t="shared" si="23"/>
        <v>113.59</v>
      </c>
      <c r="F187" s="37"/>
      <c r="G187" s="26">
        <f t="shared" si="24"/>
        <v>766164.55</v>
      </c>
      <c r="H187" s="27">
        <f t="shared" si="25"/>
        <v>306465.82</v>
      </c>
      <c r="I187" s="55">
        <f t="shared" si="26"/>
        <v>1233524.93</v>
      </c>
      <c r="J187" s="55">
        <f t="shared" si="27"/>
        <v>246704.99</v>
      </c>
      <c r="K187" s="55">
        <f t="shared" si="28"/>
        <v>1480229.92</v>
      </c>
    </row>
    <row r="188" spans="1:11" ht="20.25" thickBot="1" x14ac:dyDescent="0.3">
      <c r="A188" s="3" t="s">
        <v>44</v>
      </c>
      <c r="B188" s="116">
        <f t="shared" si="21"/>
        <v>0.38</v>
      </c>
      <c r="C188" s="54">
        <f t="shared" si="22"/>
        <v>4</v>
      </c>
      <c r="D188" s="258"/>
      <c r="E188" s="55">
        <f t="shared" si="23"/>
        <v>99.58</v>
      </c>
      <c r="F188" s="37"/>
      <c r="G188" s="26">
        <f t="shared" si="24"/>
        <v>67166.710000000006</v>
      </c>
      <c r="H188" s="27">
        <f t="shared" si="25"/>
        <v>26866.68</v>
      </c>
      <c r="I188" s="55">
        <f t="shared" si="26"/>
        <v>108138.4</v>
      </c>
      <c r="J188" s="55">
        <f t="shared" si="27"/>
        <v>21627.68</v>
      </c>
      <c r="K188" s="55">
        <f t="shared" si="28"/>
        <v>129766.08</v>
      </c>
    </row>
    <row r="189" spans="1:11" ht="20.25" thickBot="1" x14ac:dyDescent="0.3">
      <c r="A189" s="3" t="s">
        <v>45</v>
      </c>
      <c r="B189" s="116">
        <f t="shared" si="21"/>
        <v>1.52</v>
      </c>
      <c r="C189" s="54">
        <f t="shared" si="22"/>
        <v>4</v>
      </c>
      <c r="D189" s="258"/>
      <c r="E189" s="55">
        <f t="shared" si="23"/>
        <v>99.58</v>
      </c>
      <c r="F189" s="37"/>
      <c r="G189" s="26">
        <f t="shared" si="24"/>
        <v>268666.84000000003</v>
      </c>
      <c r="H189" s="27">
        <f t="shared" si="25"/>
        <v>107466.74</v>
      </c>
      <c r="I189" s="55">
        <f t="shared" si="26"/>
        <v>432553.62</v>
      </c>
      <c r="J189" s="55">
        <f t="shared" si="27"/>
        <v>86510.720000000001</v>
      </c>
      <c r="K189" s="55">
        <f t="shared" si="28"/>
        <v>519064.34</v>
      </c>
    </row>
    <row r="190" spans="1:11" ht="20.25" thickBot="1" x14ac:dyDescent="0.3">
      <c r="A190" s="3" t="s">
        <v>46</v>
      </c>
      <c r="B190" s="116">
        <f t="shared" si="21"/>
        <v>0.84</v>
      </c>
      <c r="C190" s="54">
        <f t="shared" si="22"/>
        <v>1</v>
      </c>
      <c r="D190" s="258"/>
      <c r="E190" s="55">
        <f t="shared" si="23"/>
        <v>73.760000000000005</v>
      </c>
      <c r="F190" s="37"/>
      <c r="G190" s="26">
        <f t="shared" si="24"/>
        <v>109976.16</v>
      </c>
      <c r="H190" s="27">
        <f t="shared" si="25"/>
        <v>43990.46</v>
      </c>
      <c r="I190" s="55">
        <f t="shared" si="26"/>
        <v>177061.61</v>
      </c>
      <c r="J190" s="55">
        <f t="shared" si="27"/>
        <v>35412.32</v>
      </c>
      <c r="K190" s="55">
        <f t="shared" si="28"/>
        <v>212473.93</v>
      </c>
    </row>
    <row r="191" spans="1:11" ht="20.25" thickBot="1" x14ac:dyDescent="0.3">
      <c r="A191" s="10" t="s">
        <v>47</v>
      </c>
      <c r="B191" s="116">
        <f t="shared" si="21"/>
        <v>3.8</v>
      </c>
      <c r="C191" s="54">
        <f t="shared" si="22"/>
        <v>6</v>
      </c>
      <c r="D191" s="259"/>
      <c r="E191" s="55">
        <f t="shared" si="23"/>
        <v>132.77000000000001</v>
      </c>
      <c r="F191" s="38"/>
      <c r="G191" s="26">
        <f t="shared" si="24"/>
        <v>895533.65</v>
      </c>
      <c r="H191" s="27">
        <f t="shared" si="25"/>
        <v>358213.46</v>
      </c>
      <c r="I191" s="55">
        <f t="shared" si="26"/>
        <v>1441809.18</v>
      </c>
      <c r="J191" s="55">
        <f t="shared" si="27"/>
        <v>288361.84000000003</v>
      </c>
      <c r="K191" s="55">
        <f t="shared" si="28"/>
        <v>1730171.02</v>
      </c>
    </row>
    <row r="192" spans="1:11" ht="20.25" thickBot="1" x14ac:dyDescent="0.3">
      <c r="A192" s="1" t="s">
        <v>25</v>
      </c>
      <c r="B192" s="116">
        <f t="shared" si="21"/>
        <v>14.55</v>
      </c>
      <c r="C192" s="31"/>
      <c r="D192" s="32"/>
      <c r="E192" s="33"/>
      <c r="F192" s="34"/>
      <c r="G192" s="14">
        <f>ROUND(SUM(G185:G191),2)</f>
        <v>2750639.05</v>
      </c>
      <c r="H192" s="14">
        <f>ROUND(SUM(H185:H191),2)</f>
        <v>1100255.6200000001</v>
      </c>
      <c r="I192" s="14">
        <f>ROUND(SUM(I185:I191),2)</f>
        <v>4428528.88</v>
      </c>
      <c r="J192" s="14">
        <f>ROUND(SUM(J185:J191),2)</f>
        <v>885705.78</v>
      </c>
      <c r="K192" s="13">
        <f>ROUND(SUM(K185:K191),2)</f>
        <v>5314234.66</v>
      </c>
    </row>
    <row r="193" spans="1:11" ht="20.25" thickBot="1" x14ac:dyDescent="0.3">
      <c r="A193" s="4" t="s">
        <v>48</v>
      </c>
      <c r="B193" s="116">
        <f t="shared" si="21"/>
        <v>2.1</v>
      </c>
      <c r="C193" s="29"/>
      <c r="D193" s="30"/>
      <c r="E193" s="43">
        <v>40000</v>
      </c>
      <c r="F193" s="35"/>
      <c r="G193" s="12">
        <f>D168</f>
        <v>924000</v>
      </c>
      <c r="H193" s="17">
        <f>D169</f>
        <v>554400</v>
      </c>
      <c r="I193" s="17">
        <f>D170</f>
        <v>1700160</v>
      </c>
      <c r="J193" s="17">
        <f>D171</f>
        <v>340032</v>
      </c>
      <c r="K193" s="25">
        <f>D172</f>
        <v>2040192</v>
      </c>
    </row>
    <row r="194" spans="1:11" ht="20.25" thickBot="1" x14ac:dyDescent="0.3">
      <c r="A194" s="20" t="s">
        <v>49</v>
      </c>
      <c r="B194" s="116">
        <f>ROUND(SUM(B183,B192:B193),2)</f>
        <v>58.65</v>
      </c>
      <c r="C194" s="68"/>
      <c r="D194" s="69"/>
      <c r="E194" s="69"/>
      <c r="F194" s="69"/>
      <c r="G194" s="55">
        <f>ROUND(SUM(G183,G192:G193),2)</f>
        <v>9240639.0500000007</v>
      </c>
      <c r="H194" s="55">
        <f t="shared" ref="H194:J194" si="29">ROUND(SUM(H183,H192:H193),2)</f>
        <v>4437655.62</v>
      </c>
      <c r="I194" s="55">
        <f t="shared" si="29"/>
        <v>15730038.880000001</v>
      </c>
      <c r="J194" s="55">
        <f t="shared" si="29"/>
        <v>3146007.78</v>
      </c>
      <c r="K194" s="55">
        <f>ROUND(SUM(K183,K192:K193),2)</f>
        <v>18876046.66</v>
      </c>
    </row>
    <row r="195" spans="1:11" x14ac:dyDescent="0.25">
      <c r="A195" s="46"/>
    </row>
    <row r="196" spans="1:11" ht="20.25" thickBot="1" x14ac:dyDescent="0.3">
      <c r="A196" s="46" t="s">
        <v>151</v>
      </c>
      <c r="E196" s="52" t="s">
        <v>159</v>
      </c>
    </row>
    <row r="197" spans="1:11" ht="39.75" thickBot="1" x14ac:dyDescent="0.3">
      <c r="A197" s="1" t="s">
        <v>52</v>
      </c>
      <c r="B197" s="1" t="s">
        <v>53</v>
      </c>
      <c r="C197" s="44" t="s">
        <v>54</v>
      </c>
    </row>
    <row r="198" spans="1:11" x14ac:dyDescent="0.25">
      <c r="A198" s="2" t="s">
        <v>55</v>
      </c>
      <c r="B198" s="2">
        <f>ROUND(K194/B194,2)</f>
        <v>321842.23</v>
      </c>
      <c r="C198" s="2">
        <f>ROUND(B198/12,2)</f>
        <v>26820.19</v>
      </c>
    </row>
    <row r="199" spans="1:11" x14ac:dyDescent="0.25">
      <c r="A199" s="3" t="s">
        <v>56</v>
      </c>
      <c r="B199" s="3">
        <f>ROUND(K183/B183,2)</f>
        <v>274324.28999999998</v>
      </c>
      <c r="C199" s="2">
        <f t="shared" ref="C199:C201" si="30">ROUND(B199/12,2)</f>
        <v>22860.36</v>
      </c>
    </row>
    <row r="200" spans="1:11" ht="20.25" thickBot="1" x14ac:dyDescent="0.3">
      <c r="A200" s="3" t="s">
        <v>57</v>
      </c>
      <c r="B200" s="119">
        <f>ROUND(K192/B192,2)</f>
        <v>365239.5</v>
      </c>
      <c r="C200" s="2">
        <f t="shared" si="30"/>
        <v>30436.63</v>
      </c>
    </row>
    <row r="201" spans="1:11" ht="20.25" thickBot="1" x14ac:dyDescent="0.3">
      <c r="A201" s="45" t="s">
        <v>24</v>
      </c>
      <c r="B201" s="119">
        <f>ROUND(K193/B193,2)</f>
        <v>971520</v>
      </c>
      <c r="C201" s="2">
        <f t="shared" si="30"/>
        <v>80960</v>
      </c>
    </row>
    <row r="202" spans="1:11" x14ac:dyDescent="0.25">
      <c r="A202" s="46" t="s">
        <v>174</v>
      </c>
    </row>
    <row r="203" spans="1:11" x14ac:dyDescent="0.25">
      <c r="A203" s="227" t="str">
        <f>"Среднегодовая зарплата работающего по участку = "&amp;K194&amp;"/"&amp;B194&amp;" ="</f>
        <v>Среднегодовая зарплата работающего по участку = 18876046,66/58,65 =</v>
      </c>
      <c r="B203" s="227"/>
      <c r="C203" s="227"/>
      <c r="D203" s="67">
        <f>B198</f>
        <v>321842.23</v>
      </c>
    </row>
    <row r="204" spans="1:11" x14ac:dyDescent="0.25">
      <c r="A204" s="227" t="str">
        <f>"Среднегодовая зарплата работающего по участку = "&amp;K183&amp;"/"&amp;B183&amp;" ="</f>
        <v>Среднегодовая зарплата работающего по участку = 11521620/42 =</v>
      </c>
      <c r="B204" s="227"/>
      <c r="C204" s="227"/>
      <c r="D204" s="67">
        <f t="shared" ref="D204:D206" si="31">B199</f>
        <v>274324.28999999998</v>
      </c>
    </row>
    <row r="205" spans="1:11" x14ac:dyDescent="0.25">
      <c r="A205" s="227" t="str">
        <f>"Среднегодовая зарплата работающего по участку = "&amp;K192&amp;"/"&amp;B192&amp;" ="</f>
        <v>Среднегодовая зарплата работающего по участку = 5314234,66/14,55 =</v>
      </c>
      <c r="B205" s="227"/>
      <c r="C205" s="227"/>
      <c r="D205" s="67">
        <f t="shared" si="31"/>
        <v>365239.5</v>
      </c>
    </row>
    <row r="206" spans="1:11" x14ac:dyDescent="0.25">
      <c r="A206" s="227" t="str">
        <f>"Среднегодовая зарплата работающего по участку = "&amp;K193&amp;"/"&amp;B193&amp;" ="</f>
        <v>Среднегодовая зарплата работающего по участку = 2040192/2,1 =</v>
      </c>
      <c r="B206" s="227"/>
      <c r="C206" s="227"/>
      <c r="D206" s="67">
        <f t="shared" si="31"/>
        <v>971520</v>
      </c>
    </row>
    <row r="207" spans="1:11" x14ac:dyDescent="0.25">
      <c r="A207" s="227" t="str">
        <f>"Среднемесячная зарплата работающего по участку = "&amp;B198&amp;"/12 ="</f>
        <v>Среднемесячная зарплата работающего по участку = 321842,23/12 =</v>
      </c>
      <c r="B207" s="227"/>
      <c r="C207" s="227"/>
      <c r="D207" s="52">
        <f>C198</f>
        <v>26820.19</v>
      </c>
      <c r="E207" s="52" t="s">
        <v>169</v>
      </c>
    </row>
    <row r="208" spans="1:11" x14ac:dyDescent="0.25">
      <c r="A208" s="227" t="str">
        <f t="shared" ref="A208:A210" si="32">"Среднемесячная зарплата работающего по участку = "&amp;B199&amp;"/12 ="</f>
        <v>Среднемесячная зарплата работающего по участку = 274324,29/12 =</v>
      </c>
      <c r="B208" s="227"/>
      <c r="C208" s="227"/>
      <c r="D208" s="67">
        <f t="shared" ref="D208:D210" si="33">C199</f>
        <v>22860.36</v>
      </c>
    </row>
    <row r="209" spans="1:7" x14ac:dyDescent="0.25">
      <c r="A209" s="227" t="str">
        <f t="shared" si="32"/>
        <v>Среднемесячная зарплата работающего по участку = 365239,5/12 =</v>
      </c>
      <c r="B209" s="227"/>
      <c r="C209" s="227"/>
      <c r="D209" s="67">
        <f t="shared" si="33"/>
        <v>30436.63</v>
      </c>
    </row>
    <row r="210" spans="1:7" x14ac:dyDescent="0.25">
      <c r="A210" s="227" t="str">
        <f t="shared" si="32"/>
        <v>Среднемесячная зарплата работающего по участку = 971520/12 =</v>
      </c>
      <c r="B210" s="227"/>
      <c r="C210" s="227"/>
      <c r="D210" s="67">
        <f t="shared" si="33"/>
        <v>80960</v>
      </c>
    </row>
    <row r="211" spans="1:7" x14ac:dyDescent="0.25">
      <c r="A211" s="46"/>
    </row>
    <row r="212" spans="1:7" x14ac:dyDescent="0.25">
      <c r="A212" s="46" t="s">
        <v>173</v>
      </c>
    </row>
    <row r="213" spans="1:7" x14ac:dyDescent="0.25">
      <c r="A213" s="227" t="str">
        <f>"Производственная площадь участка = "&amp;F215&amp;" * "&amp;C35&amp;" ="</f>
        <v>Производственная площадь участка = 18 * 19 =</v>
      </c>
      <c r="B213" s="227"/>
      <c r="C213" s="74">
        <f>F215*C35</f>
        <v>342</v>
      </c>
    </row>
    <row r="214" spans="1:7" x14ac:dyDescent="0.25">
      <c r="A214" s="227" t="str">
        <f>"Вспомогательная площадь участка = "&amp;F216&amp;" * "&amp;E53&amp;" ="</f>
        <v>Вспомогательная площадь участка = 2,5 * 29,325 =</v>
      </c>
      <c r="B214" s="227"/>
      <c r="C214" s="74">
        <f>F216*E53</f>
        <v>73.3125</v>
      </c>
      <c r="E214" s="57" t="s">
        <v>63</v>
      </c>
    </row>
    <row r="215" spans="1:7" x14ac:dyDescent="0.25">
      <c r="A215" s="227" t="str">
        <f>"Общая площадь участка = "&amp;C213&amp;" + "&amp;C214&amp;" ="</f>
        <v>Общая площадь участка = 342 + 73,3125 =</v>
      </c>
      <c r="B215" s="227"/>
      <c r="C215" s="75">
        <f>C213+C214</f>
        <v>415.3125</v>
      </c>
      <c r="E215" s="57" t="s">
        <v>170</v>
      </c>
      <c r="F215" s="74">
        <v>18</v>
      </c>
    </row>
    <row r="216" spans="1:7" x14ac:dyDescent="0.25">
      <c r="A216" s="227" t="str">
        <f>"Стоимость площади участка = "&amp;C215&amp;" * "&amp;F217&amp;" ="</f>
        <v>Стоимость площади участка = 415,3125 * 200000 =</v>
      </c>
      <c r="B216" s="227"/>
      <c r="C216" s="74">
        <f>C215*F217</f>
        <v>83062500</v>
      </c>
      <c r="E216" s="57" t="s">
        <v>171</v>
      </c>
      <c r="F216" s="74">
        <v>2.5</v>
      </c>
    </row>
    <row r="217" spans="1:7" ht="20.25" thickBot="1" x14ac:dyDescent="0.3">
      <c r="A217" s="46"/>
      <c r="E217" s="57" t="s">
        <v>172</v>
      </c>
      <c r="F217" s="74">
        <v>200000</v>
      </c>
    </row>
    <row r="218" spans="1:7" ht="39.75" thickBot="1" x14ac:dyDescent="0.3">
      <c r="A218" s="1" t="s">
        <v>1</v>
      </c>
      <c r="B218" s="115" t="s">
        <v>9</v>
      </c>
      <c r="C218" s="63" t="s">
        <v>176</v>
      </c>
      <c r="D218" s="72" t="s">
        <v>175</v>
      </c>
      <c r="E218" s="72" t="s">
        <v>177</v>
      </c>
      <c r="F218" s="63" t="s">
        <v>178</v>
      </c>
      <c r="G218" s="72" t="s">
        <v>179</v>
      </c>
    </row>
    <row r="219" spans="1:7" x14ac:dyDescent="0.25">
      <c r="A219" s="2" t="str">
        <f>C2</f>
        <v>Фрезерный 6Т80</v>
      </c>
      <c r="B219" s="117">
        <f t="shared" ref="B219:B221" si="34">SUMIF(C2:C7,A219,D2:D7)</f>
        <v>3</v>
      </c>
      <c r="C219" s="2">
        <f t="shared" ref="C219" si="35">E2</f>
        <v>134</v>
      </c>
      <c r="D219" s="79">
        <f>B219*C219</f>
        <v>402</v>
      </c>
      <c r="E219" s="79">
        <f>D219*5%</f>
        <v>20.100000000000001</v>
      </c>
      <c r="F219" s="64">
        <f>D219*10%</f>
        <v>40.200000000000003</v>
      </c>
      <c r="G219" s="64">
        <f>SUM(D219:F219)</f>
        <v>462.3</v>
      </c>
    </row>
    <row r="220" spans="1:7" x14ac:dyDescent="0.25">
      <c r="A220" s="3" t="str">
        <f t="shared" ref="A220" si="36">C3</f>
        <v>Сверлильный НС12А</v>
      </c>
      <c r="B220" s="117">
        <f t="shared" si="34"/>
        <v>5</v>
      </c>
      <c r="C220" s="65">
        <f t="shared" ref="C220" si="37">E3</f>
        <v>240</v>
      </c>
      <c r="D220" s="70">
        <f t="shared" ref="D220:D221" si="38">B220*C220</f>
        <v>1200</v>
      </c>
      <c r="E220" s="79">
        <f t="shared" ref="E220:E221" si="39">D220*5%</f>
        <v>60</v>
      </c>
      <c r="F220" s="64">
        <f t="shared" ref="F220:F221" si="40">D220*10%</f>
        <v>120</v>
      </c>
      <c r="G220" s="64">
        <f t="shared" ref="G220:G221" si="41">SUM(D220:F220)</f>
        <v>1380</v>
      </c>
    </row>
    <row r="221" spans="1:7" x14ac:dyDescent="0.25">
      <c r="A221" s="3" t="str">
        <f>C5</f>
        <v>Резьбонарезной Р1130</v>
      </c>
      <c r="B221" s="117">
        <f t="shared" si="34"/>
        <v>11</v>
      </c>
      <c r="C221" s="65">
        <f>E5</f>
        <v>360</v>
      </c>
      <c r="D221" s="70">
        <f t="shared" si="38"/>
        <v>3960</v>
      </c>
      <c r="E221" s="79">
        <f t="shared" si="39"/>
        <v>198</v>
      </c>
      <c r="F221" s="64">
        <f t="shared" si="40"/>
        <v>396</v>
      </c>
      <c r="G221" s="64">
        <f t="shared" si="41"/>
        <v>4554</v>
      </c>
    </row>
    <row r="222" spans="1:7" ht="20.25" thickBot="1" x14ac:dyDescent="0.3">
      <c r="A222" s="73" t="s">
        <v>25</v>
      </c>
      <c r="B222" s="80">
        <f>SUM(B219:B221)</f>
        <v>19</v>
      </c>
      <c r="C222" s="82"/>
      <c r="D222" s="80">
        <f>SUM(D219:D221)</f>
        <v>5562</v>
      </c>
      <c r="E222" s="80">
        <f>SUM(E219:E221)</f>
        <v>278.10000000000002</v>
      </c>
      <c r="F222" s="66">
        <f>SUM(F219:F221)</f>
        <v>556.20000000000005</v>
      </c>
      <c r="G222" s="66">
        <f>SUM(G219:G221)</f>
        <v>6396.3</v>
      </c>
    </row>
    <row r="224" spans="1:7" x14ac:dyDescent="0.25">
      <c r="A224" s="227" t="str">
        <f>"Всего капитальных затрат = "&amp;G222&amp;" * 1 000 ="</f>
        <v>Всего капитальных затрат = 6396,3 * 1 000 =</v>
      </c>
      <c r="B224" s="227"/>
      <c r="C224" s="74">
        <f>G222*1000</f>
        <v>6396300</v>
      </c>
    </row>
    <row r="225" spans="1:9" x14ac:dyDescent="0.25">
      <c r="A225" s="227" t="str">
        <f>"Стоимость дорогостоящего и долгослужащего инструмента = "&amp;C224&amp;" * "&amp;IF(F37&gt;100000,1%,10%)&amp;" ="</f>
        <v>Стоимость дорогостоящего и долгослужащего инструмента = 6396300 * 0,01 =</v>
      </c>
      <c r="B225" s="227"/>
      <c r="C225" s="227"/>
      <c r="D225" s="81">
        <f>C224*IF(F37&gt;100000,1%,10%)</f>
        <v>63963</v>
      </c>
    </row>
    <row r="226" spans="1:9" x14ac:dyDescent="0.25">
      <c r="A226" s="227" t="str">
        <f>"Стоимость производственного и хозяйственного инвентаря = ("&amp;C216&amp;" + "&amp;C224&amp;") * 5% ="</f>
        <v>Стоимость производственного и хозяйственного инвентаря = (83062500 + 6396300) * 5% =</v>
      </c>
      <c r="B226" s="227"/>
      <c r="C226" s="227"/>
      <c r="D226" s="71">
        <f>(C216+C224)*5%</f>
        <v>4472940</v>
      </c>
    </row>
    <row r="228" spans="1:9" ht="20.25" thickBot="1" x14ac:dyDescent="0.3">
      <c r="A228" s="71" t="s">
        <v>180</v>
      </c>
    </row>
    <row r="229" spans="1:9" ht="20.25" thickBot="1" x14ac:dyDescent="0.3">
      <c r="A229" s="250" t="s">
        <v>181</v>
      </c>
      <c r="B229" s="252"/>
      <c r="C229" s="63" t="s">
        <v>182</v>
      </c>
    </row>
    <row r="230" spans="1:9" ht="20.25" thickBot="1" x14ac:dyDescent="0.3">
      <c r="A230" s="265" t="s">
        <v>183</v>
      </c>
      <c r="B230" s="266"/>
      <c r="C230" s="83">
        <f>C216</f>
        <v>83062500</v>
      </c>
    </row>
    <row r="231" spans="1:9" ht="20.25" thickBot="1" x14ac:dyDescent="0.3">
      <c r="A231" s="267" t="s">
        <v>184</v>
      </c>
      <c r="B231" s="268"/>
      <c r="C231" s="84">
        <f>C224</f>
        <v>6396300</v>
      </c>
    </row>
    <row r="232" spans="1:9" ht="20.25" thickBot="1" x14ac:dyDescent="0.3">
      <c r="A232" s="267" t="s">
        <v>185</v>
      </c>
      <c r="B232" s="268"/>
      <c r="C232" s="84">
        <f>D225</f>
        <v>63963</v>
      </c>
    </row>
    <row r="233" spans="1:9" ht="20.25" thickBot="1" x14ac:dyDescent="0.3">
      <c r="A233" s="250" t="s">
        <v>186</v>
      </c>
      <c r="B233" s="252"/>
      <c r="C233" s="85">
        <f>D226</f>
        <v>4472940</v>
      </c>
    </row>
    <row r="234" spans="1:9" ht="20.25" thickBot="1" x14ac:dyDescent="0.3">
      <c r="A234" s="250" t="s">
        <v>25</v>
      </c>
      <c r="B234" s="252"/>
      <c r="C234" s="85">
        <f>SUM(C230:C233)</f>
        <v>93995703</v>
      </c>
    </row>
    <row r="236" spans="1:9" x14ac:dyDescent="0.25">
      <c r="A236" s="71" t="s">
        <v>189</v>
      </c>
      <c r="E236" s="52" t="s">
        <v>63</v>
      </c>
      <c r="F236" s="46"/>
      <c r="G236" s="46" t="s">
        <v>187</v>
      </c>
    </row>
    <row r="237" spans="1:9" x14ac:dyDescent="0.25">
      <c r="A237" s="227" t="str">
        <f>"Прямые затраты = "&amp;B11&amp;" * "&amp;B15&amp;" * "&amp;F237&amp;" - "&amp;B11-B12&amp;" * "&amp;B13&amp;" ="</f>
        <v>Прямые затраты = 3,15 * 112 * 1,03 - 0,17 * 50 =</v>
      </c>
      <c r="B237" s="227"/>
      <c r="C237" s="57">
        <f>ROUND(B11*B15*F237-((B11-B12)*B13),2)</f>
        <v>354.88</v>
      </c>
      <c r="E237" s="52" t="s">
        <v>188</v>
      </c>
      <c r="F237" s="87">
        <v>1.03</v>
      </c>
    </row>
    <row r="238" spans="1:9" s="105" customFormat="1" x14ac:dyDescent="0.25">
      <c r="A238" s="227" t="str">
        <f>"Отчисления с ЗП ОПР = "&amp;K183&amp;" * 30% ="</f>
        <v>Отчисления с ЗП ОПР = 11521620 * 30% =</v>
      </c>
      <c r="B238" s="227"/>
      <c r="C238" s="227"/>
      <c r="D238" s="104">
        <f>K183*30%</f>
        <v>3456486</v>
      </c>
      <c r="E238" s="104"/>
      <c r="F238" s="87"/>
      <c r="I238" s="104"/>
    </row>
    <row r="239" spans="1:9" x14ac:dyDescent="0.25">
      <c r="A239" s="227" t="str">
        <f>"Величина основной ЗП производственных рабочих = "&amp;I183&amp;" / "&amp;F37&amp;" = "</f>
        <v xml:space="preserve">Величина основной ЗП производственных рабочих = 9601350 / 275000 = </v>
      </c>
      <c r="B239" s="227"/>
      <c r="C239" s="227"/>
      <c r="D239" s="52">
        <f>ROUND(I183/F37,2)</f>
        <v>34.909999999999997</v>
      </c>
      <c r="E239" s="81" t="s">
        <v>192</v>
      </c>
      <c r="F239" s="88">
        <v>0.05</v>
      </c>
    </row>
    <row r="240" spans="1:9" x14ac:dyDescent="0.25">
      <c r="A240" s="227" t="str">
        <f>"Величина доп. ЗП производственных рабочих = "&amp;J183&amp;" / "&amp;F37&amp;" = "</f>
        <v xml:space="preserve">Величина доп. ЗП производственных рабочих = 1920270 / 275000 = </v>
      </c>
      <c r="B240" s="227"/>
      <c r="C240" s="227"/>
      <c r="D240" s="52">
        <f>ROUND(J183/F37,2)</f>
        <v>6.98</v>
      </c>
      <c r="E240" s="52" t="s">
        <v>193</v>
      </c>
      <c r="F240" s="46">
        <v>45.88</v>
      </c>
    </row>
    <row r="241" spans="1:6" x14ac:dyDescent="0.25">
      <c r="A241" s="227" t="str">
        <f>"Амортизационные отчисления = "&amp;C224&amp;" * (13,4% / 100%) + "&amp;D225&amp;" * (20% / 100%) = "</f>
        <v xml:space="preserve">Амортизационные отчисления = 6396300 * (13,4% / 100%) + 63963 * (20% / 100%) = </v>
      </c>
      <c r="B241" s="227"/>
      <c r="C241" s="227"/>
      <c r="D241" s="87">
        <f>ROUND(C224*(13.4%/100%)+D225*(20%/100%),2)</f>
        <v>869896.8</v>
      </c>
    </row>
    <row r="242" spans="1:6" x14ac:dyDescent="0.25">
      <c r="A242" s="227" t="str">
        <f>"Затраты на вспомогательные материалы = 0,5% * "&amp;C224&amp;" = "</f>
        <v xml:space="preserve">Затраты на вспомогательные материалы = 0,5% * 6396300 = </v>
      </c>
      <c r="B242" s="227"/>
      <c r="C242" s="227"/>
      <c r="D242" s="87">
        <f>ROUND(0.5%*C224,2)</f>
        <v>31981.5</v>
      </c>
    </row>
    <row r="243" spans="1:6" x14ac:dyDescent="0.25">
      <c r="A243" s="227" t="str">
        <f>"Действительный фонд времени работы оборудования = "&amp;F131&amp;" * "&amp;F35&amp;" * (1 - "&amp;F239&amp;") ="</f>
        <v>Действительный фонд времени работы оборудования = 1994 * 2 * (1 - 0,05) =</v>
      </c>
      <c r="B243" s="227"/>
      <c r="C243" s="227"/>
      <c r="D243" s="89">
        <f>F131*F35*(1-F239)</f>
        <v>3788.6</v>
      </c>
    </row>
    <row r="244" spans="1:6" x14ac:dyDescent="0.25">
      <c r="A244" s="227" t="str">
        <f>"Затраты на электроэнергию = 5,92 * "&amp;D243&amp;" * ("&amp;G2&amp;" * "&amp;H2&amp;" * "&amp;D2&amp;") + ("&amp;G3&amp;" * "&amp;H3&amp;" * "&amp;D3&amp;") + ("&amp;G4&amp;" * "&amp;H4&amp;" * "&amp;D4&amp;") + ("&amp;G5&amp;" * "&amp;H5&amp;" * "&amp;D5&amp;") + ("&amp;G6&amp;" * "&amp;H6&amp;" * "&amp;D6&amp;") + ("&amp;G7&amp;" * "&amp;H7&amp;" * "&amp;D7&amp;") ="</f>
        <v>Затраты на электроэнергию = 5,92 * 3788,6 * (49 * 7,5 * 3) + (32 * 19 * 3) + (45 * 19 * 2) + (54 * 25 * 5) + (30 * 25 * 4) + (48 * 25 * 2) =</v>
      </c>
      <c r="B244" s="227"/>
      <c r="C244" s="227"/>
      <c r="D244" s="227"/>
      <c r="E244" s="227"/>
      <c r="F244" s="89">
        <f>ROUND((5.92*D243*((D2*G2*H2)+(D3*G3*H3)+(D4*G4*H4)+(D5*G5*H5)+(D6*G6*H6)+(D7*G7*H7)))/100,2)</f>
        <v>3764962.17</v>
      </c>
    </row>
    <row r="245" spans="1:6" x14ac:dyDescent="0.25">
      <c r="A245" s="227" t="str">
        <f>"Потребление воды в моечных машинах = (0,5 * "&amp;B11&amp;" * "&amp;F37&amp;" * "&amp;F240&amp;") / 1000 ="</f>
        <v>Потребление воды в моечных машинах = (0,5 * 3,15 * 275000 * 45,88) / 1000 =</v>
      </c>
      <c r="B245" s="227"/>
      <c r="C245" s="227"/>
      <c r="D245" s="87">
        <f>ROUND((0.5*B11*F37*F240)/1000,2)</f>
        <v>19871.78</v>
      </c>
    </row>
    <row r="246" spans="1:6" x14ac:dyDescent="0.25">
      <c r="A246" s="227" t="str">
        <f>"Приготовление эмульсий = (4 / 1000) * "&amp;C35&amp;" * 250 * "&amp;F35&amp;" * "&amp;F240&amp;" ="</f>
        <v>Приготовление эмульсий = (4 / 1000) * 19 * 250 * 2 * 45,88 =</v>
      </c>
      <c r="B246" s="227"/>
      <c r="C246" s="227"/>
      <c r="D246" s="87">
        <f>ROUND(4/1000*C35*250*F240*F35,1)</f>
        <v>1743.4</v>
      </c>
    </row>
    <row r="247" spans="1:6" x14ac:dyDescent="0.25">
      <c r="A247" s="227" t="str">
        <f>"Расход воздуха = 0,5 * 250 * "&amp;C35&amp;" * "&amp;F35&amp;" * 300 ="</f>
        <v>Расход воздуха = 0,5 * 250 * 19 * 2 * 300 =</v>
      </c>
      <c r="B247" s="227"/>
      <c r="C247" s="227"/>
      <c r="D247" s="87">
        <f>ROUND(0.5*250*C35*F35*300,2)</f>
        <v>1425000</v>
      </c>
    </row>
    <row r="248" spans="1:6" x14ac:dyDescent="0.25">
      <c r="A248" s="227" t="s">
        <v>194</v>
      </c>
      <c r="B248" s="227"/>
      <c r="C248" s="227"/>
      <c r="D248" s="87">
        <f>ROUND(SUM(D245:D247),2)</f>
        <v>1446615.18</v>
      </c>
    </row>
    <row r="249" spans="1:6" x14ac:dyDescent="0.25">
      <c r="A249" s="227" t="str">
        <f>"ЗсЕСН = ("&amp;K191&amp;" + "&amp;K189&amp;" + "&amp;K188&amp;") * 1,3 ="</f>
        <v>ЗсЕСН = (1730171,02 + 519064,34 + 129766,08) * 1,3 =</v>
      </c>
      <c r="B249" s="227"/>
      <c r="C249" s="227"/>
      <c r="D249" s="87">
        <f>ROUND((K188+K189+K191)*1.3,2)</f>
        <v>3092701.87</v>
      </c>
    </row>
    <row r="250" spans="1:6" x14ac:dyDescent="0.25">
      <c r="A250" s="227" t="str">
        <f>"Змбп = 4210 * "&amp;B53&amp;" ="</f>
        <v>Змбп = 4210 * 58,65 =</v>
      </c>
      <c r="B250" s="227"/>
      <c r="C250" s="227"/>
      <c r="D250" s="87">
        <f>ROUND(4210*B53,2)</f>
        <v>246916.5</v>
      </c>
    </row>
    <row r="251" spans="1:6" x14ac:dyDescent="0.25">
      <c r="A251" s="227" t="str">
        <f>"ΣR = ("&amp;I2&amp;" * "&amp;D2&amp;") + ("&amp;I3&amp;" * "&amp;D3&amp;") + ("&amp;I4&amp;" * "&amp;D4&amp;") + ("&amp;I5&amp;" * "&amp;D5&amp;") + ("&amp;I6&amp;" * "&amp;D6&amp;") + ("&amp;I7&amp;" * "&amp;D7&amp;") ="</f>
        <v>ΣR = (20 * 3) + (26 * 3) + (26 * 2) + (19 * 5) + (19 * 4) + (19 * 2) =</v>
      </c>
      <c r="B251" s="227"/>
      <c r="C251" s="227"/>
      <c r="D251" s="87">
        <f>F15</f>
        <v>399</v>
      </c>
    </row>
    <row r="252" spans="1:6" x14ac:dyDescent="0.25">
      <c r="A252" s="227" t="str">
        <f>"Затраты на материалы = 50% * "&amp;G187&amp;" ="</f>
        <v>Затраты на материалы = 50% * 766164,55 =</v>
      </c>
      <c r="B252" s="227"/>
      <c r="C252" s="227"/>
      <c r="D252" s="87">
        <f>ROUND(50%*G187,2)</f>
        <v>383082.28</v>
      </c>
    </row>
    <row r="253" spans="1:6" x14ac:dyDescent="0.25">
      <c r="A253" s="227" t="str">
        <f>"Зрем = ("&amp;D251&amp;" * "&amp;E187&amp;" * (6 * 0,85 + 4 * 6 + 1 * 9 + 1 + 51,1) * 1,4 * 1,2 * 1,15 * 1,3) * (1/5) + "&amp;D252&amp;" ="</f>
        <v>Зрем = (399 * 113,59 * (6 * 0,85 + 4 * 6 + 1 * 9 + 1 + 51,1) * 1,4 * 1,2 * 1,15 * 1,3) * (1/5) + 383082,28 =</v>
      </c>
      <c r="B253" s="227"/>
      <c r="C253" s="227"/>
      <c r="D253" s="87">
        <f>ROUND((D251*E187*(6*0.85+4*6+9+51.1)*1.4*1.2*1.15*1.3)*(1/5)+D252,2)</f>
        <v>2413840.9700000002</v>
      </c>
    </row>
    <row r="255" spans="1:6" ht="20.25" thickBot="1" x14ac:dyDescent="0.3">
      <c r="A255" s="76" t="s">
        <v>195</v>
      </c>
    </row>
    <row r="256" spans="1:6" ht="20.25" thickBot="1" x14ac:dyDescent="0.3">
      <c r="A256" s="250" t="s">
        <v>196</v>
      </c>
      <c r="B256" s="252"/>
      <c r="C256" s="58" t="s">
        <v>197</v>
      </c>
    </row>
    <row r="257" spans="1:3" ht="20.25" thickBot="1" x14ac:dyDescent="0.3">
      <c r="A257" s="250" t="s">
        <v>198</v>
      </c>
      <c r="B257" s="252"/>
      <c r="C257" s="92">
        <f>D241</f>
        <v>869896.8</v>
      </c>
    </row>
    <row r="258" spans="1:3" ht="20.25" thickBot="1" x14ac:dyDescent="0.3">
      <c r="A258" s="250" t="s">
        <v>199</v>
      </c>
      <c r="B258" s="251"/>
      <c r="C258" s="252"/>
    </row>
    <row r="259" spans="1:3" ht="20.25" thickBot="1" x14ac:dyDescent="0.3">
      <c r="A259" s="255" t="str">
        <f>"- затраты на вспомогательные материалы"</f>
        <v>- затраты на вспомогательные материалы</v>
      </c>
      <c r="B259" s="257"/>
      <c r="C259" s="93">
        <f>D242</f>
        <v>31981.5</v>
      </c>
    </row>
    <row r="260" spans="1:3" ht="20.25" thickBot="1" x14ac:dyDescent="0.3">
      <c r="A260" s="260" t="str">
        <f>"- затраты на электроэнергию"</f>
        <v>- затраты на электроэнергию</v>
      </c>
      <c r="B260" s="258"/>
      <c r="C260" s="93">
        <f>F244</f>
        <v>3764962.17</v>
      </c>
    </row>
    <row r="261" spans="1:3" ht="20.25" thickBot="1" x14ac:dyDescent="0.3">
      <c r="A261" s="241" t="str">
        <f>"- затраты на воду и сжатый воздух"</f>
        <v>- затраты на воду и сжатый воздух</v>
      </c>
      <c r="B261" s="261"/>
      <c r="C261" s="93">
        <f>D248</f>
        <v>1446615.18</v>
      </c>
    </row>
    <row r="262" spans="1:3" ht="20.25" thickBot="1" x14ac:dyDescent="0.3">
      <c r="A262" s="241" t="str">
        <f>"- заработная плата рабочих, обслуживающих оборудование, с отчислениями"</f>
        <v>- заработная плата рабочих, обслуживающих оборудование, с отчислениями</v>
      </c>
      <c r="B262" s="261"/>
      <c r="C262" s="93">
        <f>D249</f>
        <v>3092701.87</v>
      </c>
    </row>
    <row r="263" spans="1:3" ht="20.25" thickBot="1" x14ac:dyDescent="0.3">
      <c r="A263" s="241" t="s">
        <v>200</v>
      </c>
      <c r="B263" s="261"/>
      <c r="C263" s="93">
        <f>D253</f>
        <v>2413840.9700000002</v>
      </c>
    </row>
    <row r="264" spans="1:3" ht="20.25" thickBot="1" x14ac:dyDescent="0.3">
      <c r="A264" s="241" t="s">
        <v>201</v>
      </c>
      <c r="B264" s="261"/>
      <c r="C264" s="93">
        <f>D250</f>
        <v>246916.5</v>
      </c>
    </row>
    <row r="265" spans="1:3" ht="20.25" thickBot="1" x14ac:dyDescent="0.3">
      <c r="A265" s="241" t="s">
        <v>25</v>
      </c>
      <c r="B265" s="261"/>
      <c r="C265" s="93">
        <f>SUM(C257,C259:C264)</f>
        <v>11866914.99</v>
      </c>
    </row>
    <row r="266" spans="1:3" ht="20.25" thickBot="1" x14ac:dyDescent="0.3">
      <c r="A266" s="241" t="s">
        <v>202</v>
      </c>
      <c r="B266" s="261"/>
      <c r="C266" s="93">
        <f>D277</f>
        <v>43.11</v>
      </c>
    </row>
    <row r="267" spans="1:3" ht="20.25" thickBot="1" x14ac:dyDescent="0.3">
      <c r="A267" s="241" t="s">
        <v>203</v>
      </c>
      <c r="B267" s="261"/>
      <c r="C267" s="93">
        <f>B278</f>
        <v>5115827.05</v>
      </c>
    </row>
    <row r="268" spans="1:3" ht="20.25" thickBot="1" x14ac:dyDescent="0.3">
      <c r="A268" s="229" t="s">
        <v>204</v>
      </c>
      <c r="B268" s="262"/>
      <c r="C268" s="93">
        <f>B279</f>
        <v>18.600000000000001</v>
      </c>
    </row>
    <row r="270" spans="1:3" x14ac:dyDescent="0.25">
      <c r="A270" s="71" t="s">
        <v>205</v>
      </c>
    </row>
    <row r="271" spans="1:3" x14ac:dyDescent="0.25">
      <c r="A271" s="91" t="s">
        <v>206</v>
      </c>
      <c r="B271" s="122" t="s">
        <v>9</v>
      </c>
      <c r="C271" s="90" t="s">
        <v>207</v>
      </c>
    </row>
    <row r="272" spans="1:3" x14ac:dyDescent="0.25">
      <c r="A272" s="91" t="s">
        <v>208</v>
      </c>
      <c r="B272" s="122">
        <v>6</v>
      </c>
      <c r="C272" s="90">
        <v>0.85</v>
      </c>
    </row>
    <row r="273" spans="1:5" x14ac:dyDescent="0.25">
      <c r="A273" s="91" t="s">
        <v>209</v>
      </c>
      <c r="B273" s="122">
        <v>4</v>
      </c>
      <c r="C273" s="90">
        <v>6</v>
      </c>
    </row>
    <row r="274" spans="1:5" x14ac:dyDescent="0.25">
      <c r="A274" s="91" t="s">
        <v>210</v>
      </c>
      <c r="B274" s="122">
        <v>1</v>
      </c>
      <c r="C274" s="90">
        <v>9</v>
      </c>
    </row>
    <row r="275" spans="1:5" x14ac:dyDescent="0.25">
      <c r="A275" s="91" t="s">
        <v>211</v>
      </c>
      <c r="B275" s="122">
        <v>1</v>
      </c>
      <c r="C275" s="90">
        <v>51.1</v>
      </c>
    </row>
    <row r="277" spans="1:5" x14ac:dyDescent="0.25">
      <c r="A277" s="227" t="str">
        <f>"Кзагр = (("&amp;D2&amp;" * "&amp;G2&amp;") +( "&amp;D3&amp;" * "&amp;G3&amp;") +( "&amp;D4&amp;" * "&amp;G4&amp;") +( "&amp;D5&amp;" * "&amp;G5&amp;") +( "&amp;D6&amp;" * "&amp;G6&amp;") +( "&amp;D7&amp;" * "&amp;G7&amp;")) / "&amp;C35&amp;" ="</f>
        <v>Кзагр = ((3 * 49) +( 3 * 32) +( 2 * 45) +( 5 * 54) +( 4 * 30) +( 2 * 48)) / 19 =</v>
      </c>
      <c r="B277" s="227"/>
      <c r="C277" s="227"/>
      <c r="D277" s="52">
        <f>ROUND(G15/C35,2)</f>
        <v>43.11</v>
      </c>
    </row>
    <row r="278" spans="1:5" ht="20.25" thickBot="1" x14ac:dyDescent="0.3">
      <c r="A278" s="71" t="str">
        <f>C265&amp;" * "&amp;D277&amp;" ="</f>
        <v>11866914,99 * 43,11 =</v>
      </c>
      <c r="B278" s="81">
        <f>ROUND(C265*(D277/100),2)</f>
        <v>5115827.05</v>
      </c>
    </row>
    <row r="279" spans="1:5" ht="20.25" thickBot="1" x14ac:dyDescent="0.3">
      <c r="A279" s="71" t="str">
        <f>B278&amp;" / "&amp;F37&amp;" ="</f>
        <v>5115827,05 / 275000 =</v>
      </c>
      <c r="B279" s="113">
        <f>ROUND(B278/F37,2)</f>
        <v>18.600000000000001</v>
      </c>
      <c r="C279" s="94" t="s">
        <v>189</v>
      </c>
    </row>
    <row r="280" spans="1:5" x14ac:dyDescent="0.25">
      <c r="A280" s="227" t="str">
        <f>"Величина заработной платы РСС (мастер) и вспомогательных рабочих (контролер, раздатчик инструмента, уборщик) = "&amp;K193&amp;" + "&amp;K190&amp;" + "&amp;K185&amp;" + "&amp;K186&amp;" ="</f>
        <v>Величина заработной платы РСС (мастер) и вспомогательных рабочих (контролер, раздатчик инструмента, уборщик) = 2040192 + 212473,93 + 892370,4 + 350158,97 =</v>
      </c>
      <c r="B280" s="227"/>
      <c r="C280" s="227"/>
      <c r="D280" s="87">
        <f>ROUND(K193+K190+K185+K186,2)</f>
        <v>3495195.3</v>
      </c>
      <c r="E280" s="81"/>
    </row>
    <row r="281" spans="1:5" x14ac:dyDescent="0.25">
      <c r="A281" s="227" t="str">
        <f>"Отчисления с заработной платы РСС и вспомогательных рабочих = "&amp;D280&amp;" * 30% ="</f>
        <v>Отчисления с заработной платы РСС и вспомогательных рабочих = 3495195,3 * 30% =</v>
      </c>
      <c r="B281" s="227"/>
      <c r="C281" s="227"/>
      <c r="D281" s="89">
        <f>ROUND(D280*30%,2)</f>
        <v>1048558.59</v>
      </c>
    </row>
    <row r="282" spans="1:5" x14ac:dyDescent="0.25">
      <c r="A282" s="227" t="str">
        <f>"Расходы по амортизации зданий = "&amp;C216&amp;" * 1,2% ="</f>
        <v>Расходы по амортизации зданий = 83062500 * 1,2% =</v>
      </c>
      <c r="B282" s="227"/>
      <c r="C282" s="227"/>
      <c r="D282" s="87">
        <f>ROUND(C216*1.2%,2)</f>
        <v>996750</v>
      </c>
    </row>
    <row r="283" spans="1:5" x14ac:dyDescent="0.25">
      <c r="A283" s="227" t="str">
        <f>"Затраты на освещение = 15 * "&amp;C215&amp;" * 2400 + 2600 * 10% * "&amp;C215&amp;") * 5,92 / 1000 ="</f>
        <v>Затраты на освещение = 15 * 415,3125 * 2400 + 2600 * 10% * 415,3125) * 5,92 / 1000 =</v>
      </c>
      <c r="B283" s="227"/>
      <c r="C283" s="227"/>
      <c r="D283" s="87">
        <f>ROUND((15*C215*2400+2600*10%*C215)*(5.92/1000),2)</f>
        <v>89150.65</v>
      </c>
    </row>
    <row r="284" spans="1:5" x14ac:dyDescent="0.25">
      <c r="A284" s="227" t="str">
        <f>"Qоз = 0,5 * ("&amp;C215&amp;" * 10) * (15-(-21)) ="</f>
        <v>Qоз = 0,5 * (415,3125 * 10) * (15-(-21)) =</v>
      </c>
      <c r="B284" s="227"/>
      <c r="C284" s="227"/>
      <c r="D284" s="87">
        <f>ROUND(0.5*(C215*10)*(15-(-21)),1)</f>
        <v>74756.3</v>
      </c>
    </row>
    <row r="285" spans="1:5" x14ac:dyDescent="0.25">
      <c r="A285" s="227" t="str">
        <f>"Qвз = 0,30 * ("&amp;C215&amp;" * 10) * (15-(-12)) ="</f>
        <v>Qвз = 0,30 * (415,3125 * 10) * (15-(-12)) =</v>
      </c>
      <c r="B285" s="227"/>
      <c r="C285" s="227"/>
      <c r="D285" s="87">
        <f>ROUND(0.3*(C215*10)*(15-(-12)),2)</f>
        <v>33640.31</v>
      </c>
    </row>
    <row r="286" spans="1:5" x14ac:dyDescent="0.25">
      <c r="A286" s="227" t="str">
        <f>"Qобщ = "</f>
        <v xml:space="preserve">Qобщ = </v>
      </c>
      <c r="B286" s="227"/>
      <c r="C286" s="227"/>
      <c r="D286" s="87">
        <f>ROUND(D284+D285,2)</f>
        <v>108396.61</v>
      </c>
    </row>
    <row r="287" spans="1:5" x14ac:dyDescent="0.25">
      <c r="A287" s="227" t="str">
        <f>"Затраты на теплоснабжение = ("&amp;D286&amp;" * 5088 * 2684,36) / 1000000 ="</f>
        <v>Затраты на теплоснабжение = (108396,61 * 5088 * 2684,36) / 1000000 =</v>
      </c>
      <c r="B287" s="227"/>
      <c r="C287" s="227"/>
      <c r="D287" s="87">
        <f>ROUND((D286*5088*2684.36)/1000000,2)</f>
        <v>1480483.47</v>
      </c>
    </row>
    <row r="288" spans="1:5" x14ac:dyDescent="0.25">
      <c r="A288" s="227" t="str">
        <f>"Затраты на воду = (("&amp;C36&amp;" * 25 + "&amp;B53&amp;" * 40) * 250 * 45,88) / 1000 ="</f>
        <v>Затраты на воду = ((42 * 25 + 58,65 * 40) * 250 * 45,88) / 1000 =</v>
      </c>
      <c r="B288" s="227"/>
      <c r="C288" s="227"/>
      <c r="D288" s="87">
        <f>ROUND(((C36*25+B53*40)*250*45.88)/1000,2)</f>
        <v>38952.120000000003</v>
      </c>
    </row>
    <row r="289" spans="1:4" x14ac:dyDescent="0.25">
      <c r="A289" s="227" t="str">
        <f>"Звсп. мат. = 3% * "&amp;C216&amp;" ="</f>
        <v>Звсп. мат. = 3% * 83062500 =</v>
      </c>
      <c r="B289" s="227"/>
      <c r="C289" s="227"/>
      <c r="D289" s="87">
        <f>ROUND(C216*3%,2)</f>
        <v>2491875</v>
      </c>
    </row>
    <row r="290" spans="1:4" x14ac:dyDescent="0.25">
      <c r="A290" s="227" t="str">
        <f>"Зинв. = 1% * ("&amp;C216&amp;" + "&amp;D226&amp;") ="</f>
        <v>Зинв. = 1% * (83062500 + 4472940) =</v>
      </c>
      <c r="B290" s="227"/>
      <c r="C290" s="227"/>
      <c r="D290" s="87">
        <f>ROUND(1%*(C216+D226),2)</f>
        <v>875354.4</v>
      </c>
    </row>
    <row r="291" spans="1:4" x14ac:dyDescent="0.25">
      <c r="A291" s="227" t="str">
        <f>"Расходы по содержанию зданий и т.д. = "&amp;D283&amp;" + "&amp;D287&amp;" + "&amp;D288&amp;" + "&amp;D289&amp;" + "&amp;D290&amp;" ="</f>
        <v>Расходы по содержанию зданий и т.д. = 89150,65 + 1480483,47 + 38952,12 + 2491875 + 875354,4 =</v>
      </c>
      <c r="B291" s="227"/>
      <c r="C291" s="227"/>
      <c r="D291" s="87">
        <f>ROUND(SUM(D283,D287:D290),2)</f>
        <v>4975815.6399999997</v>
      </c>
    </row>
    <row r="292" spans="1:4" x14ac:dyDescent="0.25">
      <c r="A292" s="244" t="str">
        <f>"Зтек.рем = Звсп. Мат ="</f>
        <v>Зтек.рем = Звсп. Мат =</v>
      </c>
      <c r="B292" s="244"/>
      <c r="C292" s="244"/>
      <c r="D292" s="87">
        <f>D289</f>
        <v>2491875</v>
      </c>
    </row>
    <row r="293" spans="1:4" x14ac:dyDescent="0.25">
      <c r="A293" s="227" t="str">
        <f>"Зисп. = 3500 * "&amp;B53&amp;" ="</f>
        <v>Зисп. = 3500 * 58,65 =</v>
      </c>
      <c r="B293" s="227"/>
      <c r="C293" s="227"/>
      <c r="D293" s="52">
        <f>ROUND(3500*B53,2)</f>
        <v>205275</v>
      </c>
    </row>
    <row r="294" spans="1:4" x14ac:dyDescent="0.25">
      <c r="A294" s="227" t="str">
        <f>"Зохр.тр. = 3190 * "&amp;B53&amp;"="</f>
        <v>Зохр.тр. = 3190 * 58,65=</v>
      </c>
      <c r="B294" s="227"/>
      <c r="C294" s="227"/>
      <c r="D294" s="76">
        <f>ROUND(3190*B53,2)</f>
        <v>187093.5</v>
      </c>
    </row>
    <row r="295" spans="1:4" x14ac:dyDescent="0.25">
      <c r="A295" s="227" t="str">
        <f>"Прочие цеховые расходы = 2% * "&amp;I183&amp;" ="</f>
        <v>Прочие цеховые расходы = 2% * 9601350 =</v>
      </c>
      <c r="B295" s="227"/>
      <c r="C295" s="227"/>
      <c r="D295" s="76">
        <f>ROUND(2%*I183,2)</f>
        <v>192027</v>
      </c>
    </row>
    <row r="297" spans="1:4" ht="20.25" thickBot="1" x14ac:dyDescent="0.3">
      <c r="A297" s="71" t="s">
        <v>212</v>
      </c>
    </row>
    <row r="298" spans="1:4" ht="20.25" thickBot="1" x14ac:dyDescent="0.3">
      <c r="A298" s="237" t="s">
        <v>196</v>
      </c>
      <c r="B298" s="238"/>
      <c r="C298" s="246"/>
      <c r="D298" s="77" t="s">
        <v>213</v>
      </c>
    </row>
    <row r="299" spans="1:4" x14ac:dyDescent="0.25">
      <c r="A299" s="239" t="s">
        <v>214</v>
      </c>
      <c r="B299" s="240"/>
      <c r="C299" s="245"/>
      <c r="D299" s="96">
        <f>D280</f>
        <v>3495195.3</v>
      </c>
    </row>
    <row r="300" spans="1:4" x14ac:dyDescent="0.25">
      <c r="A300" s="241" t="s">
        <v>215</v>
      </c>
      <c r="B300" s="224"/>
      <c r="C300" s="242"/>
      <c r="D300" s="96">
        <f>D281</f>
        <v>1048558.59</v>
      </c>
    </row>
    <row r="301" spans="1:4" x14ac:dyDescent="0.25">
      <c r="A301" s="241" t="s">
        <v>216</v>
      </c>
      <c r="B301" s="224"/>
      <c r="C301" s="242"/>
      <c r="D301" s="96">
        <f>D282</f>
        <v>996750</v>
      </c>
    </row>
    <row r="302" spans="1:4" x14ac:dyDescent="0.25">
      <c r="A302" s="241" t="s">
        <v>217</v>
      </c>
      <c r="B302" s="224"/>
      <c r="C302" s="242"/>
      <c r="D302" s="97">
        <f>D291</f>
        <v>4975815.6399999997</v>
      </c>
    </row>
    <row r="303" spans="1:4" x14ac:dyDescent="0.25">
      <c r="A303" s="241" t="s">
        <v>218</v>
      </c>
      <c r="B303" s="224"/>
      <c r="C303" s="242"/>
      <c r="D303" s="97">
        <f>D292</f>
        <v>2491875</v>
      </c>
    </row>
    <row r="304" spans="1:4" x14ac:dyDescent="0.25">
      <c r="A304" s="241" t="s">
        <v>219</v>
      </c>
      <c r="B304" s="224"/>
      <c r="C304" s="242"/>
      <c r="D304" s="97">
        <f>D293</f>
        <v>205275</v>
      </c>
    </row>
    <row r="305" spans="1:9" x14ac:dyDescent="0.25">
      <c r="A305" s="241" t="s">
        <v>220</v>
      </c>
      <c r="B305" s="224"/>
      <c r="C305" s="242"/>
      <c r="D305" s="97">
        <f t="shared" ref="D305:D306" si="42">D294</f>
        <v>187093.5</v>
      </c>
    </row>
    <row r="306" spans="1:9" x14ac:dyDescent="0.25">
      <c r="A306" s="241" t="s">
        <v>221</v>
      </c>
      <c r="B306" s="224"/>
      <c r="C306" s="242"/>
      <c r="D306" s="97">
        <f t="shared" si="42"/>
        <v>192027</v>
      </c>
    </row>
    <row r="307" spans="1:9" x14ac:dyDescent="0.25">
      <c r="A307" s="241" t="s">
        <v>222</v>
      </c>
      <c r="B307" s="224"/>
      <c r="C307" s="242"/>
      <c r="D307" s="95">
        <f>SUM(D299:D306)</f>
        <v>13592590.029999999</v>
      </c>
    </row>
    <row r="308" spans="1:9" x14ac:dyDescent="0.25">
      <c r="A308" s="241" t="s">
        <v>223</v>
      </c>
      <c r="B308" s="224"/>
      <c r="C308" s="242"/>
      <c r="D308" s="78">
        <f>D277</f>
        <v>43.11</v>
      </c>
    </row>
    <row r="309" spans="1:9" x14ac:dyDescent="0.25">
      <c r="A309" s="241" t="s">
        <v>224</v>
      </c>
      <c r="B309" s="224"/>
      <c r="C309" s="242"/>
      <c r="D309" s="95">
        <f>D307*(D308/100)</f>
        <v>5859765.5619329996</v>
      </c>
    </row>
    <row r="310" spans="1:9" ht="20.25" thickBot="1" x14ac:dyDescent="0.3">
      <c r="A310" s="229" t="s">
        <v>204</v>
      </c>
      <c r="B310" s="230"/>
      <c r="C310" s="243"/>
      <c r="D310" s="95">
        <f>D309/F37</f>
        <v>21.308238407029091</v>
      </c>
    </row>
    <row r="312" spans="1:9" x14ac:dyDescent="0.25">
      <c r="A312" s="71" t="s">
        <v>225</v>
      </c>
    </row>
    <row r="313" spans="1:9" x14ac:dyDescent="0.25">
      <c r="A313" s="244" t="str">
        <f>"Сумма общезаводских расходов = "&amp;IF(F37&gt;100000,200%,400%)&amp;" * "&amp;I183&amp;" ="</f>
        <v>Сумма общезаводских расходов = 2 * 9601350 =</v>
      </c>
      <c r="B313" s="244"/>
      <c r="C313" s="244"/>
      <c r="D313" s="46">
        <f>ROUND(IF(F37&gt;100000,200%,400%)*I183,2)</f>
        <v>19202700</v>
      </c>
      <c r="E313" s="57"/>
      <c r="H313" s="46"/>
      <c r="I313" s="57"/>
    </row>
    <row r="314" spans="1:9" x14ac:dyDescent="0.25">
      <c r="A314" s="227" t="str">
        <f>"На единицу продукции = "&amp;D313&amp;" / "&amp;F37&amp;" ="</f>
        <v>На единицу продукции = 19202700 / 275000 =</v>
      </c>
      <c r="B314" s="227"/>
      <c r="C314" s="227"/>
      <c r="D314" s="81">
        <f>D313/F37</f>
        <v>69.828000000000003</v>
      </c>
    </row>
    <row r="315" spans="1:9" x14ac:dyDescent="0.25">
      <c r="A315" s="227" t="str">
        <f>"Прочие производственные расходы = 10% * "&amp;I183&amp;" ="</f>
        <v>Прочие производственные расходы = 10% * 9601350 =</v>
      </c>
      <c r="B315" s="227"/>
      <c r="C315" s="227"/>
      <c r="D315" s="52">
        <f>10%*I183</f>
        <v>960135</v>
      </c>
    </row>
    <row r="316" spans="1:9" x14ac:dyDescent="0.25">
      <c r="A316" s="227" t="str">
        <f>"На единицу продукции = "&amp;D315&amp;" / "&amp;F37&amp;" ="</f>
        <v>На единицу продукции = 960135 / 275000 =</v>
      </c>
      <c r="B316" s="227"/>
      <c r="C316" s="227"/>
      <c r="D316" s="81">
        <f>D315/F37</f>
        <v>3.4914000000000001</v>
      </c>
    </row>
    <row r="318" spans="1:9" ht="20.25" thickBot="1" x14ac:dyDescent="0.3">
      <c r="A318" s="101" t="s">
        <v>226</v>
      </c>
      <c r="C318" s="100"/>
      <c r="D318" s="101"/>
      <c r="E318" s="101"/>
      <c r="F318" s="100"/>
    </row>
    <row r="319" spans="1:9" ht="20.25" thickBot="1" x14ac:dyDescent="0.3">
      <c r="A319" s="237" t="s">
        <v>196</v>
      </c>
      <c r="B319" s="238"/>
      <c r="C319" s="238"/>
      <c r="D319" s="103" t="s">
        <v>227</v>
      </c>
      <c r="E319" s="103" t="s">
        <v>228</v>
      </c>
      <c r="F319" s="106" t="s">
        <v>229</v>
      </c>
    </row>
    <row r="320" spans="1:9" x14ac:dyDescent="0.25">
      <c r="A320" s="239" t="s">
        <v>230</v>
      </c>
      <c r="B320" s="240"/>
      <c r="C320" s="240"/>
      <c r="D320" s="109">
        <f>E320*F$37</f>
        <v>97592000</v>
      </c>
      <c r="E320" s="102">
        <f>C237</f>
        <v>354.88</v>
      </c>
      <c r="F320" s="107">
        <f>ROUND((E320/E$331)*100,0)</f>
        <v>64</v>
      </c>
    </row>
    <row r="321" spans="1:6" x14ac:dyDescent="0.25">
      <c r="A321" s="241" t="s">
        <v>231</v>
      </c>
      <c r="B321" s="224"/>
      <c r="C321" s="224"/>
      <c r="D321" s="109">
        <f>I183</f>
        <v>9601350</v>
      </c>
      <c r="E321" s="102">
        <f>D239</f>
        <v>34.909999999999997</v>
      </c>
      <c r="F321" s="107">
        <f t="shared" ref="F321:F331" si="43">ROUND((E321/E$331)*100,0)</f>
        <v>6</v>
      </c>
    </row>
    <row r="322" spans="1:6" x14ac:dyDescent="0.25">
      <c r="A322" s="241" t="s">
        <v>232</v>
      </c>
      <c r="B322" s="224"/>
      <c r="C322" s="224"/>
      <c r="D322" s="109">
        <f>J183</f>
        <v>1920270</v>
      </c>
      <c r="E322" s="102">
        <f>D240</f>
        <v>6.98</v>
      </c>
      <c r="F322" s="107">
        <f t="shared" si="43"/>
        <v>1</v>
      </c>
    </row>
    <row r="323" spans="1:6" x14ac:dyDescent="0.25">
      <c r="A323" s="241" t="s">
        <v>233</v>
      </c>
      <c r="B323" s="224"/>
      <c r="C323" s="224"/>
      <c r="D323" s="111">
        <f>D238</f>
        <v>3456486</v>
      </c>
      <c r="E323" s="98">
        <f>ROUND(D323/F37,2)</f>
        <v>12.57</v>
      </c>
      <c r="F323" s="107">
        <f t="shared" si="43"/>
        <v>2</v>
      </c>
    </row>
    <row r="324" spans="1:6" x14ac:dyDescent="0.25">
      <c r="A324" s="241" t="s">
        <v>234</v>
      </c>
      <c r="B324" s="224"/>
      <c r="C324" s="224"/>
      <c r="D324" s="111">
        <f>C267</f>
        <v>5115827.05</v>
      </c>
      <c r="E324" s="111">
        <f>C268</f>
        <v>18.600000000000001</v>
      </c>
      <c r="F324" s="107">
        <f t="shared" si="43"/>
        <v>3</v>
      </c>
    </row>
    <row r="325" spans="1:6" ht="20.25" thickBot="1" x14ac:dyDescent="0.3">
      <c r="A325" s="229" t="s">
        <v>235</v>
      </c>
      <c r="B325" s="230"/>
      <c r="C325" s="230"/>
      <c r="D325" s="110">
        <f>D309</f>
        <v>5859765.5619329996</v>
      </c>
      <c r="E325" s="110">
        <f>D310</f>
        <v>21.308238407029091</v>
      </c>
      <c r="F325" s="107">
        <f t="shared" si="43"/>
        <v>4</v>
      </c>
    </row>
    <row r="326" spans="1:6" ht="20.25" thickBot="1" x14ac:dyDescent="0.3">
      <c r="A326" s="231" t="s">
        <v>236</v>
      </c>
      <c r="B326" s="232"/>
      <c r="C326" s="232"/>
      <c r="D326" s="112">
        <f>SUM(D320:D325)</f>
        <v>123545698.61193299</v>
      </c>
      <c r="E326" s="108">
        <f>ROUND(SUM(E320:E325),2)</f>
        <v>449.25</v>
      </c>
      <c r="F326" s="107">
        <f t="shared" si="43"/>
        <v>81</v>
      </c>
    </row>
    <row r="327" spans="1:6" x14ac:dyDescent="0.25">
      <c r="A327" s="239" t="s">
        <v>237</v>
      </c>
      <c r="B327" s="240"/>
      <c r="C327" s="240"/>
      <c r="D327" s="102">
        <f>D313</f>
        <v>19202700</v>
      </c>
      <c r="E327" s="109">
        <f>D314</f>
        <v>69.828000000000003</v>
      </c>
      <c r="F327" s="107">
        <f t="shared" si="43"/>
        <v>13</v>
      </c>
    </row>
    <row r="328" spans="1:6" ht="20.25" thickBot="1" x14ac:dyDescent="0.3">
      <c r="A328" s="229" t="s">
        <v>238</v>
      </c>
      <c r="B328" s="230"/>
      <c r="C328" s="230"/>
      <c r="D328" s="99">
        <f>D315</f>
        <v>960135</v>
      </c>
      <c r="E328" s="110">
        <f>D316</f>
        <v>3.4914000000000001</v>
      </c>
      <c r="F328" s="107">
        <f t="shared" si="43"/>
        <v>1</v>
      </c>
    </row>
    <row r="329" spans="1:6" ht="20.25" thickBot="1" x14ac:dyDescent="0.3">
      <c r="A329" s="231" t="s">
        <v>239</v>
      </c>
      <c r="B329" s="232"/>
      <c r="C329" s="232"/>
      <c r="D329" s="112">
        <f>SUM(D326:D328)</f>
        <v>143708533.61193299</v>
      </c>
      <c r="E329" s="112">
        <f>SUM(E326:E328)</f>
        <v>522.56939999999997</v>
      </c>
      <c r="F329" s="107">
        <f t="shared" si="43"/>
        <v>94</v>
      </c>
    </row>
    <row r="330" spans="1:6" ht="20.25" thickBot="1" x14ac:dyDescent="0.3">
      <c r="A330" s="233" t="s">
        <v>240</v>
      </c>
      <c r="B330" s="234"/>
      <c r="C330" s="234"/>
      <c r="D330" s="112">
        <f>D329*6%</f>
        <v>8622512.0167159792</v>
      </c>
      <c r="E330" s="112">
        <f>D330/275000</f>
        <v>31.354589151694469</v>
      </c>
      <c r="F330" s="107">
        <f t="shared" si="43"/>
        <v>6</v>
      </c>
    </row>
    <row r="331" spans="1:6" ht="20.25" thickBot="1" x14ac:dyDescent="0.3">
      <c r="A331" s="231" t="s">
        <v>241</v>
      </c>
      <c r="B331" s="232"/>
      <c r="C331" s="232"/>
      <c r="D331" s="112">
        <f>SUM(D329:D330)</f>
        <v>152331045.62864897</v>
      </c>
      <c r="E331" s="112">
        <f>SUM(E329:E330)</f>
        <v>553.9239891516944</v>
      </c>
      <c r="F331" s="107">
        <f t="shared" si="43"/>
        <v>100</v>
      </c>
    </row>
    <row r="334" spans="1:6" x14ac:dyDescent="0.25">
      <c r="A334" s="227" t="s">
        <v>242</v>
      </c>
      <c r="B334" s="227"/>
      <c r="C334" s="227"/>
    </row>
    <row r="335" spans="1:6" x14ac:dyDescent="0.25">
      <c r="A335" s="227" t="str">
        <f>"Оптовая себестоимость = "&amp;ROUND(E331,2)&amp;" + ("&amp;ROUND(D331,2)&amp;" * 50) ="</f>
        <v>Оптовая себестоимость = 553,92 + (152331045,63 * 50) =</v>
      </c>
      <c r="B335" s="227"/>
      <c r="C335" s="75">
        <f>ROUND(E331*1.5,1)</f>
        <v>830.9</v>
      </c>
    </row>
    <row r="336" spans="1:6" x14ac:dyDescent="0.25">
      <c r="A336" s="71" t="s">
        <v>243</v>
      </c>
      <c r="B336" s="81">
        <f>C335+20%*C335</f>
        <v>997.07999999999993</v>
      </c>
    </row>
    <row r="337" spans="1:9" x14ac:dyDescent="0.25">
      <c r="A337" s="227" t="s">
        <v>244</v>
      </c>
      <c r="B337" s="227"/>
      <c r="C337" s="57" t="s">
        <v>422</v>
      </c>
    </row>
    <row r="338" spans="1:9" x14ac:dyDescent="0.25">
      <c r="A338" s="145" t="s">
        <v>245</v>
      </c>
      <c r="B338" s="145" t="s">
        <v>246</v>
      </c>
      <c r="C338" s="146" t="s">
        <v>9</v>
      </c>
    </row>
    <row r="339" spans="1:9" x14ac:dyDescent="0.25">
      <c r="A339" s="145" t="s">
        <v>247</v>
      </c>
      <c r="B339" s="145" t="s">
        <v>248</v>
      </c>
      <c r="C339" s="127">
        <f>F37</f>
        <v>275000</v>
      </c>
    </row>
    <row r="340" spans="1:9" x14ac:dyDescent="0.25">
      <c r="A340" s="145" t="s">
        <v>249</v>
      </c>
      <c r="B340" s="145" t="s">
        <v>265</v>
      </c>
      <c r="C340" s="146">
        <f>B336</f>
        <v>997.07999999999993</v>
      </c>
    </row>
    <row r="341" spans="1:9" x14ac:dyDescent="0.25">
      <c r="A341" s="145" t="s">
        <v>250</v>
      </c>
      <c r="B341" s="145" t="s">
        <v>265</v>
      </c>
      <c r="C341" s="146" t="s">
        <v>268</v>
      </c>
    </row>
    <row r="342" spans="1:9" x14ac:dyDescent="0.25">
      <c r="A342" s="145" t="s">
        <v>251</v>
      </c>
      <c r="B342" s="145" t="s">
        <v>265</v>
      </c>
      <c r="C342" s="146">
        <f>E320</f>
        <v>354.88</v>
      </c>
    </row>
    <row r="343" spans="1:9" x14ac:dyDescent="0.25">
      <c r="A343" s="145" t="s">
        <v>252</v>
      </c>
      <c r="B343" s="145" t="s">
        <v>265</v>
      </c>
      <c r="C343" s="146">
        <f>ROUND(C260/F37,2)</f>
        <v>13.69</v>
      </c>
      <c r="D343" s="235" t="str">
        <f>"= "&amp;C260&amp;"/"&amp;F37&amp;" = затраты на электроэнергию * ГПП"</f>
        <v>= 3764962,17/275000 = затраты на электроэнергию * ГПП</v>
      </c>
      <c r="E343" s="227"/>
    </row>
    <row r="344" spans="1:9" x14ac:dyDescent="0.25">
      <c r="A344" s="145" t="s">
        <v>253</v>
      </c>
      <c r="B344" s="145" t="s">
        <v>265</v>
      </c>
      <c r="C344" s="146" t="s">
        <v>268</v>
      </c>
    </row>
    <row r="345" spans="1:9" x14ac:dyDescent="0.25">
      <c r="A345" s="145" t="s">
        <v>340</v>
      </c>
      <c r="B345" s="145" t="s">
        <v>265</v>
      </c>
      <c r="C345" s="146">
        <f>SUM(E321:E323)</f>
        <v>54.46</v>
      </c>
      <c r="D345" s="235" t="str">
        <f>"= "&amp;E321&amp;"+"&amp;E322&amp;"+"&amp;E323&amp;" = "&amp;A321&amp;"+"&amp;A322&amp;"+"&amp;A323</f>
        <v>= 34,91+6,98+12,57 = Основная заработная плата производственных рабочих+Дополнительная заработная плата производственных рабочих+Отчисления с ЗП ОПР</v>
      </c>
      <c r="E345" s="236"/>
      <c r="F345" s="236"/>
      <c r="G345" s="236"/>
    </row>
    <row r="346" spans="1:9" s="121" customFormat="1" x14ac:dyDescent="0.25">
      <c r="A346" s="145" t="s">
        <v>254</v>
      </c>
      <c r="B346" s="145" t="s">
        <v>265</v>
      </c>
      <c r="C346" s="127">
        <f>C267</f>
        <v>5115827.05</v>
      </c>
      <c r="D346" s="113"/>
      <c r="E346" s="113"/>
      <c r="I346" s="113"/>
    </row>
    <row r="347" spans="1:9" x14ac:dyDescent="0.25">
      <c r="A347" s="145" t="s">
        <v>255</v>
      </c>
      <c r="B347" s="145" t="s">
        <v>265</v>
      </c>
      <c r="C347" s="127">
        <f>D309</f>
        <v>5859765.5619329996</v>
      </c>
    </row>
    <row r="348" spans="1:9" x14ac:dyDescent="0.25">
      <c r="A348" s="145" t="s">
        <v>237</v>
      </c>
      <c r="B348" s="145" t="s">
        <v>265</v>
      </c>
      <c r="C348" s="127">
        <f>D313</f>
        <v>19202700</v>
      </c>
    </row>
    <row r="349" spans="1:9" x14ac:dyDescent="0.25">
      <c r="A349" s="145" t="s">
        <v>256</v>
      </c>
      <c r="B349" s="145" t="s">
        <v>265</v>
      </c>
      <c r="C349" s="127">
        <f>D330</f>
        <v>8622512.0167159792</v>
      </c>
    </row>
    <row r="350" spans="1:9" x14ac:dyDescent="0.25">
      <c r="A350" s="145" t="s">
        <v>257</v>
      </c>
      <c r="B350" s="145" t="s">
        <v>266</v>
      </c>
      <c r="C350" s="127">
        <f>C216</f>
        <v>83062500</v>
      </c>
    </row>
    <row r="351" spans="1:9" x14ac:dyDescent="0.25">
      <c r="A351" s="145" t="s">
        <v>258</v>
      </c>
      <c r="B351" s="145" t="s">
        <v>266</v>
      </c>
      <c r="C351" s="127">
        <f>D225+D226</f>
        <v>4536903</v>
      </c>
      <c r="D351" s="263" t="str">
        <f>" = "&amp;D225&amp;" + "&amp;D226&amp;" = "&amp;A232&amp;" + "&amp;A233</f>
        <v xml:space="preserve"> = 63963 + 4472940 = Стоимость дорогостоящего и долгослужащего инструмента + Стоимость производственного и хозяйственного инвентаря</v>
      </c>
      <c r="E351" s="264"/>
      <c r="F351" s="264"/>
      <c r="G351" s="264"/>
    </row>
    <row r="352" spans="1:9" x14ac:dyDescent="0.25">
      <c r="A352" s="145" t="s">
        <v>259</v>
      </c>
      <c r="B352" s="145" t="s">
        <v>266</v>
      </c>
      <c r="C352" s="146" t="s">
        <v>268</v>
      </c>
    </row>
    <row r="353" spans="1:4" x14ac:dyDescent="0.25">
      <c r="A353" s="145" t="s">
        <v>260</v>
      </c>
      <c r="B353" s="145" t="s">
        <v>266</v>
      </c>
      <c r="C353" s="127">
        <f>C216</f>
        <v>83062500</v>
      </c>
    </row>
    <row r="354" spans="1:4" x14ac:dyDescent="0.25">
      <c r="A354" s="145" t="s">
        <v>261</v>
      </c>
      <c r="B354" s="145" t="s">
        <v>267</v>
      </c>
      <c r="C354" s="207">
        <v>0.3</v>
      </c>
    </row>
    <row r="355" spans="1:4" x14ac:dyDescent="0.25">
      <c r="A355" s="145" t="s">
        <v>262</v>
      </c>
      <c r="B355" s="145" t="s">
        <v>267</v>
      </c>
      <c r="C355" s="207">
        <v>0.19</v>
      </c>
    </row>
    <row r="356" spans="1:4" x14ac:dyDescent="0.25">
      <c r="A356" s="145" t="s">
        <v>263</v>
      </c>
      <c r="B356" s="145"/>
      <c r="C356" s="146">
        <v>3</v>
      </c>
    </row>
    <row r="357" spans="1:4" x14ac:dyDescent="0.25">
      <c r="A357" s="145" t="s">
        <v>264</v>
      </c>
      <c r="B357" s="145"/>
      <c r="C357" s="146" t="s">
        <v>269</v>
      </c>
    </row>
    <row r="361" spans="1:4" x14ac:dyDescent="0.25">
      <c r="A361" s="71" t="s">
        <v>423</v>
      </c>
    </row>
    <row r="362" spans="1:4" x14ac:dyDescent="0.25">
      <c r="A362" s="224" t="s">
        <v>270</v>
      </c>
      <c r="B362" s="224" t="s">
        <v>271</v>
      </c>
      <c r="C362" s="228" t="s">
        <v>272</v>
      </c>
      <c r="D362" s="228"/>
    </row>
    <row r="363" spans="1:4" x14ac:dyDescent="0.25">
      <c r="A363" s="224"/>
      <c r="B363" s="224"/>
      <c r="C363" s="146">
        <v>0</v>
      </c>
      <c r="D363" s="145">
        <v>1</v>
      </c>
    </row>
    <row r="364" spans="1:4" x14ac:dyDescent="0.25">
      <c r="A364" s="145" t="s">
        <v>273</v>
      </c>
      <c r="B364" s="111">
        <f>C216</f>
        <v>83062500</v>
      </c>
      <c r="C364" s="127">
        <f t="shared" ref="C364" si="44">B$364+B$365</f>
        <v>87599403</v>
      </c>
      <c r="D364" s="111">
        <f t="shared" ref="D364" si="45">C$231</f>
        <v>6396300</v>
      </c>
    </row>
    <row r="365" spans="1:4" x14ac:dyDescent="0.25">
      <c r="A365" s="145" t="s">
        <v>276</v>
      </c>
      <c r="B365" s="111">
        <f>C232+C233</f>
        <v>4536903</v>
      </c>
      <c r="C365" s="127" t="s">
        <v>268</v>
      </c>
      <c r="D365" s="111">
        <v>0</v>
      </c>
    </row>
    <row r="366" spans="1:4" x14ac:dyDescent="0.25">
      <c r="A366" s="145" t="s">
        <v>274</v>
      </c>
      <c r="B366" s="111">
        <f>B368</f>
        <v>93995703</v>
      </c>
      <c r="C366" s="127" t="s">
        <v>268</v>
      </c>
      <c r="D366" s="111">
        <v>0</v>
      </c>
    </row>
    <row r="367" spans="1:4" x14ac:dyDescent="0.25">
      <c r="A367" s="145" t="s">
        <v>275</v>
      </c>
      <c r="B367" s="145" t="s">
        <v>268</v>
      </c>
      <c r="C367" s="127" t="s">
        <v>268</v>
      </c>
      <c r="D367" s="111">
        <v>0</v>
      </c>
    </row>
    <row r="368" spans="1:4" x14ac:dyDescent="0.25">
      <c r="A368" s="145" t="s">
        <v>277</v>
      </c>
      <c r="B368" s="111">
        <f>C234</f>
        <v>93995703</v>
      </c>
      <c r="C368" s="127">
        <f>SUM(C363:C367)</f>
        <v>87599403</v>
      </c>
      <c r="D368" s="111">
        <f>SUM(D363:D367)</f>
        <v>6396301</v>
      </c>
    </row>
    <row r="370" spans="1:5" x14ac:dyDescent="0.25">
      <c r="A370" s="71" t="s">
        <v>424</v>
      </c>
      <c r="B370" s="113">
        <v>19</v>
      </c>
    </row>
    <row r="371" spans="1:5" x14ac:dyDescent="0.25">
      <c r="A371" s="71" t="s">
        <v>425</v>
      </c>
      <c r="B371" s="113" t="str">
        <f>"ОПкр = ("&amp;C346&amp;"+"&amp;ROUND(C347,2)&amp;"+"&amp;C348&amp;")/("&amp;C335&amp;"-"&amp;ROUND(E331,2)&amp;") ="</f>
        <v>ОПкр = (5115827,05+5859765,56+19202700)/(830,9-553,92) =</v>
      </c>
      <c r="C371" s="57">
        <f>ROUND((C346+C347+C348)/(C335-E331),2)</f>
        <v>108956.34</v>
      </c>
      <c r="D371" s="52" t="s">
        <v>279</v>
      </c>
      <c r="E371" s="81">
        <f>SUM(C346:C348)</f>
        <v>30178292.611933</v>
      </c>
    </row>
    <row r="372" spans="1:5" ht="39" x14ac:dyDescent="0.25">
      <c r="A372" s="71" t="s">
        <v>426</v>
      </c>
      <c r="B372" s="113" t="str">
        <f>"Опн = ("&amp;ROUND(E371,2)&amp;"+("&amp;ROUND(D331,2)&amp;"*50%))/("&amp;ROUND(E372,2)&amp;"-"&amp;ROUND(E373,2)&amp;") ="</f>
        <v>Опн = (30178292,61+(152331045,63*50%))/(830,9-553,92) =</v>
      </c>
      <c r="C372" s="124">
        <f>ROUND((E371+(D331*50%))/(E372-E373),2)</f>
        <v>383945.94</v>
      </c>
      <c r="D372" s="52" t="s">
        <v>280</v>
      </c>
      <c r="E372" s="81">
        <f>C335</f>
        <v>830.9</v>
      </c>
    </row>
    <row r="373" spans="1:5" x14ac:dyDescent="0.25">
      <c r="B373" s="113">
        <v>45</v>
      </c>
      <c r="D373" s="52" t="s">
        <v>281</v>
      </c>
      <c r="E373" s="81">
        <f>E331</f>
        <v>553.9239891516944</v>
      </c>
    </row>
    <row r="374" spans="1:5" x14ac:dyDescent="0.25">
      <c r="A374" s="71" t="s">
        <v>427</v>
      </c>
      <c r="B374" s="113" t="str">
        <f>"ОПкр = ("&amp;ROUND(E371,2)&amp;" + ("&amp;C257&amp;" + "&amp;D301&amp;"))/("&amp;E372&amp;" - "&amp;ROUND(E373,2)&amp;") = "</f>
        <v xml:space="preserve">ОПкр = (30178292,61 + (869896,8 + 996750))/(830,9 - 553,92) = </v>
      </c>
      <c r="C374" s="57">
        <f>ROUND((E371+(C257+D301))/(E372-E373),2)</f>
        <v>115695.72</v>
      </c>
    </row>
    <row r="375" spans="1:5" x14ac:dyDescent="0.25">
      <c r="A375" s="71" t="s">
        <v>428</v>
      </c>
      <c r="B375" s="113" t="str">
        <f>"ОПкр = (1/("&amp;E372&amp;" - "&amp;ROUND(E373,2)&amp;")) * ("&amp;B366&amp;" + "&amp;ROUND(E371,2)&amp;") ="</f>
        <v>ОПкр = (1/(830,9 - 553,92)) * (93995703 + 30178292,61) =</v>
      </c>
      <c r="C375" s="57">
        <f>ROUND((1/(E372-E373))*(B366+E371),2)</f>
        <v>448320.4</v>
      </c>
    </row>
    <row r="377" spans="1:5" x14ac:dyDescent="0.25">
      <c r="C377" s="57" t="s">
        <v>282</v>
      </c>
    </row>
    <row r="378" spans="1:5" x14ac:dyDescent="0.25">
      <c r="C378" s="57" t="s">
        <v>283</v>
      </c>
    </row>
    <row r="379" spans="1:5" x14ac:dyDescent="0.25">
      <c r="C379" s="57" t="s">
        <v>282</v>
      </c>
    </row>
    <row r="380" spans="1:5" x14ac:dyDescent="0.25">
      <c r="C380" s="57" t="s">
        <v>283</v>
      </c>
    </row>
    <row r="392" spans="1:18" x14ac:dyDescent="0.25">
      <c r="A392" s="71" t="s">
        <v>289</v>
      </c>
    </row>
    <row r="393" spans="1:18" x14ac:dyDescent="0.25">
      <c r="A393" s="71" t="s">
        <v>284</v>
      </c>
    </row>
    <row r="394" spans="1:18" ht="19.5" customHeight="1" x14ac:dyDescent="0.25">
      <c r="A394" s="224"/>
      <c r="B394" s="228" t="s">
        <v>285</v>
      </c>
      <c r="C394" s="228"/>
      <c r="D394" s="228"/>
      <c r="E394" s="228"/>
      <c r="F394" s="228"/>
      <c r="G394" s="228"/>
      <c r="H394" s="228"/>
      <c r="I394" s="235" t="str">
        <f>"Фактический выпуск на 2 шаг = "&amp;D396&amp;"*"&amp;D397%&amp;" ="</f>
        <v>Фактический выпуск на 2 шаг = 275000*0,2 =</v>
      </c>
      <c r="J394" s="236"/>
      <c r="K394" s="57">
        <f>D$398</f>
        <v>55000</v>
      </c>
      <c r="O394" s="209"/>
      <c r="P394" s="86"/>
      <c r="Q394" s="235"/>
      <c r="R394" s="227"/>
    </row>
    <row r="395" spans="1:18" x14ac:dyDescent="0.25">
      <c r="A395" s="224"/>
      <c r="B395" s="145">
        <v>0</v>
      </c>
      <c r="C395" s="146">
        <v>1</v>
      </c>
      <c r="D395" s="146">
        <v>2</v>
      </c>
      <c r="E395" s="146">
        <v>3</v>
      </c>
      <c r="F395" s="146">
        <v>4</v>
      </c>
      <c r="G395" s="146">
        <v>5</v>
      </c>
      <c r="H395" s="146">
        <v>6</v>
      </c>
      <c r="I395" s="235" t="str">
        <f>"Фактический выпуск на 3 шаг = "&amp;E396&amp;"*"&amp;E397%&amp;" ="</f>
        <v>Фактический выпуск на 3 шаг = 275000*0,4 =</v>
      </c>
      <c r="J395" s="236"/>
      <c r="K395" s="147">
        <f>E$398</f>
        <v>110000</v>
      </c>
    </row>
    <row r="396" spans="1:18" x14ac:dyDescent="0.25">
      <c r="A396" s="145" t="s">
        <v>286</v>
      </c>
      <c r="B396" s="145" t="s">
        <v>268</v>
      </c>
      <c r="C396" s="146" t="s">
        <v>268</v>
      </c>
      <c r="D396" s="145">
        <v>275000</v>
      </c>
      <c r="E396" s="145">
        <v>275000</v>
      </c>
      <c r="F396" s="145">
        <v>275000</v>
      </c>
      <c r="G396" s="145">
        <v>275000</v>
      </c>
      <c r="H396" s="145">
        <v>275000</v>
      </c>
      <c r="I396" s="235" t="str">
        <f>"Фактический выпуск на 4 шаг = "&amp;F396&amp;"*"&amp;F397%&amp;" ="</f>
        <v>Фактический выпуск на 4 шаг = 275000*0,7 =</v>
      </c>
      <c r="J396" s="236"/>
      <c r="K396" s="147">
        <f>F$398</f>
        <v>192500</v>
      </c>
    </row>
    <row r="397" spans="1:18" x14ac:dyDescent="0.25">
      <c r="A397" s="145" t="s">
        <v>267</v>
      </c>
      <c r="B397" s="145" t="s">
        <v>268</v>
      </c>
      <c r="C397" s="146" t="s">
        <v>268</v>
      </c>
      <c r="D397" s="145">
        <v>20</v>
      </c>
      <c r="E397" s="145">
        <v>40</v>
      </c>
      <c r="F397" s="145">
        <v>70</v>
      </c>
      <c r="G397" s="146">
        <v>90</v>
      </c>
      <c r="H397" s="146">
        <v>100</v>
      </c>
      <c r="I397" s="235" t="str">
        <f>"Фактический выпуск на 5 шаг = "&amp;G396&amp;"*"&amp;G397%&amp;" ="</f>
        <v>Фактический выпуск на 5 шаг = 275000*0,9 =</v>
      </c>
      <c r="J397" s="236"/>
      <c r="K397" s="147">
        <f>G$398</f>
        <v>247500</v>
      </c>
    </row>
    <row r="398" spans="1:18" x14ac:dyDescent="0.25">
      <c r="A398" s="145" t="s">
        <v>287</v>
      </c>
      <c r="B398" s="145" t="s">
        <v>268</v>
      </c>
      <c r="C398" s="146" t="s">
        <v>268</v>
      </c>
      <c r="D398" s="145">
        <f>D396*D397%</f>
        <v>55000</v>
      </c>
      <c r="E398" s="145">
        <f t="shared" ref="E398:H398" si="46">E396*E397%</f>
        <v>110000</v>
      </c>
      <c r="F398" s="145">
        <f t="shared" si="46"/>
        <v>192500</v>
      </c>
      <c r="G398" s="145">
        <f t="shared" si="46"/>
        <v>247500</v>
      </c>
      <c r="H398" s="145">
        <f t="shared" si="46"/>
        <v>275000</v>
      </c>
      <c r="I398" s="235" t="str">
        <f>"Фактический выпуск на 6 шаг = "&amp;H396&amp;"*"&amp;H397%&amp;" ="</f>
        <v>Фактический выпуск на 6 шаг = 275000*1 =</v>
      </c>
      <c r="J398" s="236"/>
      <c r="K398" s="147">
        <f>H$398</f>
        <v>275000</v>
      </c>
    </row>
    <row r="399" spans="1:18" x14ac:dyDescent="0.25">
      <c r="D399" s="113"/>
    </row>
    <row r="403" spans="1:10" x14ac:dyDescent="0.25">
      <c r="A403" s="71" t="s">
        <v>288</v>
      </c>
    </row>
    <row r="404" spans="1:10" x14ac:dyDescent="0.25">
      <c r="A404" s="71" t="s">
        <v>290</v>
      </c>
    </row>
    <row r="405" spans="1:10" x14ac:dyDescent="0.25">
      <c r="A405" s="224" t="s">
        <v>291</v>
      </c>
      <c r="B405" s="224" t="s">
        <v>292</v>
      </c>
      <c r="C405" s="228" t="s">
        <v>293</v>
      </c>
      <c r="D405" s="224" t="s">
        <v>285</v>
      </c>
      <c r="E405" s="224"/>
      <c r="F405" s="224"/>
      <c r="G405" s="224"/>
      <c r="H405" s="224"/>
      <c r="I405" s="224"/>
      <c r="J405" s="224"/>
    </row>
    <row r="406" spans="1:10" x14ac:dyDescent="0.25">
      <c r="A406" s="224"/>
      <c r="B406" s="224"/>
      <c r="C406" s="228"/>
      <c r="D406" s="123">
        <v>0</v>
      </c>
      <c r="E406" s="123">
        <v>1</v>
      </c>
      <c r="F406" s="90">
        <v>2</v>
      </c>
      <c r="G406" s="90">
        <v>3</v>
      </c>
      <c r="H406" s="90">
        <v>4</v>
      </c>
      <c r="I406" s="123">
        <v>5</v>
      </c>
      <c r="J406" s="90">
        <v>6</v>
      </c>
    </row>
    <row r="407" spans="1:10" x14ac:dyDescent="0.25">
      <c r="A407" s="123"/>
      <c r="B407" s="123" t="s">
        <v>294</v>
      </c>
      <c r="C407" s="90"/>
      <c r="D407" s="123"/>
      <c r="E407" s="123"/>
      <c r="F407" s="90"/>
      <c r="G407" s="90"/>
      <c r="H407" s="90"/>
      <c r="I407" s="123"/>
      <c r="J407" s="90"/>
    </row>
    <row r="408" spans="1:10" x14ac:dyDescent="0.25">
      <c r="A408" s="123">
        <v>2</v>
      </c>
      <c r="B408" s="123" t="s">
        <v>295</v>
      </c>
      <c r="C408" s="90" t="s">
        <v>318</v>
      </c>
      <c r="D408" s="123">
        <v>0</v>
      </c>
      <c r="E408" s="210">
        <v>0</v>
      </c>
      <c r="F408" s="90">
        <f>D398</f>
        <v>55000</v>
      </c>
      <c r="G408" s="90">
        <f t="shared" ref="G408:J408" si="47">E398</f>
        <v>110000</v>
      </c>
      <c r="H408" s="90">
        <f t="shared" si="47"/>
        <v>192500</v>
      </c>
      <c r="I408" s="90">
        <f t="shared" si="47"/>
        <v>247500</v>
      </c>
      <c r="J408" s="90">
        <f t="shared" si="47"/>
        <v>275000</v>
      </c>
    </row>
    <row r="409" spans="1:10" x14ac:dyDescent="0.25">
      <c r="A409" s="123">
        <v>3</v>
      </c>
      <c r="B409" s="123" t="s">
        <v>296</v>
      </c>
      <c r="C409" s="90" t="s">
        <v>320</v>
      </c>
      <c r="D409" s="210">
        <v>0</v>
      </c>
      <c r="E409" s="210">
        <v>0</v>
      </c>
      <c r="F409" s="127">
        <f>$B336</f>
        <v>997.07999999999993</v>
      </c>
      <c r="G409" s="127">
        <f>$B336</f>
        <v>997.07999999999993</v>
      </c>
      <c r="H409" s="127">
        <f>$B336</f>
        <v>997.07999999999993</v>
      </c>
      <c r="I409" s="127">
        <f>$B336</f>
        <v>997.07999999999993</v>
      </c>
      <c r="J409" s="127">
        <f>$B336</f>
        <v>997.07999999999993</v>
      </c>
    </row>
    <row r="410" spans="1:10" x14ac:dyDescent="0.25">
      <c r="A410" s="123">
        <v>4</v>
      </c>
      <c r="B410" s="123" t="s">
        <v>297</v>
      </c>
      <c r="C410" s="90" t="s">
        <v>321</v>
      </c>
      <c r="D410" s="210">
        <v>0</v>
      </c>
      <c r="E410" s="210">
        <v>0</v>
      </c>
      <c r="F410" s="127">
        <f>F408*F409</f>
        <v>54839399.999999993</v>
      </c>
      <c r="G410" s="127">
        <f t="shared" ref="G410:J410" si="48">G408*G409</f>
        <v>109678799.99999999</v>
      </c>
      <c r="H410" s="127">
        <f t="shared" si="48"/>
        <v>191937900</v>
      </c>
      <c r="I410" s="127">
        <f t="shared" si="48"/>
        <v>246777299.99999997</v>
      </c>
      <c r="J410" s="127">
        <f t="shared" si="48"/>
        <v>274197000</v>
      </c>
    </row>
    <row r="411" spans="1:10" x14ac:dyDescent="0.25">
      <c r="A411" s="123">
        <v>5</v>
      </c>
      <c r="B411" s="123" t="s">
        <v>298</v>
      </c>
      <c r="C411" s="90"/>
      <c r="D411" s="210">
        <v>0</v>
      </c>
      <c r="E411" s="210">
        <v>0</v>
      </c>
      <c r="F411" s="90">
        <f>(F410/120)*20</f>
        <v>9139899.9999999981</v>
      </c>
      <c r="G411" s="90">
        <f t="shared" ref="G411:J411" si="49">(G410/120)*20</f>
        <v>18279799.999999996</v>
      </c>
      <c r="H411" s="90">
        <f t="shared" si="49"/>
        <v>31989650</v>
      </c>
      <c r="I411" s="90">
        <f t="shared" si="49"/>
        <v>41129549.999999993</v>
      </c>
      <c r="J411" s="90">
        <f t="shared" si="49"/>
        <v>45699500</v>
      </c>
    </row>
    <row r="412" spans="1:10" x14ac:dyDescent="0.25">
      <c r="A412" s="123">
        <v>6</v>
      </c>
      <c r="B412" s="123" t="s">
        <v>299</v>
      </c>
      <c r="C412" s="90"/>
      <c r="D412" s="210">
        <v>0</v>
      </c>
      <c r="E412" s="210">
        <v>0</v>
      </c>
      <c r="F412" s="127">
        <f>F410-F411</f>
        <v>45699499.999999993</v>
      </c>
      <c r="G412" s="127">
        <f t="shared" ref="G412:J412" si="50">G410-G411</f>
        <v>91398999.999999985</v>
      </c>
      <c r="H412" s="127">
        <f t="shared" si="50"/>
        <v>159948250</v>
      </c>
      <c r="I412" s="127">
        <f t="shared" si="50"/>
        <v>205647749.99999997</v>
      </c>
      <c r="J412" s="127">
        <f t="shared" si="50"/>
        <v>228497500</v>
      </c>
    </row>
    <row r="413" spans="1:10" x14ac:dyDescent="0.25">
      <c r="A413" s="123">
        <v>7</v>
      </c>
      <c r="B413" s="123" t="s">
        <v>300</v>
      </c>
      <c r="C413" s="90" t="s">
        <v>322</v>
      </c>
      <c r="D413" s="210">
        <v>0</v>
      </c>
      <c r="E413" s="210">
        <v>0</v>
      </c>
      <c r="F413" s="123" t="s">
        <v>268</v>
      </c>
      <c r="G413" s="123" t="s">
        <v>268</v>
      </c>
      <c r="H413" s="123" t="s">
        <v>268</v>
      </c>
      <c r="I413" s="123" t="s">
        <v>268</v>
      </c>
      <c r="J413" s="123" t="s">
        <v>268</v>
      </c>
    </row>
    <row r="414" spans="1:10" x14ac:dyDescent="0.25">
      <c r="A414" s="123">
        <v>8</v>
      </c>
      <c r="B414" s="123" t="s">
        <v>301</v>
      </c>
      <c r="C414" s="90"/>
      <c r="D414" s="210">
        <v>0</v>
      </c>
      <c r="E414" s="210">
        <v>0</v>
      </c>
      <c r="F414" s="90"/>
      <c r="G414" s="90"/>
      <c r="H414" s="90"/>
      <c r="I414" s="123"/>
      <c r="J414" s="90"/>
    </row>
    <row r="415" spans="1:10" x14ac:dyDescent="0.25">
      <c r="A415" s="123">
        <v>9</v>
      </c>
      <c r="B415" s="123" t="s">
        <v>302</v>
      </c>
      <c r="C415" s="90"/>
      <c r="D415" s="210">
        <v>0</v>
      </c>
      <c r="E415" s="210">
        <v>0</v>
      </c>
      <c r="F415" s="90"/>
      <c r="G415" s="90"/>
      <c r="H415" s="90"/>
      <c r="I415" s="123"/>
      <c r="J415" s="90"/>
    </row>
    <row r="416" spans="1:10" x14ac:dyDescent="0.25">
      <c r="A416" s="123">
        <v>10</v>
      </c>
      <c r="B416" s="123" t="s">
        <v>303</v>
      </c>
      <c r="C416" s="90"/>
      <c r="D416" s="210">
        <v>0</v>
      </c>
      <c r="E416" s="210">
        <v>0</v>
      </c>
      <c r="F416" s="90"/>
      <c r="G416" s="90"/>
      <c r="H416" s="90"/>
      <c r="I416" s="123"/>
      <c r="J416" s="90"/>
    </row>
    <row r="417" spans="1:10" x14ac:dyDescent="0.25">
      <c r="A417" s="123">
        <v>11</v>
      </c>
      <c r="B417" s="123" t="s">
        <v>251</v>
      </c>
      <c r="C417" s="90" t="s">
        <v>323</v>
      </c>
      <c r="D417" s="210">
        <v>0</v>
      </c>
      <c r="E417" s="210">
        <v>0</v>
      </c>
      <c r="F417" s="127">
        <f>$C342*F408</f>
        <v>19518400</v>
      </c>
      <c r="G417" s="127">
        <f>$C342*G408</f>
        <v>39036800</v>
      </c>
      <c r="H417" s="127">
        <f>$C342*H408</f>
        <v>68314400</v>
      </c>
      <c r="I417" s="127">
        <f>$C342*I408</f>
        <v>87832800</v>
      </c>
      <c r="J417" s="127">
        <f>$C342*J408</f>
        <v>97592000</v>
      </c>
    </row>
    <row r="418" spans="1:10" x14ac:dyDescent="0.25">
      <c r="A418" s="123">
        <v>12</v>
      </c>
      <c r="B418" s="123" t="s">
        <v>304</v>
      </c>
      <c r="C418" s="90" t="s">
        <v>324</v>
      </c>
      <c r="D418" s="210">
        <v>0</v>
      </c>
      <c r="E418" s="210">
        <v>0</v>
      </c>
      <c r="F418" s="90"/>
      <c r="G418" s="90"/>
      <c r="H418" s="90"/>
      <c r="I418" s="123"/>
      <c r="J418" s="90"/>
    </row>
    <row r="419" spans="1:10" x14ac:dyDescent="0.25">
      <c r="A419" s="123">
        <v>13</v>
      </c>
      <c r="B419" s="123" t="s">
        <v>305</v>
      </c>
      <c r="C419" s="90" t="s">
        <v>325</v>
      </c>
      <c r="D419" s="210">
        <v>0</v>
      </c>
      <c r="E419" s="210">
        <v>0</v>
      </c>
      <c r="F419" s="90">
        <f>$C343*F408</f>
        <v>752950</v>
      </c>
      <c r="G419" s="90">
        <f t="shared" ref="G419:I419" si="51">$C343*G408</f>
        <v>1505900</v>
      </c>
      <c r="H419" s="90">
        <f t="shared" si="51"/>
        <v>2635325</v>
      </c>
      <c r="I419" s="90">
        <f t="shared" si="51"/>
        <v>3388275</v>
      </c>
      <c r="J419" s="90">
        <f>$C343*J408</f>
        <v>3764750</v>
      </c>
    </row>
    <row r="420" spans="1:10" x14ac:dyDescent="0.25">
      <c r="A420" s="123">
        <v>14</v>
      </c>
      <c r="B420" s="123" t="s">
        <v>306</v>
      </c>
      <c r="C420" s="90" t="s">
        <v>326</v>
      </c>
      <c r="D420" s="210">
        <v>0</v>
      </c>
      <c r="E420" s="210">
        <v>0</v>
      </c>
      <c r="F420" s="90"/>
      <c r="G420" s="90"/>
      <c r="H420" s="90"/>
      <c r="I420" s="123"/>
      <c r="J420" s="90"/>
    </row>
    <row r="421" spans="1:10" x14ac:dyDescent="0.25">
      <c r="A421" s="123">
        <v>15</v>
      </c>
      <c r="B421" s="123" t="s">
        <v>307</v>
      </c>
      <c r="C421" s="90" t="s">
        <v>327</v>
      </c>
      <c r="D421" s="210">
        <v>0</v>
      </c>
      <c r="E421" s="210">
        <v>0</v>
      </c>
      <c r="F421" s="128">
        <f>$C345*F408</f>
        <v>2995300</v>
      </c>
      <c r="G421" s="128">
        <f t="shared" ref="G421:J421" si="52">$C345*G408</f>
        <v>5990600</v>
      </c>
      <c r="H421" s="128">
        <f t="shared" si="52"/>
        <v>10483550</v>
      </c>
      <c r="I421" s="128">
        <f t="shared" si="52"/>
        <v>13478850</v>
      </c>
      <c r="J421" s="128">
        <f t="shared" si="52"/>
        <v>14976500</v>
      </c>
    </row>
    <row r="422" spans="1:10" x14ac:dyDescent="0.25">
      <c r="A422" s="123">
        <v>16</v>
      </c>
      <c r="B422" s="123" t="s">
        <v>308</v>
      </c>
      <c r="C422" s="90" t="s">
        <v>328</v>
      </c>
      <c r="D422" s="210">
        <v>0</v>
      </c>
      <c r="E422" s="210">
        <v>0</v>
      </c>
      <c r="F422" s="90" t="s">
        <v>268</v>
      </c>
      <c r="G422" s="90"/>
      <c r="H422" s="90"/>
      <c r="I422" s="123"/>
      <c r="J422" s="90"/>
    </row>
    <row r="423" spans="1:10" x14ac:dyDescent="0.25">
      <c r="A423" s="123">
        <v>17</v>
      </c>
      <c r="B423" s="123" t="s">
        <v>309</v>
      </c>
      <c r="C423" s="90" t="s">
        <v>329</v>
      </c>
      <c r="D423" s="210">
        <v>0</v>
      </c>
      <c r="E423" s="210">
        <v>0</v>
      </c>
      <c r="F423" s="127">
        <f>SUM(F421,F419,F417)</f>
        <v>23266650</v>
      </c>
      <c r="G423" s="127">
        <f>SUM(G421,G419,G417)</f>
        <v>46533300</v>
      </c>
      <c r="H423" s="127">
        <f>SUM(H421,H419,H417)</f>
        <v>81433275</v>
      </c>
      <c r="I423" s="127">
        <f>SUM(I421,I419,I417)</f>
        <v>104699925</v>
      </c>
      <c r="J423" s="127">
        <f>SUM(J421,J419,J417)</f>
        <v>116333250</v>
      </c>
    </row>
    <row r="424" spans="1:10" s="121" customFormat="1" x14ac:dyDescent="0.25">
      <c r="A424" s="123"/>
      <c r="B424" s="123" t="s">
        <v>310</v>
      </c>
      <c r="C424" s="90"/>
      <c r="D424" s="210">
        <v>0</v>
      </c>
      <c r="E424" s="210">
        <v>0</v>
      </c>
      <c r="F424" s="90"/>
      <c r="G424" s="90"/>
      <c r="H424" s="90"/>
      <c r="I424" s="123"/>
      <c r="J424" s="90"/>
    </row>
    <row r="425" spans="1:10" x14ac:dyDescent="0.25">
      <c r="A425" s="123">
        <v>18</v>
      </c>
      <c r="B425" s="123" t="s">
        <v>278</v>
      </c>
      <c r="C425" s="90" t="s">
        <v>330</v>
      </c>
      <c r="D425" s="210">
        <v>0</v>
      </c>
      <c r="E425" s="210">
        <v>0</v>
      </c>
      <c r="F425" s="127">
        <f>$C346</f>
        <v>5115827.05</v>
      </c>
      <c r="G425" s="127">
        <f t="shared" ref="G425:J425" si="53">$C346</f>
        <v>5115827.05</v>
      </c>
      <c r="H425" s="127">
        <f t="shared" si="53"/>
        <v>5115827.05</v>
      </c>
      <c r="I425" s="127">
        <f t="shared" si="53"/>
        <v>5115827.05</v>
      </c>
      <c r="J425" s="127">
        <f t="shared" si="53"/>
        <v>5115827.05</v>
      </c>
    </row>
    <row r="426" spans="1:10" x14ac:dyDescent="0.25">
      <c r="A426" s="123">
        <v>19</v>
      </c>
      <c r="B426" s="123" t="s">
        <v>255</v>
      </c>
      <c r="C426" s="90" t="s">
        <v>331</v>
      </c>
      <c r="D426" s="210">
        <v>0</v>
      </c>
      <c r="E426" s="210">
        <v>0</v>
      </c>
      <c r="F426" s="127">
        <f>$C347</f>
        <v>5859765.5619329996</v>
      </c>
      <c r="G426" s="127">
        <f t="shared" ref="G426:J426" si="54">$C347</f>
        <v>5859765.5619329996</v>
      </c>
      <c r="H426" s="127">
        <f t="shared" si="54"/>
        <v>5859765.5619329996</v>
      </c>
      <c r="I426" s="127">
        <f t="shared" si="54"/>
        <v>5859765.5619329996</v>
      </c>
      <c r="J426" s="127">
        <f t="shared" si="54"/>
        <v>5859765.5619329996</v>
      </c>
    </row>
    <row r="427" spans="1:10" x14ac:dyDescent="0.25">
      <c r="A427" s="123">
        <v>20</v>
      </c>
      <c r="B427" s="123" t="s">
        <v>237</v>
      </c>
      <c r="C427" s="90" t="s">
        <v>332</v>
      </c>
      <c r="D427" s="210">
        <v>0</v>
      </c>
      <c r="E427" s="210">
        <v>0</v>
      </c>
      <c r="F427" s="127">
        <f>$C348</f>
        <v>19202700</v>
      </c>
      <c r="G427" s="127">
        <f t="shared" ref="G427:J427" si="55">$C348</f>
        <v>19202700</v>
      </c>
      <c r="H427" s="127">
        <f t="shared" si="55"/>
        <v>19202700</v>
      </c>
      <c r="I427" s="127">
        <f t="shared" si="55"/>
        <v>19202700</v>
      </c>
      <c r="J427" s="127">
        <f t="shared" si="55"/>
        <v>19202700</v>
      </c>
    </row>
    <row r="428" spans="1:10" x14ac:dyDescent="0.25">
      <c r="A428" s="123">
        <v>21</v>
      </c>
      <c r="B428" s="123" t="s">
        <v>256</v>
      </c>
      <c r="C428" s="90" t="s">
        <v>333</v>
      </c>
      <c r="D428" s="210">
        <v>0</v>
      </c>
      <c r="E428" s="210">
        <v>0</v>
      </c>
      <c r="F428" s="127">
        <f>$C349</f>
        <v>8622512.0167159792</v>
      </c>
      <c r="G428" s="127">
        <f t="shared" ref="G428:J428" si="56">$C349</f>
        <v>8622512.0167159792</v>
      </c>
      <c r="H428" s="127">
        <f t="shared" si="56"/>
        <v>8622512.0167159792</v>
      </c>
      <c r="I428" s="127">
        <f t="shared" si="56"/>
        <v>8622512.0167159792</v>
      </c>
      <c r="J428" s="127">
        <f t="shared" si="56"/>
        <v>8622512.0167159792</v>
      </c>
    </row>
    <row r="429" spans="1:10" x14ac:dyDescent="0.25">
      <c r="A429" s="123">
        <v>22</v>
      </c>
      <c r="B429" s="123" t="s">
        <v>311</v>
      </c>
      <c r="C429" s="90" t="s">
        <v>431</v>
      </c>
      <c r="D429" s="123">
        <v>0</v>
      </c>
      <c r="E429" s="123">
        <v>0</v>
      </c>
      <c r="F429" s="127">
        <f>SUM(F425:F428)</f>
        <v>38800804.628648981</v>
      </c>
      <c r="G429" s="127">
        <f t="shared" ref="G429:J429" si="57">SUM(G425:G428)</f>
        <v>38800804.628648981</v>
      </c>
      <c r="H429" s="127">
        <f t="shared" si="57"/>
        <v>38800804.628648981</v>
      </c>
      <c r="I429" s="127">
        <f t="shared" si="57"/>
        <v>38800804.628648981</v>
      </c>
      <c r="J429" s="127">
        <f t="shared" si="57"/>
        <v>38800804.628648981</v>
      </c>
    </row>
    <row r="430" spans="1:10" x14ac:dyDescent="0.25">
      <c r="A430" s="123">
        <v>23</v>
      </c>
      <c r="B430" s="123" t="s">
        <v>312</v>
      </c>
      <c r="C430" s="90" t="s">
        <v>335</v>
      </c>
      <c r="D430" s="123">
        <v>0</v>
      </c>
      <c r="E430" s="123">
        <v>0</v>
      </c>
      <c r="F430" s="127">
        <f>$D301+$C257</f>
        <v>1866646.8</v>
      </c>
      <c r="G430" s="127">
        <f>$D301+$C257</f>
        <v>1866646.8</v>
      </c>
      <c r="H430" s="127">
        <f>$D301+$C257</f>
        <v>1866646.8</v>
      </c>
      <c r="I430" s="127">
        <f>$D301+$C257</f>
        <v>1866646.8</v>
      </c>
      <c r="J430" s="127">
        <f>$D301+$C257</f>
        <v>1866646.8</v>
      </c>
    </row>
    <row r="431" spans="1:10" x14ac:dyDescent="0.25">
      <c r="A431" s="123">
        <v>24</v>
      </c>
      <c r="B431" s="123" t="s">
        <v>313</v>
      </c>
      <c r="C431" s="90" t="s">
        <v>336</v>
      </c>
      <c r="D431" s="123">
        <v>0</v>
      </c>
      <c r="E431" s="123">
        <v>0</v>
      </c>
      <c r="F431" s="127">
        <f>$B366*$C354*$C355</f>
        <v>5357755.0709999995</v>
      </c>
      <c r="G431" s="127">
        <f t="shared" ref="G431:J431" si="58">$B366*$C354*$C355</f>
        <v>5357755.0709999995</v>
      </c>
      <c r="H431" s="127">
        <f t="shared" si="58"/>
        <v>5357755.0709999995</v>
      </c>
      <c r="I431" s="127">
        <f t="shared" si="58"/>
        <v>5357755.0709999995</v>
      </c>
      <c r="J431" s="127">
        <f t="shared" si="58"/>
        <v>5357755.0709999995</v>
      </c>
    </row>
    <row r="432" spans="1:10" x14ac:dyDescent="0.25">
      <c r="A432" s="123">
        <v>25</v>
      </c>
      <c r="B432" s="123" t="s">
        <v>314</v>
      </c>
      <c r="C432" s="90" t="s">
        <v>337</v>
      </c>
      <c r="D432" s="123">
        <v>0</v>
      </c>
      <c r="E432" s="123">
        <v>0</v>
      </c>
      <c r="F432" s="127">
        <f>(F412+0)-(F423+F429+F430+F431)</f>
        <v>-23592356.499648981</v>
      </c>
      <c r="G432" s="127">
        <f t="shared" ref="G432:J432" si="59">(G412+0)-(G423+G429+G430+G431)</f>
        <v>-1159506.4996489882</v>
      </c>
      <c r="H432" s="127">
        <f t="shared" si="59"/>
        <v>32489768.500351027</v>
      </c>
      <c r="I432" s="127">
        <f t="shared" si="59"/>
        <v>54922618.500350952</v>
      </c>
      <c r="J432" s="127">
        <f t="shared" si="59"/>
        <v>66139043.500350982</v>
      </c>
    </row>
    <row r="433" spans="1:10" x14ac:dyDescent="0.25">
      <c r="A433" s="123">
        <v>26</v>
      </c>
      <c r="B433" s="123" t="s">
        <v>315</v>
      </c>
      <c r="C433" s="90" t="s">
        <v>319</v>
      </c>
      <c r="D433" s="123">
        <v>0</v>
      </c>
      <c r="E433" s="123">
        <v>0</v>
      </c>
      <c r="F433" s="127">
        <v>0</v>
      </c>
      <c r="G433" s="127">
        <v>0</v>
      </c>
      <c r="H433" s="127">
        <f>20%*H432</f>
        <v>6497953.7000702061</v>
      </c>
      <c r="I433" s="127">
        <f t="shared" ref="I433:J433" si="60">20%*I432</f>
        <v>10984523.700070191</v>
      </c>
      <c r="J433" s="127">
        <f t="shared" si="60"/>
        <v>13227808.700070197</v>
      </c>
    </row>
    <row r="434" spans="1:10" x14ac:dyDescent="0.25">
      <c r="A434" s="123">
        <v>27</v>
      </c>
      <c r="B434" s="123" t="s">
        <v>316</v>
      </c>
      <c r="C434" s="90" t="s">
        <v>338</v>
      </c>
      <c r="D434" s="123">
        <v>0</v>
      </c>
      <c r="E434" s="123">
        <v>0</v>
      </c>
      <c r="F434" s="127">
        <f>(F412+0)-(F423+F429+F430+F431)</f>
        <v>-23592356.499648981</v>
      </c>
      <c r="G434" s="127">
        <f>(G412+0)-(G423+G429+G430+G431)</f>
        <v>-1159506.4996489882</v>
      </c>
      <c r="H434" s="127">
        <f>H432-H433</f>
        <v>25991814.800280821</v>
      </c>
      <c r="I434" s="127">
        <f t="shared" ref="I434:J434" si="61">I432-I433</f>
        <v>43938094.800280765</v>
      </c>
      <c r="J434" s="127">
        <f t="shared" si="61"/>
        <v>52911234.800280787</v>
      </c>
    </row>
    <row r="435" spans="1:10" x14ac:dyDescent="0.25">
      <c r="A435" s="123">
        <v>28</v>
      </c>
      <c r="B435" s="123" t="s">
        <v>317</v>
      </c>
      <c r="C435" s="90" t="s">
        <v>339</v>
      </c>
      <c r="D435" s="123">
        <v>0</v>
      </c>
      <c r="E435" s="123">
        <v>0</v>
      </c>
      <c r="F435" s="127">
        <f>F430+F434</f>
        <v>-21725709.69964898</v>
      </c>
      <c r="G435" s="127">
        <f>G434+G430</f>
        <v>707140.3003510118</v>
      </c>
      <c r="H435" s="127">
        <f>H434+H430</f>
        <v>27858461.600280821</v>
      </c>
      <c r="I435" s="127">
        <f t="shared" ref="I435:J435" si="62">I434+I430</f>
        <v>45804741.600280762</v>
      </c>
      <c r="J435" s="127">
        <f t="shared" si="62"/>
        <v>54777881.600280784</v>
      </c>
    </row>
    <row r="437" spans="1:10" x14ac:dyDescent="0.25">
      <c r="A437" s="71" t="s">
        <v>430</v>
      </c>
    </row>
    <row r="438" spans="1:10" x14ac:dyDescent="0.25">
      <c r="A438" s="123" t="s">
        <v>341</v>
      </c>
      <c r="B438" s="123" t="s">
        <v>292</v>
      </c>
      <c r="C438" s="90" t="s">
        <v>344</v>
      </c>
      <c r="D438" s="224" t="s">
        <v>285</v>
      </c>
      <c r="E438" s="224"/>
    </row>
    <row r="439" spans="1:10" x14ac:dyDescent="0.25">
      <c r="A439" s="123"/>
      <c r="B439" s="123" t="s">
        <v>345</v>
      </c>
      <c r="C439" s="90"/>
      <c r="D439" s="123">
        <v>0</v>
      </c>
      <c r="E439" s="123">
        <v>1</v>
      </c>
    </row>
    <row r="440" spans="1:10" x14ac:dyDescent="0.25">
      <c r="A440" s="123" t="s">
        <v>335</v>
      </c>
      <c r="B440" s="123" t="s">
        <v>346</v>
      </c>
      <c r="C440" s="90" t="s">
        <v>351</v>
      </c>
      <c r="D440" s="111">
        <f>C364</f>
        <v>87599403</v>
      </c>
      <c r="E440" s="111">
        <f>D443</f>
        <v>6396300</v>
      </c>
    </row>
    <row r="441" spans="1:10" x14ac:dyDescent="0.25">
      <c r="A441" s="123">
        <v>1</v>
      </c>
      <c r="B441" s="123" t="s">
        <v>347</v>
      </c>
      <c r="C441" s="90" t="s">
        <v>352</v>
      </c>
      <c r="D441" s="111">
        <f>B364</f>
        <v>83062500</v>
      </c>
      <c r="E441" s="123"/>
    </row>
    <row r="442" spans="1:10" x14ac:dyDescent="0.25">
      <c r="A442" s="123">
        <v>2</v>
      </c>
      <c r="B442" s="123" t="s">
        <v>348</v>
      </c>
      <c r="C442" s="90" t="s">
        <v>353</v>
      </c>
      <c r="D442" s="111">
        <f>B365</f>
        <v>4536903</v>
      </c>
      <c r="E442" s="211"/>
    </row>
    <row r="443" spans="1:10" x14ac:dyDescent="0.25">
      <c r="A443" s="123">
        <v>3</v>
      </c>
      <c r="B443" s="123" t="s">
        <v>258</v>
      </c>
      <c r="C443" s="90" t="s">
        <v>354</v>
      </c>
      <c r="D443" s="111">
        <f>D364</f>
        <v>6396300</v>
      </c>
      <c r="E443" s="123"/>
    </row>
    <row r="444" spans="1:10" x14ac:dyDescent="0.25">
      <c r="A444" s="123">
        <v>4</v>
      </c>
      <c r="B444" s="123" t="s">
        <v>259</v>
      </c>
      <c r="C444" s="90" t="s">
        <v>355</v>
      </c>
      <c r="E444" s="123"/>
    </row>
    <row r="445" spans="1:10" x14ac:dyDescent="0.25">
      <c r="A445" s="123" t="s">
        <v>342</v>
      </c>
      <c r="B445" s="123" t="s">
        <v>349</v>
      </c>
      <c r="C445" s="90" t="s">
        <v>356</v>
      </c>
      <c r="D445" s="123"/>
      <c r="E445" s="123"/>
    </row>
    <row r="446" spans="1:10" x14ac:dyDescent="0.25">
      <c r="A446" s="123">
        <v>5</v>
      </c>
      <c r="B446" s="123" t="s">
        <v>350</v>
      </c>
      <c r="C446" s="90" t="s">
        <v>357</v>
      </c>
      <c r="D446" s="123" t="s">
        <v>268</v>
      </c>
      <c r="E446" s="123" t="s">
        <v>268</v>
      </c>
    </row>
    <row r="447" spans="1:10" x14ac:dyDescent="0.25">
      <c r="A447" s="123"/>
      <c r="B447" s="123" t="s">
        <v>343</v>
      </c>
      <c r="C447" s="90" t="s">
        <v>358</v>
      </c>
      <c r="D447" s="111" t="s">
        <v>268</v>
      </c>
      <c r="E447" s="123"/>
    </row>
    <row r="449" spans="1:10" x14ac:dyDescent="0.25">
      <c r="A449" s="227" t="s">
        <v>429</v>
      </c>
      <c r="B449" s="227"/>
    </row>
    <row r="450" spans="1:10" x14ac:dyDescent="0.25">
      <c r="A450" s="224" t="s">
        <v>341</v>
      </c>
      <c r="B450" s="224" t="s">
        <v>292</v>
      </c>
      <c r="C450" s="228" t="s">
        <v>359</v>
      </c>
      <c r="D450" s="224" t="s">
        <v>360</v>
      </c>
      <c r="E450" s="224"/>
      <c r="F450" s="224"/>
      <c r="G450" s="224"/>
      <c r="H450" s="224"/>
      <c r="I450" s="224"/>
      <c r="J450" s="224"/>
    </row>
    <row r="451" spans="1:10" x14ac:dyDescent="0.25">
      <c r="A451" s="224"/>
      <c r="B451" s="224"/>
      <c r="C451" s="228"/>
      <c r="D451" s="125">
        <v>0</v>
      </c>
      <c r="E451" s="125">
        <v>1</v>
      </c>
      <c r="F451" s="125">
        <v>2</v>
      </c>
      <c r="G451" s="125">
        <v>3</v>
      </c>
      <c r="H451" s="125">
        <v>4</v>
      </c>
      <c r="I451" s="125">
        <v>5</v>
      </c>
      <c r="J451" s="125">
        <v>6</v>
      </c>
    </row>
    <row r="452" spans="1:10" x14ac:dyDescent="0.25">
      <c r="A452" s="125"/>
      <c r="B452" s="125" t="s">
        <v>361</v>
      </c>
      <c r="C452" s="126"/>
      <c r="D452" s="125"/>
      <c r="E452" s="125"/>
      <c r="F452" s="126"/>
      <c r="G452" s="126"/>
      <c r="H452" s="126"/>
      <c r="I452" s="125"/>
      <c r="J452" s="126"/>
    </row>
    <row r="453" spans="1:10" x14ac:dyDescent="0.25">
      <c r="A453" s="125" t="s">
        <v>335</v>
      </c>
      <c r="B453" s="125" t="s">
        <v>362</v>
      </c>
      <c r="C453" s="126" t="s">
        <v>367</v>
      </c>
      <c r="D453" s="111">
        <f>C368</f>
        <v>87599403</v>
      </c>
      <c r="E453" s="111">
        <f>D368</f>
        <v>6396301</v>
      </c>
      <c r="F453" s="127">
        <f>$G431</f>
        <v>5357755.0709999995</v>
      </c>
      <c r="G453" s="127">
        <f t="shared" ref="G453:J453" si="63">$G431</f>
        <v>5357755.0709999995</v>
      </c>
      <c r="H453" s="127">
        <f t="shared" si="63"/>
        <v>5357755.0709999995</v>
      </c>
      <c r="I453" s="127">
        <f t="shared" si="63"/>
        <v>5357755.0709999995</v>
      </c>
      <c r="J453" s="127">
        <f t="shared" si="63"/>
        <v>5357755.0709999995</v>
      </c>
    </row>
    <row r="454" spans="1:10" x14ac:dyDescent="0.25">
      <c r="A454" s="125">
        <v>1</v>
      </c>
      <c r="B454" s="125" t="s">
        <v>363</v>
      </c>
      <c r="C454" s="126" t="s">
        <v>368</v>
      </c>
      <c r="D454" s="125"/>
      <c r="E454" s="125"/>
      <c r="F454" s="126"/>
      <c r="G454" s="126"/>
      <c r="H454" s="126"/>
      <c r="I454" s="125"/>
      <c r="J454" s="126"/>
    </row>
    <row r="455" spans="1:10" x14ac:dyDescent="0.25">
      <c r="A455" s="125">
        <v>2</v>
      </c>
      <c r="B455" s="125" t="s">
        <v>364</v>
      </c>
      <c r="C455" s="126" t="s">
        <v>369</v>
      </c>
      <c r="D455" s="111">
        <f>D453*30%</f>
        <v>26279820.899999999</v>
      </c>
      <c r="E455" s="111">
        <f>E453*30%</f>
        <v>1918890.2999999998</v>
      </c>
      <c r="F455" s="126"/>
      <c r="G455" s="126"/>
      <c r="H455" s="126"/>
      <c r="I455" s="125"/>
      <c r="J455" s="126"/>
    </row>
    <row r="456" spans="1:10" x14ac:dyDescent="0.25">
      <c r="A456" s="125">
        <v>3</v>
      </c>
      <c r="B456" s="125" t="s">
        <v>365</v>
      </c>
      <c r="C456" s="126"/>
      <c r="D456" s="125">
        <v>0</v>
      </c>
      <c r="E456" s="125"/>
      <c r="F456" s="127">
        <f>F453</f>
        <v>5357755.0709999995</v>
      </c>
      <c r="G456" s="127">
        <f t="shared" ref="G456:I456" si="64">G453</f>
        <v>5357755.0709999995</v>
      </c>
      <c r="H456" s="127">
        <f t="shared" si="64"/>
        <v>5357755.0709999995</v>
      </c>
      <c r="I456" s="127">
        <f t="shared" si="64"/>
        <v>5357755.0709999995</v>
      </c>
      <c r="J456" s="127">
        <f>J453</f>
        <v>5357755.0709999995</v>
      </c>
    </row>
    <row r="457" spans="1:10" x14ac:dyDescent="0.25">
      <c r="A457" s="125"/>
      <c r="B457" s="125" t="s">
        <v>366</v>
      </c>
      <c r="C457" s="126"/>
      <c r="D457" s="111">
        <f>D455</f>
        <v>26279820.899999999</v>
      </c>
      <c r="E457" s="111">
        <f>D455+E455</f>
        <v>28198711.199999999</v>
      </c>
      <c r="F457" s="127">
        <f>E457+F453</f>
        <v>33556466.270999998</v>
      </c>
      <c r="G457" s="127">
        <f>F457+G453</f>
        <v>38914221.342</v>
      </c>
      <c r="H457" s="127">
        <f>G457+H453</f>
        <v>44271976.413000003</v>
      </c>
      <c r="I457" s="127">
        <f>H457+I453</f>
        <v>49629731.484000005</v>
      </c>
      <c r="J457" s="127">
        <f>I457+J453</f>
        <v>54987486.555000007</v>
      </c>
    </row>
    <row r="458" spans="1:10" x14ac:dyDescent="0.25">
      <c r="A458" s="125" t="s">
        <v>342</v>
      </c>
      <c r="B458" s="125" t="s">
        <v>370</v>
      </c>
      <c r="C458" s="126" t="s">
        <v>374</v>
      </c>
      <c r="D458" s="125">
        <v>0</v>
      </c>
      <c r="E458" s="125">
        <v>0</v>
      </c>
      <c r="F458" s="126">
        <v>0</v>
      </c>
      <c r="G458" s="126">
        <v>0</v>
      </c>
      <c r="H458" s="127">
        <f>H459</f>
        <v>20793451.840224657</v>
      </c>
      <c r="I458" s="111">
        <f>I434*80%</f>
        <v>35150475.840224616</v>
      </c>
      <c r="J458" s="126">
        <v>0</v>
      </c>
    </row>
    <row r="459" spans="1:10" x14ac:dyDescent="0.25">
      <c r="A459" s="125">
        <v>5</v>
      </c>
      <c r="B459" s="125" t="s">
        <v>371</v>
      </c>
      <c r="C459" s="126" t="s">
        <v>324</v>
      </c>
      <c r="D459" s="125" t="s">
        <v>268</v>
      </c>
      <c r="E459" s="125" t="s">
        <v>268</v>
      </c>
      <c r="F459" s="126"/>
      <c r="G459" s="126"/>
      <c r="H459" s="127">
        <f>H434*80%</f>
        <v>20793451.840224657</v>
      </c>
      <c r="I459" s="127">
        <f>(I434*80%)+H459</f>
        <v>55943927.680449277</v>
      </c>
      <c r="J459" s="127" t="s">
        <v>268</v>
      </c>
    </row>
    <row r="460" spans="1:10" x14ac:dyDescent="0.25">
      <c r="A460" s="125">
        <v>6</v>
      </c>
      <c r="B460" s="125" t="s">
        <v>372</v>
      </c>
      <c r="C460" s="126" t="s">
        <v>373</v>
      </c>
      <c r="D460" s="125">
        <v>0</v>
      </c>
      <c r="E460" s="125">
        <v>0</v>
      </c>
      <c r="F460" s="126">
        <v>0</v>
      </c>
      <c r="G460" s="126">
        <v>0</v>
      </c>
      <c r="H460" s="126">
        <v>0</v>
      </c>
      <c r="I460" s="125"/>
      <c r="J460" s="126"/>
    </row>
    <row r="461" spans="1:10" x14ac:dyDescent="0.25">
      <c r="A461" s="125"/>
      <c r="B461" s="125" t="s">
        <v>375</v>
      </c>
      <c r="C461" s="126"/>
      <c r="D461" s="111">
        <f>D453-D458</f>
        <v>87599403</v>
      </c>
      <c r="E461" s="111">
        <f>E453-E458</f>
        <v>6396301</v>
      </c>
      <c r="F461" s="111">
        <f t="shared" ref="F461:G461" si="65">F453-F458</f>
        <v>5357755.0709999995</v>
      </c>
      <c r="G461" s="111">
        <f t="shared" si="65"/>
        <v>5357755.0709999995</v>
      </c>
      <c r="H461" s="127">
        <f>H453-H458</f>
        <v>-15435696.769224659</v>
      </c>
      <c r="I461" s="111">
        <f>I453-I458</f>
        <v>-29792720.769224618</v>
      </c>
      <c r="J461" s="126">
        <v>0</v>
      </c>
    </row>
    <row r="463" spans="1:10" x14ac:dyDescent="0.25">
      <c r="C463" s="126">
        <v>0</v>
      </c>
      <c r="D463" s="125">
        <v>1</v>
      </c>
      <c r="E463" s="125">
        <v>2</v>
      </c>
      <c r="F463" s="126">
        <v>3</v>
      </c>
      <c r="G463" s="126">
        <v>4</v>
      </c>
      <c r="H463" s="126">
        <v>5</v>
      </c>
      <c r="I463" s="125">
        <v>6</v>
      </c>
    </row>
    <row r="464" spans="1:10" x14ac:dyDescent="0.25">
      <c r="A464" s="71" t="s">
        <v>376</v>
      </c>
      <c r="C464" s="127">
        <v>0</v>
      </c>
      <c r="D464" s="111">
        <f>0</f>
        <v>0</v>
      </c>
      <c r="E464" s="111">
        <f>F435+0+F453</f>
        <v>-16367954.628648981</v>
      </c>
      <c r="F464" s="111">
        <f t="shared" ref="F464" si="66">G435+0+G453</f>
        <v>6064895.3713510111</v>
      </c>
      <c r="G464" s="111">
        <f>H435+0+H461</f>
        <v>12422764.831056163</v>
      </c>
      <c r="H464" s="111">
        <f>I435+0+I461</f>
        <v>16012020.831056144</v>
      </c>
      <c r="I464" s="111">
        <f>J435+0+0</f>
        <v>54777881.600280784</v>
      </c>
    </row>
    <row r="470" spans="1:12" x14ac:dyDescent="0.25">
      <c r="A470" s="225" t="s">
        <v>292</v>
      </c>
      <c r="B470" s="224" t="s">
        <v>285</v>
      </c>
      <c r="C470" s="224"/>
      <c r="D470" s="224"/>
      <c r="E470" s="224"/>
      <c r="F470" s="224"/>
      <c r="G470" s="224"/>
      <c r="H470" s="224"/>
    </row>
    <row r="471" spans="1:12" x14ac:dyDescent="0.25">
      <c r="A471" s="226"/>
      <c r="B471" s="129">
        <v>0</v>
      </c>
      <c r="C471" s="130">
        <v>1</v>
      </c>
      <c r="D471" s="129">
        <v>2</v>
      </c>
      <c r="E471" s="129">
        <v>3</v>
      </c>
      <c r="F471" s="130">
        <v>4</v>
      </c>
      <c r="G471" s="129">
        <v>5</v>
      </c>
      <c r="H471" s="129">
        <v>6</v>
      </c>
      <c r="I471" s="46">
        <v>7</v>
      </c>
      <c r="J471" s="57">
        <v>8</v>
      </c>
      <c r="K471" s="57">
        <v>9</v>
      </c>
      <c r="L471" s="135">
        <v>10</v>
      </c>
    </row>
    <row r="472" spans="1:12" x14ac:dyDescent="0.25">
      <c r="A472" s="131" t="s">
        <v>377</v>
      </c>
      <c r="B472" s="131"/>
      <c r="C472" s="132"/>
      <c r="D472" s="131"/>
      <c r="E472" s="131"/>
      <c r="F472" s="132"/>
      <c r="G472" s="131"/>
      <c r="H472" s="131"/>
      <c r="I472" s="131"/>
      <c r="J472" s="131"/>
      <c r="K472" s="131"/>
      <c r="L472" s="131"/>
    </row>
    <row r="473" spans="1:12" x14ac:dyDescent="0.25">
      <c r="A473" s="129" t="s">
        <v>449</v>
      </c>
      <c r="B473" s="129">
        <f>E412</f>
        <v>0</v>
      </c>
      <c r="C473" s="130">
        <f>E412</f>
        <v>0</v>
      </c>
      <c r="D473" s="128">
        <f t="shared" ref="D473:H473" si="67">F412</f>
        <v>45699499.999999993</v>
      </c>
      <c r="E473" s="128">
        <f t="shared" si="67"/>
        <v>91398999.999999985</v>
      </c>
      <c r="F473" s="130">
        <f t="shared" si="67"/>
        <v>159948250</v>
      </c>
      <c r="G473" s="130">
        <f t="shared" si="67"/>
        <v>205647749.99999997</v>
      </c>
      <c r="H473" s="130">
        <f t="shared" si="67"/>
        <v>228497500</v>
      </c>
      <c r="I473" s="127">
        <f>J412</f>
        <v>228497500</v>
      </c>
      <c r="J473" s="127">
        <f>$J412</f>
        <v>228497500</v>
      </c>
      <c r="K473" s="127">
        <f t="shared" ref="K473:L473" si="68">$J412</f>
        <v>228497500</v>
      </c>
      <c r="L473" s="127">
        <f t="shared" si="68"/>
        <v>228497500</v>
      </c>
    </row>
    <row r="474" spans="1:12" x14ac:dyDescent="0.25">
      <c r="A474" s="129" t="s">
        <v>445</v>
      </c>
      <c r="B474" s="113">
        <v>0</v>
      </c>
      <c r="C474" s="130">
        <v>0</v>
      </c>
      <c r="D474" s="137">
        <f>F423+F429</f>
        <v>62067454.628648981</v>
      </c>
      <c r="E474" s="111">
        <f>G423+G429</f>
        <v>85334104.628648981</v>
      </c>
      <c r="F474" s="111">
        <f t="shared" ref="F474:H474" si="69">H423+H429</f>
        <v>120234079.62864898</v>
      </c>
      <c r="G474" s="111">
        <f t="shared" si="69"/>
        <v>143500729.628649</v>
      </c>
      <c r="H474" s="111">
        <f t="shared" si="69"/>
        <v>155134054.628649</v>
      </c>
      <c r="I474" s="111">
        <f>$J423+$J429</f>
        <v>155134054.628649</v>
      </c>
      <c r="J474" s="111">
        <f t="shared" ref="J474:L474" si="70">$J423+$J429</f>
        <v>155134054.628649</v>
      </c>
      <c r="K474" s="111">
        <f t="shared" si="70"/>
        <v>155134054.628649</v>
      </c>
      <c r="L474" s="111">
        <f t="shared" si="70"/>
        <v>155134054.628649</v>
      </c>
    </row>
    <row r="475" spans="1:12" x14ac:dyDescent="0.25">
      <c r="A475" s="129" t="s">
        <v>312</v>
      </c>
      <c r="B475" s="129">
        <v>0</v>
      </c>
      <c r="C475" s="130">
        <v>0</v>
      </c>
      <c r="D475" s="111">
        <f>F430</f>
        <v>1866646.8</v>
      </c>
      <c r="E475" s="111">
        <f>G430</f>
        <v>1866646.8</v>
      </c>
      <c r="F475" s="111">
        <f t="shared" ref="F475:H475" si="71">H430</f>
        <v>1866646.8</v>
      </c>
      <c r="G475" s="111">
        <f t="shared" si="71"/>
        <v>1866646.8</v>
      </c>
      <c r="H475" s="111">
        <f t="shared" si="71"/>
        <v>1866646.8</v>
      </c>
      <c r="I475" s="111">
        <f>$J430</f>
        <v>1866646.8</v>
      </c>
      <c r="J475" s="111">
        <f t="shared" ref="J475:L475" si="72">$J430</f>
        <v>1866646.8</v>
      </c>
      <c r="K475" s="111">
        <f t="shared" si="72"/>
        <v>1866646.8</v>
      </c>
      <c r="L475" s="111">
        <f t="shared" si="72"/>
        <v>1866646.8</v>
      </c>
    </row>
    <row r="476" spans="1:12" x14ac:dyDescent="0.25">
      <c r="A476" s="129" t="s">
        <v>407</v>
      </c>
      <c r="B476" s="111">
        <v>0</v>
      </c>
      <c r="C476" s="111">
        <v>0</v>
      </c>
      <c r="D476" s="111">
        <f>D473-D474-D475</f>
        <v>-18234601.42864899</v>
      </c>
      <c r="E476" s="111">
        <f>E473-E474-E475</f>
        <v>4198248.5713510038</v>
      </c>
      <c r="F476" s="111">
        <f t="shared" ref="F476:G476" si="73">F473-F474-F475</f>
        <v>37847523.571351022</v>
      </c>
      <c r="G476" s="111">
        <f t="shared" si="73"/>
        <v>60280373.571350977</v>
      </c>
      <c r="H476" s="111">
        <f>H473-H474-H475</f>
        <v>71496798.571351007</v>
      </c>
      <c r="I476" s="111">
        <f>I473-I474-I475</f>
        <v>71496798.571351007</v>
      </c>
      <c r="J476" s="111">
        <f t="shared" ref="J476:L476" si="74">J473-J474-J475</f>
        <v>71496798.571351007</v>
      </c>
      <c r="K476" s="111">
        <f t="shared" si="74"/>
        <v>71496798.571351007</v>
      </c>
      <c r="L476" s="111">
        <f t="shared" si="74"/>
        <v>71496798.571351007</v>
      </c>
    </row>
    <row r="477" spans="1:12" x14ac:dyDescent="0.25">
      <c r="A477" s="129" t="s">
        <v>437</v>
      </c>
      <c r="B477" s="129">
        <v>0</v>
      </c>
      <c r="C477" s="129">
        <v>0</v>
      </c>
      <c r="D477" s="111">
        <v>0</v>
      </c>
      <c r="E477" s="111">
        <f>E476*20%</f>
        <v>839649.71427020081</v>
      </c>
      <c r="F477" s="111">
        <f>F476*20%</f>
        <v>7569504.7142702043</v>
      </c>
      <c r="G477" s="111">
        <f t="shared" ref="G477:H477" si="75">G476*20%</f>
        <v>12056074.714270197</v>
      </c>
      <c r="H477" s="111">
        <f t="shared" si="75"/>
        <v>14299359.714270202</v>
      </c>
      <c r="I477" s="111">
        <f>I476*20%</f>
        <v>14299359.714270202</v>
      </c>
      <c r="J477" s="111">
        <f t="shared" ref="J477" si="76">J476*20%</f>
        <v>14299359.714270202</v>
      </c>
      <c r="K477" s="111">
        <f t="shared" ref="K477:L477" si="77">K476*20%</f>
        <v>14299359.714270202</v>
      </c>
      <c r="L477" s="111">
        <f t="shared" si="77"/>
        <v>14299359.714270202</v>
      </c>
    </row>
    <row r="478" spans="1:12" x14ac:dyDescent="0.25">
      <c r="A478" s="129" t="s">
        <v>438</v>
      </c>
      <c r="B478" s="129">
        <v>0</v>
      </c>
      <c r="C478" s="129">
        <v>0</v>
      </c>
      <c r="D478" s="111">
        <f>D476-D477</f>
        <v>-18234601.42864899</v>
      </c>
      <c r="E478" s="111">
        <f>E476-E477</f>
        <v>3358598.8570808033</v>
      </c>
      <c r="F478" s="111">
        <f>F476-F477</f>
        <v>30278018.857080817</v>
      </c>
      <c r="G478" s="111">
        <f t="shared" ref="G478:H478" si="78">G476-G477</f>
        <v>48224298.85708078</v>
      </c>
      <c r="H478" s="111">
        <f t="shared" si="78"/>
        <v>57197438.857080802</v>
      </c>
      <c r="I478" s="111">
        <f>I476-I477</f>
        <v>57197438.857080802</v>
      </c>
      <c r="J478" s="111">
        <f t="shared" ref="J478" si="79">J476-J477</f>
        <v>57197438.857080802</v>
      </c>
      <c r="K478" s="111">
        <f t="shared" ref="K478:L478" si="80">K476-K477</f>
        <v>57197438.857080802</v>
      </c>
      <c r="L478" s="111">
        <f t="shared" si="80"/>
        <v>57197438.857080802</v>
      </c>
    </row>
    <row r="479" spans="1:12" x14ac:dyDescent="0.25">
      <c r="A479" s="129" t="s">
        <v>439</v>
      </c>
      <c r="B479" s="129">
        <v>0</v>
      </c>
      <c r="C479" s="129">
        <v>0</v>
      </c>
      <c r="D479" s="111">
        <f>D478+D475</f>
        <v>-16367954.628648989</v>
      </c>
      <c r="E479" s="111">
        <f t="shared" ref="E479:L479" si="81">E478+E475</f>
        <v>5225245.6570808031</v>
      </c>
      <c r="F479" s="111">
        <f t="shared" si="81"/>
        <v>32144665.657080818</v>
      </c>
      <c r="G479" s="111">
        <f t="shared" si="81"/>
        <v>50090945.657080777</v>
      </c>
      <c r="H479" s="111">
        <f t="shared" si="81"/>
        <v>59064085.657080799</v>
      </c>
      <c r="I479" s="111">
        <f t="shared" si="81"/>
        <v>59064085.657080799</v>
      </c>
      <c r="J479" s="111">
        <f t="shared" si="81"/>
        <v>59064085.657080799</v>
      </c>
      <c r="K479" s="111">
        <f t="shared" si="81"/>
        <v>59064085.657080799</v>
      </c>
      <c r="L479" s="111">
        <f t="shared" si="81"/>
        <v>59064085.657080799</v>
      </c>
    </row>
    <row r="480" spans="1:12" x14ac:dyDescent="0.25">
      <c r="A480" s="131" t="s">
        <v>440</v>
      </c>
      <c r="B480" s="131"/>
      <c r="C480" s="132"/>
      <c r="D480" s="131"/>
      <c r="E480" s="131"/>
      <c r="F480" s="132"/>
      <c r="G480" s="132"/>
      <c r="H480" s="132"/>
      <c r="I480" s="132"/>
      <c r="J480" s="132"/>
      <c r="K480" s="132"/>
      <c r="L480" s="132"/>
    </row>
    <row r="481" spans="1:12" x14ac:dyDescent="0.25">
      <c r="A481" s="129" t="s">
        <v>446</v>
      </c>
      <c r="B481" s="111">
        <v>-87559403</v>
      </c>
      <c r="C481" s="111">
        <v>-6396300</v>
      </c>
      <c r="D481" s="129">
        <v>0</v>
      </c>
      <c r="E481" s="129">
        <v>0</v>
      </c>
      <c r="F481" s="130">
        <v>0</v>
      </c>
      <c r="G481" s="130">
        <v>0</v>
      </c>
      <c r="H481" s="130">
        <v>0</v>
      </c>
      <c r="I481" s="136">
        <v>0</v>
      </c>
      <c r="J481" s="136">
        <v>0</v>
      </c>
      <c r="K481" s="136">
        <v>0</v>
      </c>
      <c r="L481" s="136">
        <v>0</v>
      </c>
    </row>
    <row r="482" spans="1:12" x14ac:dyDescent="0.25">
      <c r="A482" s="129" t="s">
        <v>447</v>
      </c>
      <c r="B482" s="111">
        <v>0</v>
      </c>
      <c r="C482" s="130">
        <v>0</v>
      </c>
      <c r="D482" s="130">
        <v>0</v>
      </c>
      <c r="E482" s="130">
        <v>0</v>
      </c>
      <c r="F482" s="130">
        <v>0</v>
      </c>
      <c r="G482" s="130">
        <v>0</v>
      </c>
      <c r="H482" s="130">
        <v>0</v>
      </c>
      <c r="I482" s="136">
        <v>0</v>
      </c>
      <c r="J482" s="136">
        <v>0</v>
      </c>
      <c r="K482" s="136">
        <v>0</v>
      </c>
      <c r="L482" s="136">
        <v>0</v>
      </c>
    </row>
    <row r="483" spans="1:12" x14ac:dyDescent="0.25">
      <c r="A483" s="129" t="s">
        <v>448</v>
      </c>
      <c r="B483" s="111">
        <f>B481+B482</f>
        <v>-87559403</v>
      </c>
      <c r="C483" s="111">
        <f>C481+C482</f>
        <v>-6396300</v>
      </c>
      <c r="D483" s="111">
        <v>0</v>
      </c>
      <c r="E483" s="111">
        <v>0</v>
      </c>
      <c r="F483" s="111">
        <v>0</v>
      </c>
      <c r="G483" s="111">
        <v>0</v>
      </c>
      <c r="H483" s="111">
        <v>0</v>
      </c>
      <c r="I483" s="111">
        <v>0</v>
      </c>
      <c r="J483" s="111">
        <v>0</v>
      </c>
      <c r="K483" s="111">
        <v>0</v>
      </c>
      <c r="L483" s="111">
        <v>0</v>
      </c>
    </row>
    <row r="484" spans="1:12" x14ac:dyDescent="0.25">
      <c r="A484" s="129" t="s">
        <v>382</v>
      </c>
      <c r="B484" s="111">
        <f>B479+B483</f>
        <v>-87559403</v>
      </c>
      <c r="C484" s="111">
        <f>C479+C483</f>
        <v>-6396300</v>
      </c>
      <c r="D484" s="111">
        <f>D479+D483</f>
        <v>-16367954.628648989</v>
      </c>
      <c r="E484" s="111">
        <f>E479+E483</f>
        <v>5225245.6570808031</v>
      </c>
      <c r="F484" s="111">
        <f t="shared" ref="F484:H484" si="82">F479+F483</f>
        <v>32144665.657080818</v>
      </c>
      <c r="G484" s="111">
        <f>G479+G483</f>
        <v>50090945.657080777</v>
      </c>
      <c r="H484" s="111">
        <f t="shared" si="82"/>
        <v>59064085.657080799</v>
      </c>
      <c r="I484" s="111">
        <f>I479+I483</f>
        <v>59064085.657080799</v>
      </c>
      <c r="J484" s="111">
        <f>J479+J483</f>
        <v>59064085.657080799</v>
      </c>
      <c r="K484" s="111">
        <f>K479+K483</f>
        <v>59064085.657080799</v>
      </c>
      <c r="L484" s="111">
        <f>L479+L483</f>
        <v>59064085.657080799</v>
      </c>
    </row>
    <row r="485" spans="1:12" x14ac:dyDescent="0.25">
      <c r="A485" s="129" t="s">
        <v>383</v>
      </c>
      <c r="B485" s="81">
        <f>D457</f>
        <v>26279820.899999999</v>
      </c>
      <c r="C485" s="81">
        <f>E457</f>
        <v>28198711.199999999</v>
      </c>
      <c r="D485" s="81">
        <f>F457</f>
        <v>33556466.270999998</v>
      </c>
      <c r="E485" s="81">
        <f>G457</f>
        <v>38914221.342</v>
      </c>
      <c r="F485" s="81">
        <f t="shared" ref="F485:H485" si="83">H457</f>
        <v>44271976.413000003</v>
      </c>
      <c r="G485" s="81">
        <f t="shared" si="83"/>
        <v>49629731.484000005</v>
      </c>
      <c r="H485" s="81">
        <f t="shared" si="83"/>
        <v>54987486.555000007</v>
      </c>
      <c r="I485" s="81">
        <f>$J457</f>
        <v>54987486.555000007</v>
      </c>
      <c r="J485" s="81">
        <f t="shared" ref="J485:L485" si="84">$J457</f>
        <v>54987486.555000007</v>
      </c>
      <c r="K485" s="81">
        <f t="shared" si="84"/>
        <v>54987486.555000007</v>
      </c>
      <c r="L485" s="81">
        <f t="shared" si="84"/>
        <v>54987486.555000007</v>
      </c>
    </row>
    <row r="486" spans="1:12" x14ac:dyDescent="0.25">
      <c r="A486" s="129" t="s">
        <v>452</v>
      </c>
      <c r="B486" s="129">
        <f>ROUND(1/POWER((1+0.2), B471),3)</f>
        <v>1</v>
      </c>
      <c r="C486" s="133">
        <f t="shared" ref="C486:L486" si="85">ROUND(1/POWER((1+0.2), C471),3)</f>
        <v>0.83299999999999996</v>
      </c>
      <c r="D486" s="133">
        <f t="shared" si="85"/>
        <v>0.69399999999999995</v>
      </c>
      <c r="E486" s="133">
        <f t="shared" si="85"/>
        <v>0.57899999999999996</v>
      </c>
      <c r="F486" s="133">
        <f t="shared" si="85"/>
        <v>0.48199999999999998</v>
      </c>
      <c r="G486" s="133">
        <f t="shared" si="85"/>
        <v>0.40200000000000002</v>
      </c>
      <c r="H486" s="133">
        <f t="shared" si="85"/>
        <v>0.33500000000000002</v>
      </c>
      <c r="I486" s="133">
        <f t="shared" si="85"/>
        <v>0.27900000000000003</v>
      </c>
      <c r="J486" s="133">
        <f t="shared" si="85"/>
        <v>0.23300000000000001</v>
      </c>
      <c r="K486" s="133">
        <f t="shared" si="85"/>
        <v>0.19400000000000001</v>
      </c>
      <c r="L486" s="133">
        <f t="shared" si="85"/>
        <v>0.16200000000000001</v>
      </c>
    </row>
    <row r="487" spans="1:12" x14ac:dyDescent="0.25">
      <c r="A487" s="129" t="s">
        <v>384</v>
      </c>
      <c r="B487" s="111">
        <f>B484*B486</f>
        <v>-87559403</v>
      </c>
      <c r="C487" s="111">
        <f>C484*C486</f>
        <v>-5328117.8999999994</v>
      </c>
      <c r="D487" s="111">
        <f>D484*D486</f>
        <v>-11359360.512282398</v>
      </c>
      <c r="E487" s="111">
        <f>E484*E486</f>
        <v>3025417.2354497849</v>
      </c>
      <c r="F487" s="111">
        <f t="shared" ref="F487:K487" si="86">F484*F486</f>
        <v>15493728.846712954</v>
      </c>
      <c r="G487" s="111">
        <f t="shared" si="86"/>
        <v>20136560.154146474</v>
      </c>
      <c r="H487" s="111">
        <f t="shared" si="86"/>
        <v>19786468.695122071</v>
      </c>
      <c r="I487" s="111">
        <f t="shared" si="86"/>
        <v>16478879.898325544</v>
      </c>
      <c r="J487" s="111">
        <f t="shared" si="86"/>
        <v>13761931.958099827</v>
      </c>
      <c r="K487" s="111">
        <f t="shared" si="86"/>
        <v>11458432.617473675</v>
      </c>
      <c r="L487" s="111">
        <f>L484*L486</f>
        <v>9568381.876447089</v>
      </c>
    </row>
    <row r="488" spans="1:12" x14ac:dyDescent="0.25">
      <c r="A488" s="129" t="s">
        <v>386</v>
      </c>
      <c r="B488" s="111">
        <f>B487</f>
        <v>-87559403</v>
      </c>
      <c r="C488" s="111">
        <f>B488+C487</f>
        <v>-92887520.900000006</v>
      </c>
      <c r="D488" s="111">
        <f>C488+D487</f>
        <v>-104246881.41228241</v>
      </c>
      <c r="E488" s="111">
        <f t="shared" ref="E488:J488" si="87">D488+E487</f>
        <v>-101221464.17683262</v>
      </c>
      <c r="F488" s="111">
        <f t="shared" si="87"/>
        <v>-85727735.330119669</v>
      </c>
      <c r="G488" s="111">
        <f t="shared" si="87"/>
        <v>-65591175.175973192</v>
      </c>
      <c r="H488" s="111">
        <f t="shared" si="87"/>
        <v>-45804706.480851121</v>
      </c>
      <c r="I488" s="111">
        <f t="shared" si="87"/>
        <v>-29325826.582525577</v>
      </c>
      <c r="J488" s="111">
        <f t="shared" si="87"/>
        <v>-15563894.62442575</v>
      </c>
      <c r="K488" s="111">
        <f>J488+K487</f>
        <v>-4105462.0069520753</v>
      </c>
      <c r="L488" s="111">
        <f>K488+L487</f>
        <v>5462919.8694950137</v>
      </c>
    </row>
    <row r="489" spans="1:12" x14ac:dyDescent="0.25">
      <c r="A489" s="129" t="s">
        <v>349</v>
      </c>
      <c r="B489" s="111">
        <f>B473+B482</f>
        <v>0</v>
      </c>
      <c r="C489" s="111">
        <f t="shared" ref="C489:L489" si="88">C473+C482</f>
        <v>0</v>
      </c>
      <c r="D489" s="111">
        <f t="shared" si="88"/>
        <v>45699499.999999993</v>
      </c>
      <c r="E489" s="111">
        <f t="shared" si="88"/>
        <v>91398999.999999985</v>
      </c>
      <c r="F489" s="111">
        <f t="shared" si="88"/>
        <v>159948250</v>
      </c>
      <c r="G489" s="111">
        <f t="shared" si="88"/>
        <v>205647749.99999997</v>
      </c>
      <c r="H489" s="111">
        <f t="shared" si="88"/>
        <v>228497500</v>
      </c>
      <c r="I489" s="111">
        <f t="shared" si="88"/>
        <v>228497500</v>
      </c>
      <c r="J489" s="111">
        <f t="shared" si="88"/>
        <v>228497500</v>
      </c>
      <c r="K489" s="111">
        <f t="shared" si="88"/>
        <v>228497500</v>
      </c>
      <c r="L489" s="111">
        <f t="shared" si="88"/>
        <v>228497500</v>
      </c>
    </row>
    <row r="490" spans="1:12" x14ac:dyDescent="0.25">
      <c r="A490" s="129" t="s">
        <v>435</v>
      </c>
      <c r="B490" s="111">
        <f>B486*B489</f>
        <v>0</v>
      </c>
      <c r="C490" s="111">
        <f t="shared" ref="C490:L490" si="89">C486*C489</f>
        <v>0</v>
      </c>
      <c r="D490" s="111">
        <f t="shared" si="89"/>
        <v>31715452.999999993</v>
      </c>
      <c r="E490" s="111">
        <f t="shared" si="89"/>
        <v>52920020.999999985</v>
      </c>
      <c r="F490" s="111">
        <f t="shared" si="89"/>
        <v>77095056.5</v>
      </c>
      <c r="G490" s="111">
        <f t="shared" si="89"/>
        <v>82670395.5</v>
      </c>
      <c r="H490" s="111">
        <f t="shared" si="89"/>
        <v>76546662.5</v>
      </c>
      <c r="I490" s="111">
        <f t="shared" si="89"/>
        <v>63750802.500000007</v>
      </c>
      <c r="J490" s="111">
        <f t="shared" si="89"/>
        <v>53239917.5</v>
      </c>
      <c r="K490" s="111">
        <f t="shared" si="89"/>
        <v>44328515</v>
      </c>
      <c r="L490" s="111">
        <f t="shared" si="89"/>
        <v>37016595</v>
      </c>
    </row>
    <row r="491" spans="1:12" x14ac:dyDescent="0.25">
      <c r="A491" s="129" t="s">
        <v>444</v>
      </c>
      <c r="B491" s="129"/>
      <c r="C491" s="127">
        <f>SUM(B490:L490)</f>
        <v>519283418.5</v>
      </c>
      <c r="D491" s="129"/>
      <c r="E491" s="129"/>
      <c r="F491" s="130"/>
      <c r="G491" s="130"/>
      <c r="H491" s="130"/>
    </row>
    <row r="492" spans="1:12" x14ac:dyDescent="0.25">
      <c r="A492" s="129" t="s">
        <v>385</v>
      </c>
      <c r="B492" s="111">
        <f>A507+A508+B481</f>
        <v>-87559403</v>
      </c>
      <c r="C492" s="111">
        <f t="shared" ref="C492:L492" si="90">B507+B508+C481</f>
        <v>-6396300</v>
      </c>
      <c r="D492" s="111">
        <f t="shared" si="90"/>
        <v>-62067454.628648981</v>
      </c>
      <c r="E492" s="111">
        <f t="shared" si="90"/>
        <v>-86173754.342919186</v>
      </c>
      <c r="F492" s="111">
        <f t="shared" si="90"/>
        <v>-127803584.34291919</v>
      </c>
      <c r="G492" s="111">
        <f t="shared" si="90"/>
        <v>-155556804.3429192</v>
      </c>
      <c r="H492" s="111">
        <f t="shared" si="90"/>
        <v>-169433414.3429192</v>
      </c>
      <c r="I492" s="111">
        <f t="shared" si="90"/>
        <v>-169433414.3429192</v>
      </c>
      <c r="J492" s="111">
        <f t="shared" si="90"/>
        <v>-169433414.3429192</v>
      </c>
      <c r="K492" s="111">
        <f t="shared" si="90"/>
        <v>-169433414.3429192</v>
      </c>
      <c r="L492" s="111">
        <f t="shared" si="90"/>
        <v>-169433414.3429192</v>
      </c>
    </row>
    <row r="493" spans="1:12" x14ac:dyDescent="0.25">
      <c r="A493" s="129" t="s">
        <v>450</v>
      </c>
      <c r="B493" s="111">
        <f>B492*B486</f>
        <v>-87559403</v>
      </c>
      <c r="C493" s="111">
        <f t="shared" ref="C493:L493" si="91">C492*C486</f>
        <v>-5328117.8999999994</v>
      </c>
      <c r="D493" s="111">
        <f t="shared" si="91"/>
        <v>-43074813.512282386</v>
      </c>
      <c r="E493" s="111">
        <f t="shared" si="91"/>
        <v>-49894603.764550202</v>
      </c>
      <c r="F493" s="111">
        <f t="shared" si="91"/>
        <v>-61601327.653287046</v>
      </c>
      <c r="G493" s="111">
        <f t="shared" si="91"/>
        <v>-62533835.345853522</v>
      </c>
      <c r="H493" s="111">
        <f t="shared" si="91"/>
        <v>-56760193.804877937</v>
      </c>
      <c r="I493" s="111">
        <f t="shared" si="91"/>
        <v>-47271922.60167446</v>
      </c>
      <c r="J493" s="111">
        <f t="shared" si="91"/>
        <v>-39477985.541900173</v>
      </c>
      <c r="K493" s="111">
        <f t="shared" si="91"/>
        <v>-32870082.382526327</v>
      </c>
      <c r="L493" s="111">
        <f t="shared" si="91"/>
        <v>-27448213.123552911</v>
      </c>
    </row>
    <row r="494" spans="1:12" x14ac:dyDescent="0.25">
      <c r="A494" s="129" t="s">
        <v>451</v>
      </c>
      <c r="B494" s="111">
        <f>SUM(B493:L493)</f>
        <v>-513820498.63050497</v>
      </c>
      <c r="C494" s="130"/>
      <c r="D494" s="129"/>
      <c r="E494" s="129"/>
      <c r="F494" s="130"/>
      <c r="G494" s="130"/>
      <c r="H494" s="130"/>
    </row>
    <row r="495" spans="1:12" x14ac:dyDescent="0.25">
      <c r="A495" s="129" t="s">
        <v>443</v>
      </c>
      <c r="B495" s="138">
        <f>B481*B486</f>
        <v>-87559403</v>
      </c>
      <c r="C495" s="138">
        <f t="shared" ref="C495:L495" si="92">C481*C486</f>
        <v>-5328117.8999999994</v>
      </c>
      <c r="D495" s="138">
        <f t="shared" si="92"/>
        <v>0</v>
      </c>
      <c r="E495" s="138">
        <f t="shared" si="92"/>
        <v>0</v>
      </c>
      <c r="F495" s="138">
        <f t="shared" si="92"/>
        <v>0</v>
      </c>
      <c r="G495" s="138">
        <f t="shared" si="92"/>
        <v>0</v>
      </c>
      <c r="H495" s="138">
        <f t="shared" si="92"/>
        <v>0</v>
      </c>
      <c r="I495" s="138">
        <f t="shared" si="92"/>
        <v>0</v>
      </c>
      <c r="J495" s="111">
        <f t="shared" si="92"/>
        <v>0</v>
      </c>
      <c r="K495" s="111">
        <f t="shared" si="92"/>
        <v>0</v>
      </c>
      <c r="L495" s="111">
        <f t="shared" si="92"/>
        <v>0</v>
      </c>
    </row>
    <row r="496" spans="1:12" x14ac:dyDescent="0.25">
      <c r="B496" s="139"/>
      <c r="C496" s="140"/>
      <c r="D496" s="139"/>
      <c r="E496" s="139"/>
      <c r="F496" s="140"/>
      <c r="G496" s="140"/>
      <c r="H496" s="140"/>
      <c r="I496" s="139"/>
    </row>
    <row r="497" spans="1:12" x14ac:dyDescent="0.25">
      <c r="A497" s="134"/>
    </row>
    <row r="502" spans="1:12" x14ac:dyDescent="0.25">
      <c r="L502" s="134"/>
    </row>
    <row r="504" spans="1:12" x14ac:dyDescent="0.25">
      <c r="A504" s="81"/>
      <c r="B504" s="81"/>
      <c r="C504" s="81"/>
      <c r="D504" s="81"/>
      <c r="E504" s="81"/>
      <c r="F504" s="81"/>
      <c r="G504" s="81"/>
      <c r="H504" s="81"/>
      <c r="I504" s="81"/>
      <c r="J504" s="81"/>
      <c r="K504" s="81"/>
      <c r="L504" s="81"/>
    </row>
    <row r="505" spans="1:12" x14ac:dyDescent="0.25">
      <c r="A505" s="71" t="str">
        <f>"ИДДз = "&amp;C491&amp;"/"&amp;ABS(ROUND(B494,2))&amp;" ="</f>
        <v>ИДДз = 519283418,5/513820498,63 =</v>
      </c>
      <c r="B505" s="113">
        <f>ROUND((C491/ABS(B494)),2)</f>
        <v>1.01</v>
      </c>
    </row>
    <row r="506" spans="1:12" x14ac:dyDescent="0.25">
      <c r="A506" s="71" t="str">
        <f>"ИДДи = "&amp;B505&amp;"+("&amp;B505&amp;"+"&amp;ROUND(L488,2)&amp;")/"&amp;ABS(SUM(B495:C495))&amp;" ="</f>
        <v>ИДДи = 1,01+(1,01+5462919,87)/92887520,9 =</v>
      </c>
      <c r="B506" s="81">
        <f>B505+(B505+L488)/ABS(SUM(B495:C495))</f>
        <v>1.0688122153176662</v>
      </c>
    </row>
    <row r="507" spans="1:12" x14ac:dyDescent="0.25">
      <c r="A507" s="216">
        <f t="shared" ref="A507:K507" si="93">-B474</f>
        <v>0</v>
      </c>
      <c r="B507" s="216">
        <f t="shared" si="93"/>
        <v>0</v>
      </c>
      <c r="C507" s="216">
        <f t="shared" si="93"/>
        <v>-62067454.628648981</v>
      </c>
      <c r="D507" s="216">
        <f t="shared" si="93"/>
        <v>-85334104.628648981</v>
      </c>
      <c r="E507" s="216">
        <f t="shared" si="93"/>
        <v>-120234079.62864898</v>
      </c>
      <c r="F507" s="216">
        <f t="shared" si="93"/>
        <v>-143500729.628649</v>
      </c>
      <c r="G507" s="216">
        <f t="shared" si="93"/>
        <v>-155134054.628649</v>
      </c>
      <c r="H507" s="216">
        <f t="shared" si="93"/>
        <v>-155134054.628649</v>
      </c>
      <c r="I507" s="216">
        <f t="shared" si="93"/>
        <v>-155134054.628649</v>
      </c>
      <c r="J507" s="216">
        <f t="shared" si="93"/>
        <v>-155134054.628649</v>
      </c>
      <c r="K507" s="216">
        <f t="shared" si="93"/>
        <v>-155134054.628649</v>
      </c>
    </row>
    <row r="508" spans="1:12" x14ac:dyDescent="0.25">
      <c r="A508" s="216">
        <f>B477</f>
        <v>0</v>
      </c>
      <c r="B508" s="216">
        <f t="shared" ref="B508:K508" si="94">-C477</f>
        <v>0</v>
      </c>
      <c r="C508" s="216">
        <f t="shared" si="94"/>
        <v>0</v>
      </c>
      <c r="D508" s="216">
        <f t="shared" si="94"/>
        <v>-839649.71427020081</v>
      </c>
      <c r="E508" s="216">
        <f t="shared" si="94"/>
        <v>-7569504.7142702043</v>
      </c>
      <c r="F508" s="216">
        <f t="shared" si="94"/>
        <v>-12056074.714270197</v>
      </c>
      <c r="G508" s="216">
        <f t="shared" si="94"/>
        <v>-14299359.714270202</v>
      </c>
      <c r="H508" s="216">
        <f t="shared" si="94"/>
        <v>-14299359.714270202</v>
      </c>
      <c r="I508" s="216">
        <f t="shared" si="94"/>
        <v>-14299359.714270202</v>
      </c>
      <c r="J508" s="216">
        <f t="shared" si="94"/>
        <v>-14299359.714270202</v>
      </c>
      <c r="K508" s="216">
        <f t="shared" si="94"/>
        <v>-14299359.714270202</v>
      </c>
    </row>
    <row r="522" spans="1:13" x14ac:dyDescent="0.25">
      <c r="A522" s="141" t="s">
        <v>392</v>
      </c>
      <c r="B522" s="142">
        <v>0</v>
      </c>
      <c r="C522" s="142">
        <v>1</v>
      </c>
      <c r="D522" s="142">
        <v>2</v>
      </c>
      <c r="E522" s="142">
        <v>3</v>
      </c>
      <c r="F522" s="142">
        <v>4</v>
      </c>
      <c r="G522" s="142">
        <v>5</v>
      </c>
      <c r="H522" s="142">
        <v>6</v>
      </c>
      <c r="I522" s="142">
        <v>7</v>
      </c>
      <c r="J522" s="142">
        <v>8</v>
      </c>
      <c r="K522" s="142">
        <v>9</v>
      </c>
      <c r="L522" s="142">
        <v>10</v>
      </c>
    </row>
    <row r="523" spans="1:13" x14ac:dyDescent="0.25">
      <c r="A523" s="141" t="s">
        <v>387</v>
      </c>
      <c r="B523" s="111">
        <f>B484</f>
        <v>-87559403</v>
      </c>
      <c r="C523" s="111">
        <f>C484</f>
        <v>-6396300</v>
      </c>
      <c r="D523" s="111">
        <f t="shared" ref="D523:L523" si="95">D484</f>
        <v>-16367954.628648989</v>
      </c>
      <c r="E523" s="111">
        <f t="shared" si="95"/>
        <v>5225245.6570808031</v>
      </c>
      <c r="F523" s="111">
        <f t="shared" si="95"/>
        <v>32144665.657080818</v>
      </c>
      <c r="G523" s="111">
        <f t="shared" si="95"/>
        <v>50090945.657080777</v>
      </c>
      <c r="H523" s="111">
        <f t="shared" si="95"/>
        <v>59064085.657080799</v>
      </c>
      <c r="I523" s="111">
        <f t="shared" si="95"/>
        <v>59064085.657080799</v>
      </c>
      <c r="J523" s="111">
        <f t="shared" si="95"/>
        <v>59064085.657080799</v>
      </c>
      <c r="K523" s="111">
        <f t="shared" si="95"/>
        <v>59064085.657080799</v>
      </c>
      <c r="L523" s="111">
        <f t="shared" si="95"/>
        <v>59064085.657080799</v>
      </c>
      <c r="M523" s="81"/>
    </row>
    <row r="524" spans="1:13" x14ac:dyDescent="0.25">
      <c r="A524" s="141" t="s">
        <v>388</v>
      </c>
      <c r="B524" s="141">
        <f>ROUND(1/POWER((1+0.3),B522),3)</f>
        <v>1</v>
      </c>
      <c r="C524" s="141">
        <f t="shared" ref="C524:L524" si="96">ROUND(1/POWER((1+0.3),C522),3)</f>
        <v>0.76900000000000002</v>
      </c>
      <c r="D524" s="141">
        <f t="shared" si="96"/>
        <v>0.59199999999999997</v>
      </c>
      <c r="E524" s="141">
        <f t="shared" si="96"/>
        <v>0.45500000000000002</v>
      </c>
      <c r="F524" s="141">
        <f t="shared" si="96"/>
        <v>0.35</v>
      </c>
      <c r="G524" s="141">
        <f t="shared" si="96"/>
        <v>0.26900000000000002</v>
      </c>
      <c r="H524" s="141">
        <f t="shared" si="96"/>
        <v>0.20699999999999999</v>
      </c>
      <c r="I524" s="141">
        <f t="shared" si="96"/>
        <v>0.159</v>
      </c>
      <c r="J524" s="141">
        <f t="shared" si="96"/>
        <v>0.123</v>
      </c>
      <c r="K524" s="141">
        <f t="shared" si="96"/>
        <v>9.4E-2</v>
      </c>
      <c r="L524" s="141">
        <f t="shared" si="96"/>
        <v>7.2999999999999995E-2</v>
      </c>
    </row>
    <row r="525" spans="1:13" x14ac:dyDescent="0.25">
      <c r="A525" s="141" t="s">
        <v>389</v>
      </c>
      <c r="B525" s="111">
        <f>B523*B524</f>
        <v>-87559403</v>
      </c>
      <c r="C525" s="111">
        <f t="shared" ref="C525:L525" si="97">C523*C524</f>
        <v>-4918754.7</v>
      </c>
      <c r="D525" s="111">
        <f t="shared" si="97"/>
        <v>-9689829.1401602011</v>
      </c>
      <c r="E525" s="111">
        <f t="shared" si="97"/>
        <v>2377486.7739717653</v>
      </c>
      <c r="F525" s="111">
        <f t="shared" si="97"/>
        <v>11250632.979978286</v>
      </c>
      <c r="G525" s="111">
        <f t="shared" si="97"/>
        <v>13474464.38175473</v>
      </c>
      <c r="H525" s="111">
        <f t="shared" si="97"/>
        <v>12226265.731015725</v>
      </c>
      <c r="I525" s="111">
        <f t="shared" si="97"/>
        <v>9391189.6194758471</v>
      </c>
      <c r="J525" s="111">
        <f t="shared" si="97"/>
        <v>7264882.5358209386</v>
      </c>
      <c r="K525" s="111">
        <f t="shared" si="97"/>
        <v>5552024.0517655956</v>
      </c>
      <c r="L525" s="111">
        <f t="shared" si="97"/>
        <v>4311678.2529668985</v>
      </c>
    </row>
    <row r="526" spans="1:13" x14ac:dyDescent="0.25">
      <c r="A526" s="141" t="s">
        <v>390</v>
      </c>
      <c r="B526" s="111">
        <f>B525</f>
        <v>-87559403</v>
      </c>
      <c r="C526" s="127">
        <f>B526+C525</f>
        <v>-92478157.700000003</v>
      </c>
      <c r="D526" s="127">
        <f t="shared" ref="D526:K526" si="98">C526+D525</f>
        <v>-102167986.84016021</v>
      </c>
      <c r="E526" s="127">
        <f t="shared" si="98"/>
        <v>-99790500.06618844</v>
      </c>
      <c r="F526" s="127">
        <f t="shared" si="98"/>
        <v>-88539867.086210161</v>
      </c>
      <c r="G526" s="127">
        <f t="shared" si="98"/>
        <v>-75065402.704455435</v>
      </c>
      <c r="H526" s="127">
        <f t="shared" si="98"/>
        <v>-62839136.973439708</v>
      </c>
      <c r="I526" s="127">
        <f t="shared" si="98"/>
        <v>-53447947.353963859</v>
      </c>
      <c r="J526" s="127">
        <f t="shared" si="98"/>
        <v>-46183064.818142921</v>
      </c>
      <c r="K526" s="127">
        <f t="shared" si="98"/>
        <v>-40631040.766377322</v>
      </c>
      <c r="L526" s="127">
        <f>K526+L525</f>
        <v>-36319362.513410427</v>
      </c>
    </row>
    <row r="529" spans="1:1" x14ac:dyDescent="0.3">
      <c r="A529" s="208" t="s">
        <v>391</v>
      </c>
    </row>
    <row r="530" spans="1:1" x14ac:dyDescent="0.25">
      <c r="A530" s="71">
        <f>ROUND(20+(L488/(L488-L526)*(30-20)),2)</f>
        <v>21.31</v>
      </c>
    </row>
  </sheetData>
  <mergeCells count="240">
    <mergeCell ref="Q394:R394"/>
    <mergeCell ref="D343:E343"/>
    <mergeCell ref="D345:G345"/>
    <mergeCell ref="D351:G351"/>
    <mergeCell ref="A205:C205"/>
    <mergeCell ref="A206:C206"/>
    <mergeCell ref="A207:C207"/>
    <mergeCell ref="A208:C208"/>
    <mergeCell ref="A209:C209"/>
    <mergeCell ref="A210:C210"/>
    <mergeCell ref="A213:B213"/>
    <mergeCell ref="A214:B214"/>
    <mergeCell ref="A238:C238"/>
    <mergeCell ref="A224:B224"/>
    <mergeCell ref="A225:C225"/>
    <mergeCell ref="A226:C226"/>
    <mergeCell ref="A229:B229"/>
    <mergeCell ref="A230:B230"/>
    <mergeCell ref="A231:B231"/>
    <mergeCell ref="A232:B232"/>
    <mergeCell ref="A233:B233"/>
    <mergeCell ref="A234:B234"/>
    <mergeCell ref="A215:B215"/>
    <mergeCell ref="A216:B216"/>
    <mergeCell ref="A256:B256"/>
    <mergeCell ref="A257:B257"/>
    <mergeCell ref="A259:B259"/>
    <mergeCell ref="A260:B260"/>
    <mergeCell ref="A258:C258"/>
    <mergeCell ref="A284:C284"/>
    <mergeCell ref="A285:C285"/>
    <mergeCell ref="A286:C286"/>
    <mergeCell ref="A287:C287"/>
    <mergeCell ref="A261:B261"/>
    <mergeCell ref="A262:B262"/>
    <mergeCell ref="A263:B263"/>
    <mergeCell ref="A264:B264"/>
    <mergeCell ref="A265:B265"/>
    <mergeCell ref="A266:B266"/>
    <mergeCell ref="A267:B267"/>
    <mergeCell ref="A268:B268"/>
    <mergeCell ref="A277:C277"/>
    <mergeCell ref="A280:C280"/>
    <mergeCell ref="A281:C281"/>
    <mergeCell ref="A282:C282"/>
    <mergeCell ref="A283:C283"/>
    <mergeCell ref="A245:C245"/>
    <mergeCell ref="A246:C246"/>
    <mergeCell ref="A247:C247"/>
    <mergeCell ref="A248:C248"/>
    <mergeCell ref="A249:C249"/>
    <mergeCell ref="A250:C250"/>
    <mergeCell ref="A251:C251"/>
    <mergeCell ref="A252:C252"/>
    <mergeCell ref="A253:C253"/>
    <mergeCell ref="A148:C148"/>
    <mergeCell ref="A149:C149"/>
    <mergeCell ref="A142:C142"/>
    <mergeCell ref="A143:C143"/>
    <mergeCell ref="A144:C144"/>
    <mergeCell ref="A145:C145"/>
    <mergeCell ref="A146:C146"/>
    <mergeCell ref="A244:E244"/>
    <mergeCell ref="A237:B237"/>
    <mergeCell ref="A239:C239"/>
    <mergeCell ref="A176:K176"/>
    <mergeCell ref="A184:K184"/>
    <mergeCell ref="D185:D191"/>
    <mergeCell ref="A168:C168"/>
    <mergeCell ref="A169:C169"/>
    <mergeCell ref="A170:C170"/>
    <mergeCell ref="A171:C171"/>
    <mergeCell ref="A172:C172"/>
    <mergeCell ref="A203:C203"/>
    <mergeCell ref="A204:C204"/>
    <mergeCell ref="A240:C240"/>
    <mergeCell ref="A241:C241"/>
    <mergeCell ref="A242:C242"/>
    <mergeCell ref="A243:C243"/>
    <mergeCell ref="A163:C163"/>
    <mergeCell ref="A167:C167"/>
    <mergeCell ref="A164:C164"/>
    <mergeCell ref="A165:C165"/>
    <mergeCell ref="A150:C150"/>
    <mergeCell ref="A151:C151"/>
    <mergeCell ref="A166:C166"/>
    <mergeCell ref="A157:C157"/>
    <mergeCell ref="A158:C158"/>
    <mergeCell ref="A159:C159"/>
    <mergeCell ref="A160:C160"/>
    <mergeCell ref="A152:C152"/>
    <mergeCell ref="A153:C153"/>
    <mergeCell ref="A154:C154"/>
    <mergeCell ref="A155:C155"/>
    <mergeCell ref="A156:C156"/>
    <mergeCell ref="A161:C161"/>
    <mergeCell ref="A123:C123"/>
    <mergeCell ref="A124:C124"/>
    <mergeCell ref="A118:C118"/>
    <mergeCell ref="A119:C119"/>
    <mergeCell ref="A120:C120"/>
    <mergeCell ref="A137:C137"/>
    <mergeCell ref="A138:C138"/>
    <mergeCell ref="A139:C139"/>
    <mergeCell ref="A162:C162"/>
    <mergeCell ref="A125:B125"/>
    <mergeCell ref="A126:B126"/>
    <mergeCell ref="A127:B127"/>
    <mergeCell ref="A128:B128"/>
    <mergeCell ref="A129:B129"/>
    <mergeCell ref="A130:B130"/>
    <mergeCell ref="A131:E131"/>
    <mergeCell ref="A132:E132"/>
    <mergeCell ref="A140:C140"/>
    <mergeCell ref="A141:C141"/>
    <mergeCell ref="A133:C133"/>
    <mergeCell ref="A134:C134"/>
    <mergeCell ref="A135:C135"/>
    <mergeCell ref="A136:C136"/>
    <mergeCell ref="A147:C147"/>
    <mergeCell ref="A114:C114"/>
    <mergeCell ref="A115:C115"/>
    <mergeCell ref="A116:C116"/>
    <mergeCell ref="A117:C117"/>
    <mergeCell ref="A110:C110"/>
    <mergeCell ref="A111:C111"/>
    <mergeCell ref="A112:C112"/>
    <mergeCell ref="A121:C121"/>
    <mergeCell ref="A122:C122"/>
    <mergeCell ref="A107:C107"/>
    <mergeCell ref="A108:C108"/>
    <mergeCell ref="A109:C109"/>
    <mergeCell ref="A102:C102"/>
    <mergeCell ref="A103:C103"/>
    <mergeCell ref="A104:C104"/>
    <mergeCell ref="A105:C105"/>
    <mergeCell ref="A106:C106"/>
    <mergeCell ref="A113:C113"/>
    <mergeCell ref="D9:E9"/>
    <mergeCell ref="A34:B34"/>
    <mergeCell ref="A46:B46"/>
    <mergeCell ref="A65:B65"/>
    <mergeCell ref="A35:B35"/>
    <mergeCell ref="A38:B38"/>
    <mergeCell ref="A39:B39"/>
    <mergeCell ref="D35:E35"/>
    <mergeCell ref="D36:E36"/>
    <mergeCell ref="D37:E37"/>
    <mergeCell ref="D38:E38"/>
    <mergeCell ref="D39:E39"/>
    <mergeCell ref="D40:E40"/>
    <mergeCell ref="A40:B40"/>
    <mergeCell ref="A9:B9"/>
    <mergeCell ref="A41:B41"/>
    <mergeCell ref="A42:B42"/>
    <mergeCell ref="A43:B43"/>
    <mergeCell ref="A44:B44"/>
    <mergeCell ref="A36:B36"/>
    <mergeCell ref="A47:E47"/>
    <mergeCell ref="A48:A49"/>
    <mergeCell ref="B48:B49"/>
    <mergeCell ref="C48:C49"/>
    <mergeCell ref="D48:E48"/>
    <mergeCell ref="A37:B37"/>
    <mergeCell ref="A45:B45"/>
    <mergeCell ref="A99:C99"/>
    <mergeCell ref="A100:C100"/>
    <mergeCell ref="A101:C101"/>
    <mergeCell ref="A90:B90"/>
    <mergeCell ref="A91:C91"/>
    <mergeCell ref="A92:C92"/>
    <mergeCell ref="A93:C93"/>
    <mergeCell ref="A94:C94"/>
    <mergeCell ref="A95:C95"/>
    <mergeCell ref="A96:C96"/>
    <mergeCell ref="A97:C97"/>
    <mergeCell ref="A98:C98"/>
    <mergeCell ref="A288:C288"/>
    <mergeCell ref="A289:C289"/>
    <mergeCell ref="A290:C290"/>
    <mergeCell ref="A291:C291"/>
    <mergeCell ref="A292:C292"/>
    <mergeCell ref="A293:C293"/>
    <mergeCell ref="A294:C294"/>
    <mergeCell ref="A295:C295"/>
    <mergeCell ref="A298:C298"/>
    <mergeCell ref="A308:C308"/>
    <mergeCell ref="A309:C309"/>
    <mergeCell ref="A310:C310"/>
    <mergeCell ref="A313:C313"/>
    <mergeCell ref="A314:C314"/>
    <mergeCell ref="A315:C315"/>
    <mergeCell ref="A316:C316"/>
    <mergeCell ref="A299:C299"/>
    <mergeCell ref="A300:C300"/>
    <mergeCell ref="A301:C301"/>
    <mergeCell ref="A302:C302"/>
    <mergeCell ref="A303:C303"/>
    <mergeCell ref="A304:C304"/>
    <mergeCell ref="A305:C305"/>
    <mergeCell ref="A306:C306"/>
    <mergeCell ref="A307:C307"/>
    <mergeCell ref="A319:C319"/>
    <mergeCell ref="A320:C320"/>
    <mergeCell ref="A321:C321"/>
    <mergeCell ref="A322:C322"/>
    <mergeCell ref="A323:C323"/>
    <mergeCell ref="A324:C324"/>
    <mergeCell ref="A325:C325"/>
    <mergeCell ref="A326:C326"/>
    <mergeCell ref="A327:C327"/>
    <mergeCell ref="A328:C328"/>
    <mergeCell ref="A329:C329"/>
    <mergeCell ref="A330:C330"/>
    <mergeCell ref="A331:C331"/>
    <mergeCell ref="B394:H394"/>
    <mergeCell ref="D405:J405"/>
    <mergeCell ref="A405:A406"/>
    <mergeCell ref="B405:B406"/>
    <mergeCell ref="C405:C406"/>
    <mergeCell ref="A394:A395"/>
    <mergeCell ref="I394:J394"/>
    <mergeCell ref="I395:J395"/>
    <mergeCell ref="I396:J396"/>
    <mergeCell ref="I397:J397"/>
    <mergeCell ref="I398:J398"/>
    <mergeCell ref="B470:H470"/>
    <mergeCell ref="A470:A471"/>
    <mergeCell ref="D438:E438"/>
    <mergeCell ref="A334:C334"/>
    <mergeCell ref="A335:B335"/>
    <mergeCell ref="A337:B337"/>
    <mergeCell ref="A362:A363"/>
    <mergeCell ref="B362:B363"/>
    <mergeCell ref="C362:D362"/>
    <mergeCell ref="A449:B449"/>
    <mergeCell ref="D450:J450"/>
    <mergeCell ref="A450:A451"/>
    <mergeCell ref="B450:B451"/>
    <mergeCell ref="C450:C451"/>
  </mergeCells>
  <printOptions horizontalCentered="1" verticalCentered="1" gridLines="1"/>
  <pageMargins left="0.19685039370078741" right="0.19685039370078741" top="0.19685039370078741" bottom="0.19685039370078741" header="0.19685039370078741" footer="0.19685039370078741"/>
  <pageSetup paperSize="9" scale="80" pageOrder="overThenDown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topLeftCell="A136" workbookViewId="0">
      <selection activeCell="A148" sqref="A148"/>
    </sheetView>
  </sheetViews>
  <sheetFormatPr defaultRowHeight="15" x14ac:dyDescent="0.25"/>
  <cols>
    <col min="1" max="1" width="124" bestFit="1" customWidth="1"/>
    <col min="2" max="2" width="16.5703125" bestFit="1" customWidth="1"/>
  </cols>
  <sheetData>
    <row r="1" spans="1:4" x14ac:dyDescent="0.25">
      <c r="A1" t="str">
        <f>"Производственные затраты на "&amp;D1&amp;" шаге = Итого переменных издержек + Итого постоянных издержек ="</f>
        <v>Производственные затраты на 0 шаге = Итого переменных издержек + Итого постоянных издержек =</v>
      </c>
      <c r="B1">
        <v>0</v>
      </c>
      <c r="D1">
        <v>0</v>
      </c>
    </row>
    <row r="2" spans="1:4" x14ac:dyDescent="0.25">
      <c r="A2" t="str">
        <f>"Производственные затраты на "&amp;D2&amp;" шаге = Итого переменных издержек + Итого постоянных издержек ="</f>
        <v>Производственные затраты на 1 шаге = Итого переменных издержек + Итого постоянных издержек =</v>
      </c>
      <c r="B2">
        <v>0</v>
      </c>
      <c r="D2">
        <v>1</v>
      </c>
    </row>
    <row r="3" spans="1:4" x14ac:dyDescent="0.25">
      <c r="A3" t="str">
        <f>"Производственные затраты на "&amp;D3&amp;" шаге = Итого переменных издержек + Итого постоянных издержек ="</f>
        <v>Производственные затраты на 2 шаге = Итого переменных издержек + Итого постоянных издержек =</v>
      </c>
      <c r="B3" s="214">
        <f>'666'!D$474</f>
        <v>62067454.628648981</v>
      </c>
      <c r="D3">
        <v>2</v>
      </c>
    </row>
    <row r="4" spans="1:4" x14ac:dyDescent="0.25">
      <c r="A4" t="str">
        <f>"Производственные затраты на "&amp;D4&amp;" шаге = Итого переменных издержек + Итого постоянных издержек ="</f>
        <v>Производственные затраты на 3 шаге = Итого переменных издержек + Итого постоянных издержек =</v>
      </c>
      <c r="B4" s="214">
        <f>'666'!E$474</f>
        <v>85334104.628648981</v>
      </c>
      <c r="D4">
        <v>3</v>
      </c>
    </row>
    <row r="5" spans="1:4" x14ac:dyDescent="0.25">
      <c r="A5" t="str">
        <f>"Производственные затраты на "&amp;D5&amp;" шаге = Итого переменных издержек + Итого постоянных издержек ="</f>
        <v>Производственные затраты на 4 шаге = Итого переменных издержек + Итого постоянных издержек =</v>
      </c>
      <c r="B5" s="214">
        <f>'666'!F$474</f>
        <v>120234079.62864898</v>
      </c>
      <c r="D5">
        <v>4</v>
      </c>
    </row>
    <row r="6" spans="1:4" x14ac:dyDescent="0.25">
      <c r="A6" t="str">
        <f>"Производственные затраты на "&amp;D6&amp;" шаге = Итого переменных издержек + Итого постоянных издержек ="</f>
        <v>Производственные затраты на 5 шаге = Итого переменных издержек + Итого постоянных издержек =</v>
      </c>
      <c r="B6" s="214">
        <f>'666'!G$474</f>
        <v>143500729.628649</v>
      </c>
      <c r="D6">
        <v>5</v>
      </c>
    </row>
    <row r="7" spans="1:4" x14ac:dyDescent="0.25">
      <c r="A7" t="str">
        <f>"Производственные затраты на "&amp;D7&amp;" шаге = Итого переменных издержек + Итого постоянных издержек ="</f>
        <v>Производственные затраты на 6 шаге = Итого переменных издержек + Итого постоянных издержек =</v>
      </c>
      <c r="B7" s="214">
        <f>'666'!H$474</f>
        <v>155134054.628649</v>
      </c>
      <c r="D7">
        <v>6</v>
      </c>
    </row>
    <row r="8" spans="1:4" x14ac:dyDescent="0.25">
      <c r="A8" t="str">
        <f>"Производственные затраты на "&amp;D8&amp;" шаге = Итого переменных издержек + Итого постоянных издержек ="</f>
        <v>Производственные затраты на 7 шаге = Итого переменных издержек + Итого постоянных издержек =</v>
      </c>
      <c r="B8" s="214">
        <f>'666'!I$474</f>
        <v>155134054.628649</v>
      </c>
      <c r="D8">
        <v>7</v>
      </c>
    </row>
    <row r="9" spans="1:4" x14ac:dyDescent="0.25">
      <c r="A9" t="str">
        <f>"Производственные затраты на "&amp;D9&amp;" шаге = Итого переменных издержек + Итого постоянных издержек ="</f>
        <v>Производственные затраты на 8 шаге = Итого переменных издержек + Итого постоянных издержек =</v>
      </c>
      <c r="B9" s="214">
        <f>'666'!J$474</f>
        <v>155134054.628649</v>
      </c>
      <c r="D9">
        <v>8</v>
      </c>
    </row>
    <row r="10" spans="1:4" x14ac:dyDescent="0.25">
      <c r="A10" t="str">
        <f>"Производственные затраты на "&amp;D10&amp;" шаге = Итого переменных издержек + Итого постоянных издержек ="</f>
        <v>Производственные затраты на 9 шаге = Итого переменных издержек + Итого постоянных издержек =</v>
      </c>
      <c r="B10" s="214">
        <f>'666'!J$474</f>
        <v>155134054.628649</v>
      </c>
      <c r="D10">
        <v>9</v>
      </c>
    </row>
    <row r="11" spans="1:4" x14ac:dyDescent="0.25">
      <c r="A11" t="str">
        <f>"Производственные затраты на "&amp;D11&amp;" шаге = Итого переменных издержек + Итого постоянных издержек ="</f>
        <v>Производственные затраты на 10 шаге = Итого переменных издержек + Итого постоянных издержек =</v>
      </c>
      <c r="B11" s="214">
        <f>'666'!J$474</f>
        <v>155134054.628649</v>
      </c>
      <c r="D11">
        <v>10</v>
      </c>
    </row>
    <row r="14" spans="1:4" x14ac:dyDescent="0.25">
      <c r="A14" t="str">
        <f>"Налогооблагаемая прибыль на "&amp;D1&amp;" шаге = Выручка от реализации без НДС - Производственные затраты - Амортизация ="</f>
        <v>Налогооблагаемая прибыль на 0 шаге = Выручка от реализации без НДС - Производственные затраты - Амортизация =</v>
      </c>
      <c r="B14">
        <v>0</v>
      </c>
    </row>
    <row r="15" spans="1:4" x14ac:dyDescent="0.25">
      <c r="A15" t="str">
        <f>"Налогооблагаемая прибыль на "&amp;D2&amp;" шаге = Выручка от реализации без НДС - Производственные затраты - Амортизация ="</f>
        <v>Налогооблагаемая прибыль на 1 шаге = Выручка от реализации без НДС - Производственные затраты - Амортизация =</v>
      </c>
      <c r="B15">
        <v>0</v>
      </c>
    </row>
    <row r="16" spans="1:4" x14ac:dyDescent="0.25">
      <c r="A16" t="str">
        <f>"Налогооблагаемая прибыль на "&amp;D3&amp;" шаге = Выручка от реализации без НДС - Производственные затраты - Амортизация ="</f>
        <v>Налогооблагаемая прибыль на 2 шаге = Выручка от реализации без НДС - Производственные затраты - Амортизация =</v>
      </c>
      <c r="B16" s="214">
        <f>'666'!D$476</f>
        <v>-18234601.42864899</v>
      </c>
    </row>
    <row r="17" spans="1:2" x14ac:dyDescent="0.25">
      <c r="A17" t="str">
        <f>"Налогооблагаемая прибыль на "&amp;D4&amp;" шаге = Выручка от реализации без НДС - Производственные затраты - Амортизация ="</f>
        <v>Налогооблагаемая прибыль на 3 шаге = Выручка от реализации без НДС - Производственные затраты - Амортизация =</v>
      </c>
      <c r="B17" s="214">
        <f>'666'!E$476</f>
        <v>4198248.5713510038</v>
      </c>
    </row>
    <row r="18" spans="1:2" x14ac:dyDescent="0.25">
      <c r="A18" t="str">
        <f>"Налогооблагаемая прибыль на "&amp;D5&amp;" шаге = Выручка от реализации без НДС - Производственные затраты - Амортизация ="</f>
        <v>Налогооблагаемая прибыль на 4 шаге = Выручка от реализации без НДС - Производственные затраты - Амортизация =</v>
      </c>
      <c r="B18" s="214">
        <f>'666'!F$476</f>
        <v>37847523.571351022</v>
      </c>
    </row>
    <row r="19" spans="1:2" x14ac:dyDescent="0.25">
      <c r="A19" t="str">
        <f>"Налогооблагаемая прибыль на "&amp;D6&amp;" шаге = Выручка от реализации без НДС - Производственные затраты - Амортизация ="</f>
        <v>Налогооблагаемая прибыль на 5 шаге = Выручка от реализации без НДС - Производственные затраты - Амортизация =</v>
      </c>
      <c r="B19" s="214">
        <f>'666'!G$476</f>
        <v>60280373.571350977</v>
      </c>
    </row>
    <row r="20" spans="1:2" x14ac:dyDescent="0.25">
      <c r="A20" t="str">
        <f>"Налогооблагаемая прибыль на "&amp;D7&amp;" шаге = Выручка от реализации без НДС - Производственные затраты - Амортизация ="</f>
        <v>Налогооблагаемая прибыль на 6 шаге = Выручка от реализации без НДС - Производственные затраты - Амортизация =</v>
      </c>
      <c r="B20" s="214">
        <f>'666'!H$476</f>
        <v>71496798.571351007</v>
      </c>
    </row>
    <row r="21" spans="1:2" x14ac:dyDescent="0.25">
      <c r="A21" t="str">
        <f>"Налогооблагаемая прибыль на "&amp;D8&amp;" шаге = Выручка от реализации без НДС - Производственные затраты - Амортизация ="</f>
        <v>Налогооблагаемая прибыль на 7 шаге = Выручка от реализации без НДС - Производственные затраты - Амортизация =</v>
      </c>
      <c r="B21" s="214">
        <f>'666'!I$476</f>
        <v>71496798.571351007</v>
      </c>
    </row>
    <row r="22" spans="1:2" x14ac:dyDescent="0.25">
      <c r="A22" t="str">
        <f>"Налогооблагаемая прибыль на "&amp;D9&amp;" шаге = Выручка от реализации без НДС - Производственные затраты - Амортизация ="</f>
        <v>Налогооблагаемая прибыль на 8 шаге = Выручка от реализации без НДС - Производственные затраты - Амортизация =</v>
      </c>
      <c r="B22" s="214">
        <f>'666'!J$476</f>
        <v>71496798.571351007</v>
      </c>
    </row>
    <row r="23" spans="1:2" x14ac:dyDescent="0.25">
      <c r="A23" t="str">
        <f>"Налогооблагаемая прибыль на "&amp;D10&amp;" шаге = Выручка от реализации без НДС - Производственные затраты - Амортизация ="</f>
        <v>Налогооблагаемая прибыль на 9 шаге = Выручка от реализации без НДС - Производственные затраты - Амортизация =</v>
      </c>
      <c r="B23" s="214">
        <f>'666'!J$476</f>
        <v>71496798.571351007</v>
      </c>
    </row>
    <row r="24" spans="1:2" x14ac:dyDescent="0.25">
      <c r="A24" t="str">
        <f>"Налогооблагаемая прибыль на "&amp;D11&amp;" шаге = Выручка от реализации без НДС - Производственные затраты - Амортизация ="</f>
        <v>Налогооблагаемая прибыль на 10 шаге = Выручка от реализации без НДС - Производственные затраты - Амортизация =</v>
      </c>
      <c r="B24" s="214">
        <f>'666'!J$476</f>
        <v>71496798.571351007</v>
      </c>
    </row>
    <row r="25" spans="1:2" x14ac:dyDescent="0.25">
      <c r="B25" s="214"/>
    </row>
    <row r="27" spans="1:2" x14ac:dyDescent="0.25">
      <c r="A27" t="str">
        <f>"Налог на прибыль на "&amp;D1&amp;" шаге = Налогооблагаемая прибыль * 20% ="</f>
        <v>Налог на прибыль на 0 шаге = Налогооблагаемая прибыль * 20% =</v>
      </c>
      <c r="B27">
        <v>0</v>
      </c>
    </row>
    <row r="28" spans="1:2" x14ac:dyDescent="0.25">
      <c r="A28" t="str">
        <f>"Налог на прибыль на "&amp;D2&amp;" шаге = Налогооблагаемая прибыль * 20% ="</f>
        <v>Налог на прибыль на 1 шаге = Налогооблагаемая прибыль * 20% =</v>
      </c>
      <c r="B28">
        <v>0</v>
      </c>
    </row>
    <row r="29" spans="1:2" x14ac:dyDescent="0.25">
      <c r="A29" t="str">
        <f>"Налог на прибыль на "&amp;D3&amp;" шаге = Налогооблагаемая прибыль * 20% ="</f>
        <v>Налог на прибыль на 2 шаге = Налогооблагаемая прибыль * 20% =</v>
      </c>
      <c r="B29">
        <v>0</v>
      </c>
    </row>
    <row r="30" spans="1:2" x14ac:dyDescent="0.25">
      <c r="A30" t="str">
        <f>"Налог на прибыль на "&amp;D4&amp;" шаге = Налогооблагаемая прибыль * 20% ="</f>
        <v>Налог на прибыль на 3 шаге = Налогооблагаемая прибыль * 20% =</v>
      </c>
      <c r="B30" s="214">
        <f>B17*20%</f>
        <v>839649.71427020081</v>
      </c>
    </row>
    <row r="31" spans="1:2" x14ac:dyDescent="0.25">
      <c r="A31" t="str">
        <f>"Налог на прибыль на "&amp;D5&amp;" шаге = Налогооблагаемая прибыль * 20% ="</f>
        <v>Налог на прибыль на 4 шаге = Налогооблагаемая прибыль * 20% =</v>
      </c>
      <c r="B31" s="214">
        <f t="shared" ref="B31:B37" si="0">B18*20%</f>
        <v>7569504.7142702043</v>
      </c>
    </row>
    <row r="32" spans="1:2" x14ac:dyDescent="0.25">
      <c r="A32" t="str">
        <f>"Налог на прибыль на "&amp;D6&amp;" шаге = Налогооблагаемая прибыль * 20% ="</f>
        <v>Налог на прибыль на 5 шаге = Налогооблагаемая прибыль * 20% =</v>
      </c>
      <c r="B32" s="214">
        <f t="shared" si="0"/>
        <v>12056074.714270197</v>
      </c>
    </row>
    <row r="33" spans="1:2" x14ac:dyDescent="0.25">
      <c r="A33" t="str">
        <f>"Налог на прибыль на "&amp;D7&amp;" шаге = Налогооблагаемая прибыль * 20% ="</f>
        <v>Налог на прибыль на 6 шаге = Налогооблагаемая прибыль * 20% =</v>
      </c>
      <c r="B33" s="214">
        <f t="shared" si="0"/>
        <v>14299359.714270202</v>
      </c>
    </row>
    <row r="34" spans="1:2" x14ac:dyDescent="0.25">
      <c r="A34" t="str">
        <f>"Налог на прибыль на "&amp;D8&amp;" шаге = Налогооблагаемая прибыль * 20% ="</f>
        <v>Налог на прибыль на 7 шаге = Налогооблагаемая прибыль * 20% =</v>
      </c>
      <c r="B34" s="214">
        <f t="shared" si="0"/>
        <v>14299359.714270202</v>
      </c>
    </row>
    <row r="35" spans="1:2" x14ac:dyDescent="0.25">
      <c r="A35" t="str">
        <f>"Налог на прибыль на "&amp;D9&amp;" шаге = Налогооблагаемая прибыль * 20% ="</f>
        <v>Налог на прибыль на 8 шаге = Налогооблагаемая прибыль * 20% =</v>
      </c>
      <c r="B35" s="214">
        <f t="shared" si="0"/>
        <v>14299359.714270202</v>
      </c>
    </row>
    <row r="36" spans="1:2" x14ac:dyDescent="0.25">
      <c r="A36" t="str">
        <f>"Налог на прибыль на "&amp;D10&amp;" шаге = Налогооблагаемая прибыль * 20% ="</f>
        <v>Налог на прибыль на 9 шаге = Налогооблагаемая прибыль * 20% =</v>
      </c>
      <c r="B36" s="214">
        <f t="shared" si="0"/>
        <v>14299359.714270202</v>
      </c>
    </row>
    <row r="37" spans="1:2" x14ac:dyDescent="0.25">
      <c r="A37" t="str">
        <f>"Налог на прибыль на "&amp;D11&amp;" шаге = Налогооблагаемая прибыль * 20% ="</f>
        <v>Налог на прибыль на 10 шаге = Налогооблагаемая прибыль * 20% =</v>
      </c>
      <c r="B37" s="214">
        <f t="shared" si="0"/>
        <v>14299359.714270202</v>
      </c>
    </row>
    <row r="40" spans="1:2" x14ac:dyDescent="0.25">
      <c r="A40" t="str">
        <f>"Чистая прибыль на "&amp;D1&amp;" шаге = Налогооблагаемая прибыль - Налог на прибыль ="</f>
        <v>Чистая прибыль на 0 шаге = Налогооблагаемая прибыль - Налог на прибыль =</v>
      </c>
      <c r="B40">
        <f>B14-B27</f>
        <v>0</v>
      </c>
    </row>
    <row r="41" spans="1:2" x14ac:dyDescent="0.25">
      <c r="A41" t="str">
        <f>"Чистая прибыль на "&amp;D2&amp;" шаге = Налогооблагаемая прибыль - Налог на прибыль ="</f>
        <v>Чистая прибыль на 1 шаге = Налогооблагаемая прибыль - Налог на прибыль =</v>
      </c>
      <c r="B41">
        <f t="shared" ref="B41:B50" si="1">B15-B28</f>
        <v>0</v>
      </c>
    </row>
    <row r="42" spans="1:2" x14ac:dyDescent="0.25">
      <c r="A42" t="str">
        <f>"Чистая прибыль на "&amp;D3&amp;" шаге = Налогооблагаемая прибыль - Налог на прибыль ="</f>
        <v>Чистая прибыль на 2 шаге = Налогооблагаемая прибыль - Налог на прибыль =</v>
      </c>
      <c r="B42">
        <f t="shared" si="1"/>
        <v>-18234601.42864899</v>
      </c>
    </row>
    <row r="43" spans="1:2" x14ac:dyDescent="0.25">
      <c r="A43" t="str">
        <f>"Чистая прибыль на "&amp;D4&amp;" шаге = Налогооблагаемая прибыль - Налог на прибыль ="</f>
        <v>Чистая прибыль на 3 шаге = Налогооблагаемая прибыль - Налог на прибыль =</v>
      </c>
      <c r="B43">
        <f t="shared" si="1"/>
        <v>3358598.8570808033</v>
      </c>
    </row>
    <row r="44" spans="1:2" x14ac:dyDescent="0.25">
      <c r="A44" t="str">
        <f>"Чистая прибыль на "&amp;D5&amp;" шаге = Налогооблагаемая прибыль - Налог на прибыль ="</f>
        <v>Чистая прибыль на 4 шаге = Налогооблагаемая прибыль - Налог на прибыль =</v>
      </c>
      <c r="B44">
        <f t="shared" si="1"/>
        <v>30278018.857080817</v>
      </c>
    </row>
    <row r="45" spans="1:2" x14ac:dyDescent="0.25">
      <c r="A45" t="str">
        <f>"Чистая прибыль на "&amp;D6&amp;" шаге = Налогооблагаемая прибыль - Налог на прибыль ="</f>
        <v>Чистая прибыль на 5 шаге = Налогооблагаемая прибыль - Налог на прибыль =</v>
      </c>
      <c r="B45">
        <f t="shared" si="1"/>
        <v>48224298.85708078</v>
      </c>
    </row>
    <row r="46" spans="1:2" x14ac:dyDescent="0.25">
      <c r="A46" t="str">
        <f>"Чистая прибыль на "&amp;D7&amp;" шаге = Налогооблагаемая прибыль - Налог на прибыль ="</f>
        <v>Чистая прибыль на 6 шаге = Налогооблагаемая прибыль - Налог на прибыль =</v>
      </c>
      <c r="B46">
        <f t="shared" si="1"/>
        <v>57197438.857080802</v>
      </c>
    </row>
    <row r="47" spans="1:2" x14ac:dyDescent="0.25">
      <c r="A47" t="str">
        <f>"Чистая прибыль на "&amp;D8&amp;" шаге = Налогооблагаемая прибыль - Налог на прибыль ="</f>
        <v>Чистая прибыль на 7 шаге = Налогооблагаемая прибыль - Налог на прибыль =</v>
      </c>
      <c r="B47">
        <f t="shared" si="1"/>
        <v>57197438.857080802</v>
      </c>
    </row>
    <row r="48" spans="1:2" x14ac:dyDescent="0.25">
      <c r="A48" t="str">
        <f>"Чистая прибыль на "&amp;D9&amp;" шаге = Налогооблагаемая прибыль - Налог на прибыль ="</f>
        <v>Чистая прибыль на 8 шаге = Налогооблагаемая прибыль - Налог на прибыль =</v>
      </c>
      <c r="B48">
        <f t="shared" si="1"/>
        <v>57197438.857080802</v>
      </c>
    </row>
    <row r="49" spans="1:2" x14ac:dyDescent="0.25">
      <c r="A49" t="str">
        <f>"Чистая прибыль на "&amp;D10&amp;" шаге = Налогооблагаемая прибыль - Налог на прибыль ="</f>
        <v>Чистая прибыль на 9 шаге = Налогооблагаемая прибыль - Налог на прибыль =</v>
      </c>
      <c r="B49">
        <f t="shared" si="1"/>
        <v>57197438.857080802</v>
      </c>
    </row>
    <row r="50" spans="1:2" x14ac:dyDescent="0.25">
      <c r="A50" t="str">
        <f>"Чистая прибыль на "&amp;D11&amp;" шаге = Налогооблагаемая прибыль - Налог на прибыль ="</f>
        <v>Чистая прибыль на 10 шаге = Налогооблагаемая прибыль - Налог на прибыль =</v>
      </c>
      <c r="B50">
        <f t="shared" si="1"/>
        <v>57197438.857080802</v>
      </c>
    </row>
    <row r="53" spans="1:2" x14ac:dyDescent="0.25">
      <c r="A53" t="str">
        <f>"Денежный поток от ОД на "&amp;D1&amp;" шаге = Чистая прибыль + Амортизация ="</f>
        <v>Денежный поток от ОД на 0 шаге = Чистая прибыль + Амортизация =</v>
      </c>
      <c r="B53" s="214">
        <v>0</v>
      </c>
    </row>
    <row r="54" spans="1:2" x14ac:dyDescent="0.25">
      <c r="A54" t="str">
        <f>"Денежный поток от ОД на "&amp;D2&amp;" шаге = Чистая прибыль + Амортизация ="</f>
        <v>Денежный поток от ОД на 1 шаге = Чистая прибыль + Амортизация =</v>
      </c>
      <c r="B54" s="214">
        <v>0</v>
      </c>
    </row>
    <row r="55" spans="1:2" x14ac:dyDescent="0.25">
      <c r="A55" t="str">
        <f>"Денежный поток от ОД на "&amp;D3&amp;" шаге = Чистая прибыль + Амортизация ="</f>
        <v>Денежный поток от ОД на 2 шаге = Чистая прибыль + Амортизация =</v>
      </c>
      <c r="B55" s="214">
        <f>B42+'666'!D$475</f>
        <v>-16367954.628648989</v>
      </c>
    </row>
    <row r="56" spans="1:2" x14ac:dyDescent="0.25">
      <c r="A56" t="str">
        <f>"Денежный поток от ОД на "&amp;D4&amp;" шаге = Чистая прибыль + Амортизация ="</f>
        <v>Денежный поток от ОД на 3 шаге = Чистая прибыль + Амортизация =</v>
      </c>
      <c r="B56" s="214">
        <f>B43+'666'!D$475</f>
        <v>5225245.6570808031</v>
      </c>
    </row>
    <row r="57" spans="1:2" x14ac:dyDescent="0.25">
      <c r="A57" t="str">
        <f>"Денежный поток от ОД на "&amp;D5&amp;" шаге = Чистая прибыль + Амортизация ="</f>
        <v>Денежный поток от ОД на 4 шаге = Чистая прибыль + Амортизация =</v>
      </c>
      <c r="B57" s="214">
        <f>B44+'666'!D$475</f>
        <v>32144665.657080818</v>
      </c>
    </row>
    <row r="58" spans="1:2" x14ac:dyDescent="0.25">
      <c r="A58" t="str">
        <f>"Денежный поток от ОД на "&amp;D6&amp;" шаге = Чистая прибыль + Амортизация ="</f>
        <v>Денежный поток от ОД на 5 шаге = Чистая прибыль + Амортизация =</v>
      </c>
      <c r="B58" s="214">
        <f>B45+'666'!D$475</f>
        <v>50090945.657080777</v>
      </c>
    </row>
    <row r="59" spans="1:2" x14ac:dyDescent="0.25">
      <c r="A59" t="str">
        <f>"Денежный поток от ОД на "&amp;D7&amp;" шаге = Чистая прибыль + Амортизация ="</f>
        <v>Денежный поток от ОД на 6 шаге = Чистая прибыль + Амортизация =</v>
      </c>
      <c r="B59" s="214">
        <f>B46+'666'!D$475</f>
        <v>59064085.657080799</v>
      </c>
    </row>
    <row r="60" spans="1:2" x14ac:dyDescent="0.25">
      <c r="A60" t="str">
        <f>"Денежный поток от ОД на "&amp;D8&amp;" шаге = Чистая прибыль + Амортизация ="</f>
        <v>Денежный поток от ОД на 7 шаге = Чистая прибыль + Амортизация =</v>
      </c>
      <c r="B60" s="214">
        <f>B47+'666'!D$475</f>
        <v>59064085.657080799</v>
      </c>
    </row>
    <row r="61" spans="1:2" x14ac:dyDescent="0.25">
      <c r="A61" t="str">
        <f>"Денежный поток от ОД на "&amp;D9&amp;" шаге = Чистая прибыль + Амортизация ="</f>
        <v>Денежный поток от ОД на 8 шаге = Чистая прибыль + Амортизация =</v>
      </c>
      <c r="B61" s="214">
        <f>B48+'666'!D$475</f>
        <v>59064085.657080799</v>
      </c>
    </row>
    <row r="62" spans="1:2" x14ac:dyDescent="0.25">
      <c r="A62" t="str">
        <f>"Денежный поток от ОД на "&amp;D10&amp;" шаге = Чистая прибыль + Амортизация ="</f>
        <v>Денежный поток от ОД на 9 шаге = Чистая прибыль + Амортизация =</v>
      </c>
      <c r="B62" s="214">
        <f>B49+'666'!D$475</f>
        <v>59064085.657080799</v>
      </c>
    </row>
    <row r="63" spans="1:2" x14ac:dyDescent="0.25">
      <c r="A63" t="str">
        <f>"Денежный поток от ОД на "&amp;D11&amp;" шаге = Чистая прибыль + Амортизация ="</f>
        <v>Денежный поток от ОД на 10 шаге = Чистая прибыль + Амортизация =</v>
      </c>
      <c r="B63" s="214">
        <f>B50+'666'!D$475</f>
        <v>59064085.657080799</v>
      </c>
    </row>
    <row r="66" spans="1:2" x14ac:dyDescent="0.25">
      <c r="A66" t="str">
        <f>"ДП проекта на "&amp;D1&amp;" шаге = Денежный поток от ОД + Денежный поток от ИД ="</f>
        <v>ДП проекта на 0 шаге = Денежный поток от ОД + Денежный поток от ИД =</v>
      </c>
      <c r="B66" s="214">
        <f>'666'!B$484</f>
        <v>-87559403</v>
      </c>
    </row>
    <row r="67" spans="1:2" x14ac:dyDescent="0.25">
      <c r="A67" t="str">
        <f>"ДП проекта на "&amp;D2&amp;" шаге = Денежный поток от ОД + Денежный поток от ИД ="</f>
        <v>ДП проекта на 1 шаге = Денежный поток от ОД + Денежный поток от ИД =</v>
      </c>
      <c r="B67" s="214">
        <f>'666'!C$484</f>
        <v>-6396300</v>
      </c>
    </row>
    <row r="68" spans="1:2" x14ac:dyDescent="0.25">
      <c r="A68" t="str">
        <f>"ДП проекта на "&amp;D3&amp;" шаге = Денежный поток от ОД + Денежный поток от ИД ="</f>
        <v>ДП проекта на 2 шаге = Денежный поток от ОД + Денежный поток от ИД =</v>
      </c>
      <c r="B68" s="214">
        <f>B55</f>
        <v>-16367954.628648989</v>
      </c>
    </row>
    <row r="69" spans="1:2" x14ac:dyDescent="0.25">
      <c r="A69" t="str">
        <f>"ДП проекта на "&amp;D4&amp;" шаге = Денежный поток от ОД + Денежный поток от ИД ="</f>
        <v>ДП проекта на 3 шаге = Денежный поток от ОД + Денежный поток от ИД =</v>
      </c>
      <c r="B69" s="214">
        <f t="shared" ref="B69:B76" si="2">B56</f>
        <v>5225245.6570808031</v>
      </c>
    </row>
    <row r="70" spans="1:2" x14ac:dyDescent="0.25">
      <c r="A70" t="str">
        <f>"ДП проекта на "&amp;D5&amp;" шаге = Денежный поток от ОД + Денежный поток от ИД ="</f>
        <v>ДП проекта на 4 шаге = Денежный поток от ОД + Денежный поток от ИД =</v>
      </c>
      <c r="B70" s="214">
        <f t="shared" si="2"/>
        <v>32144665.657080818</v>
      </c>
    </row>
    <row r="71" spans="1:2" x14ac:dyDescent="0.25">
      <c r="A71" t="str">
        <f>"ДП проекта на "&amp;D6&amp;" шаге = Денежный поток от ОД + Денежный поток от ИД ="</f>
        <v>ДП проекта на 5 шаге = Денежный поток от ОД + Денежный поток от ИД =</v>
      </c>
      <c r="B71" s="214">
        <f t="shared" si="2"/>
        <v>50090945.657080777</v>
      </c>
    </row>
    <row r="72" spans="1:2" x14ac:dyDescent="0.25">
      <c r="A72" t="str">
        <f>"ДП проекта на "&amp;D7&amp;" шаге = Денежный поток от ОД + Денежный поток от ИД ="</f>
        <v>ДП проекта на 6 шаге = Денежный поток от ОД + Денежный поток от ИД =</v>
      </c>
      <c r="B72" s="214">
        <f t="shared" si="2"/>
        <v>59064085.657080799</v>
      </c>
    </row>
    <row r="73" spans="1:2" x14ac:dyDescent="0.25">
      <c r="A73" t="str">
        <f>"ДП проекта на "&amp;D8&amp;" шаге = Денежный поток от ОД + Денежный поток от ИД ="</f>
        <v>ДП проекта на 7 шаге = Денежный поток от ОД + Денежный поток от ИД =</v>
      </c>
      <c r="B73" s="214">
        <f t="shared" si="2"/>
        <v>59064085.657080799</v>
      </c>
    </row>
    <row r="74" spans="1:2" x14ac:dyDescent="0.25">
      <c r="A74" t="str">
        <f>"ДП проекта на "&amp;D9&amp;" шаге = Денежный поток от ОД + Денежный поток от ИД ="</f>
        <v>ДП проекта на 8 шаге = Денежный поток от ОД + Денежный поток от ИД =</v>
      </c>
      <c r="B74" s="214">
        <f t="shared" si="2"/>
        <v>59064085.657080799</v>
      </c>
    </row>
    <row r="75" spans="1:2" x14ac:dyDescent="0.25">
      <c r="A75" t="str">
        <f>"ДП проекта на "&amp;D10&amp;" шаге = Денежный поток от ОД + Денежный поток от ИД ="</f>
        <v>ДП проекта на 9 шаге = Денежный поток от ОД + Денежный поток от ИД =</v>
      </c>
      <c r="B75" s="214">
        <f t="shared" si="2"/>
        <v>59064085.657080799</v>
      </c>
    </row>
    <row r="76" spans="1:2" x14ac:dyDescent="0.25">
      <c r="A76" t="str">
        <f>"ДП проекта на "&amp;D11&amp;" шаге = Денежный поток от ОД + Денежный поток от ИД ="</f>
        <v>ДП проекта на 10 шаге = Денежный поток от ОД + Денежный поток от ИД =</v>
      </c>
      <c r="B76" s="214">
        <f t="shared" si="2"/>
        <v>59064085.657080799</v>
      </c>
    </row>
    <row r="79" spans="1:2" x14ac:dyDescent="0.25">
      <c r="A79" t="str">
        <f>"Дисконтрированный ДП (ДДП) на "&amp;D1&amp;" шаге = ДП проекта * Коэффициент дисконтрирования ="</f>
        <v>Дисконтрированный ДП (ДДП) на 0 шаге = ДП проекта * Коэффициент дисконтрирования =</v>
      </c>
      <c r="B79" s="214">
        <f>'666'!B$487</f>
        <v>-87559403</v>
      </c>
    </row>
    <row r="80" spans="1:2" x14ac:dyDescent="0.25">
      <c r="A80" t="str">
        <f>"Дисконтрированный ДП (ДДП) на "&amp;D2&amp;" шаге = ДП проекта * Коэффициент дисконтрирования ="</f>
        <v>Дисконтрированный ДП (ДДП) на 1 шаге = ДП проекта * Коэффициент дисконтрирования =</v>
      </c>
      <c r="B80" s="214">
        <f>'666'!C$487</f>
        <v>-5328117.8999999994</v>
      </c>
    </row>
    <row r="81" spans="1:2" x14ac:dyDescent="0.25">
      <c r="A81" t="str">
        <f>"Дисконтрированный ДП (ДДП) на "&amp;D3&amp;" шаге = ДП проекта * Коэффициент дисконтрирования ="</f>
        <v>Дисконтрированный ДП (ДДП) на 2 шаге = ДП проекта * Коэффициент дисконтрирования =</v>
      </c>
      <c r="B81" s="214">
        <f>'666'!D$487</f>
        <v>-11359360.512282398</v>
      </c>
    </row>
    <row r="82" spans="1:2" x14ac:dyDescent="0.25">
      <c r="A82" t="str">
        <f>"Дисконтрированный ДП (ДДП) на "&amp;D4&amp;" шаге = ДП проекта * Коэффициент дисконтрирования ="</f>
        <v>Дисконтрированный ДП (ДДП) на 3 шаге = ДП проекта * Коэффициент дисконтрирования =</v>
      </c>
      <c r="B82" s="214">
        <f>'666'!E$487</f>
        <v>3025417.2354497849</v>
      </c>
    </row>
    <row r="83" spans="1:2" x14ac:dyDescent="0.25">
      <c r="A83" t="str">
        <f>"Дисконтрированный ДП (ДДП) на "&amp;D5&amp;" шаге = ДП проекта * Коэффициент дисконтрирования ="</f>
        <v>Дисконтрированный ДП (ДДП) на 4 шаге = ДП проекта * Коэффициент дисконтрирования =</v>
      </c>
      <c r="B83" s="214">
        <f>'666'!F$487</f>
        <v>15493728.846712954</v>
      </c>
    </row>
    <row r="84" spans="1:2" x14ac:dyDescent="0.25">
      <c r="A84" t="str">
        <f>"Дисконтрированный ДП (ДДП) на "&amp;D6&amp;" шаге = ДП проекта * Коэффициент дисконтрирования ="</f>
        <v>Дисконтрированный ДП (ДДП) на 5 шаге = ДП проекта * Коэффициент дисконтрирования =</v>
      </c>
      <c r="B84" s="214">
        <f>'666'!G$487</f>
        <v>20136560.154146474</v>
      </c>
    </row>
    <row r="85" spans="1:2" x14ac:dyDescent="0.25">
      <c r="A85" t="str">
        <f>"Дисконтрированный ДП (ДДП) на "&amp;D7&amp;" шаге = ДП проекта * Коэффициент дисконтрирования ="</f>
        <v>Дисконтрированный ДП (ДДП) на 6 шаге = ДП проекта * Коэффициент дисконтрирования =</v>
      </c>
      <c r="B85" s="214">
        <f>'666'!H$487</f>
        <v>19786468.695122071</v>
      </c>
    </row>
    <row r="86" spans="1:2" x14ac:dyDescent="0.25">
      <c r="A86" t="str">
        <f>"Дисконтрированный ДП (ДДП) на "&amp;D8&amp;" шаге = ДП проекта * Коэффициент дисконтрирования ="</f>
        <v>Дисконтрированный ДП (ДДП) на 7 шаге = ДП проекта * Коэффициент дисконтрирования =</v>
      </c>
      <c r="B86" s="214">
        <f>'666'!I$487</f>
        <v>16478879.898325544</v>
      </c>
    </row>
    <row r="87" spans="1:2" x14ac:dyDescent="0.25">
      <c r="A87" t="str">
        <f>"Дисконтрированный ДП (ДДП) на "&amp;D9&amp;" шаге = ДП проекта * Коэффициент дисконтрирования ="</f>
        <v>Дисконтрированный ДП (ДДП) на 8 шаге = ДП проекта * Коэффициент дисконтрирования =</v>
      </c>
      <c r="B87" s="214">
        <f>'666'!J$487</f>
        <v>13761931.958099827</v>
      </c>
    </row>
    <row r="88" spans="1:2" x14ac:dyDescent="0.25">
      <c r="A88" t="str">
        <f>"Дисконтрированный ДП (ДДП) на "&amp;D10&amp;" шаге = ДП проекта * Коэффициент дисконтрирования ="</f>
        <v>Дисконтрированный ДП (ДДП) на 9 шаге = ДП проекта * Коэффициент дисконтрирования =</v>
      </c>
      <c r="B88" s="214">
        <f>'666'!K$487</f>
        <v>11458432.617473675</v>
      </c>
    </row>
    <row r="89" spans="1:2" x14ac:dyDescent="0.25">
      <c r="A89" t="str">
        <f>"Дисконтрированный ДП (ДДП) на "&amp;D11&amp;" шаге = ДП проекта * Коэффициент дисконтрирования ="</f>
        <v>Дисконтрированный ДП (ДДП) на 10 шаге = ДП проекта * Коэффициент дисконтрирования =</v>
      </c>
      <c r="B89" s="214">
        <f>'666'!L$487</f>
        <v>9568381.876447089</v>
      </c>
    </row>
    <row r="92" spans="1:2" x14ac:dyDescent="0.25">
      <c r="A92" t="str">
        <f>"ДДП накопленным итогом (ЧДД) на "&amp;D1&amp;" шаге = Дисконтрированный ДП (ДДП) на "&amp;D1&amp;" шаге "</f>
        <v xml:space="preserve">ДДП накопленным итогом (ЧДД) на 0 шаге = Дисконтрированный ДП (ДДП) на 0 шаге </v>
      </c>
      <c r="B92" s="214">
        <f>B79</f>
        <v>-87559403</v>
      </c>
    </row>
    <row r="93" spans="1:2" x14ac:dyDescent="0.25">
      <c r="A93" t="str">
        <f>"ДДП накопленным итогом (ЧДД) на "&amp;D2&amp;" шаге = ДДП накопленным итогом (ЧДД) на "&amp;D1&amp;" шаге + Дисконтрированный ДП (ДДП) на "&amp;D2&amp;" шаге "</f>
        <v xml:space="preserve">ДДП накопленным итогом (ЧДД) на 1 шаге = ДДП накопленным итогом (ЧДД) на 0 шаге + Дисконтрированный ДП (ДДП) на 1 шаге </v>
      </c>
      <c r="B93" s="214">
        <f>B92+B80</f>
        <v>-92887520.900000006</v>
      </c>
    </row>
    <row r="94" spans="1:2" x14ac:dyDescent="0.25">
      <c r="A94" t="str">
        <f>"ДДП накопленным итогом (ЧДД) на "&amp;D3&amp;" шаге = ДДП накопленным итогом (ЧДД) на "&amp;D2&amp;" шаге + Дисконтрированный ДП (ДДП) на "&amp;D3&amp;" шаге "</f>
        <v xml:space="preserve">ДДП накопленным итогом (ЧДД) на 2 шаге = ДДП накопленным итогом (ЧДД) на 1 шаге + Дисконтрированный ДП (ДДП) на 2 шаге </v>
      </c>
      <c r="B94" s="214">
        <f t="shared" ref="B94:B102" si="3">B93+B81</f>
        <v>-104246881.41228241</v>
      </c>
    </row>
    <row r="95" spans="1:2" x14ac:dyDescent="0.25">
      <c r="A95" t="str">
        <f>"ДДП накопленным итогом (ЧДД) на "&amp;D4&amp;" шаге = ДДП накопленным итогом (ЧДД) на "&amp;D3&amp;" шаге + Дисконтрированный ДП (ДДП) на "&amp;D4&amp;" шаге "</f>
        <v xml:space="preserve">ДДП накопленным итогом (ЧДД) на 3 шаге = ДДП накопленным итогом (ЧДД) на 2 шаге + Дисконтрированный ДП (ДДП) на 3 шаге </v>
      </c>
      <c r="B95" s="214">
        <f t="shared" si="3"/>
        <v>-101221464.17683262</v>
      </c>
    </row>
    <row r="96" spans="1:2" x14ac:dyDescent="0.25">
      <c r="A96" t="str">
        <f>"ДДП накопленным итогом (ЧДД) на "&amp;D5&amp;" шаге = ДДП накопленным итогом (ЧДД) на "&amp;D4&amp;" шаге + Дисконтрированный ДП (ДДП) на "&amp;D5&amp;" шаге "</f>
        <v xml:space="preserve">ДДП накопленным итогом (ЧДД) на 4 шаге = ДДП накопленным итогом (ЧДД) на 3 шаге + Дисконтрированный ДП (ДДП) на 4 шаге </v>
      </c>
      <c r="B96" s="214">
        <f t="shared" si="3"/>
        <v>-85727735.330119669</v>
      </c>
    </row>
    <row r="97" spans="1:2" x14ac:dyDescent="0.25">
      <c r="A97" t="str">
        <f>"ДДП накопленным итогом (ЧДД) на "&amp;D6&amp;" шаге = ДДП накопленным итогом (ЧДД) на "&amp;D5&amp;" шаге + Дисконтрированный ДП (ДДП) на "&amp;D6&amp;" шаге "</f>
        <v xml:space="preserve">ДДП накопленным итогом (ЧДД) на 5 шаге = ДДП накопленным итогом (ЧДД) на 4 шаге + Дисконтрированный ДП (ДДП) на 5 шаге </v>
      </c>
      <c r="B97" s="214">
        <f t="shared" si="3"/>
        <v>-65591175.175973192</v>
      </c>
    </row>
    <row r="98" spans="1:2" x14ac:dyDescent="0.25">
      <c r="A98" t="str">
        <f>"ДДП накопленным итогом (ЧДД) на "&amp;D7&amp;" шаге = ДДП накопленным итогом (ЧДД) на "&amp;D6&amp;" шаге + Дисконтрированный ДП (ДДП) на "&amp;D7&amp;" шаге "</f>
        <v xml:space="preserve">ДДП накопленным итогом (ЧДД) на 6 шаге = ДДП накопленным итогом (ЧДД) на 5 шаге + Дисконтрированный ДП (ДДП) на 6 шаге </v>
      </c>
      <c r="B98" s="214">
        <f t="shared" si="3"/>
        <v>-45804706.480851121</v>
      </c>
    </row>
    <row r="99" spans="1:2" x14ac:dyDescent="0.25">
      <c r="A99" t="str">
        <f>"ДДП накопленным итогом (ЧДД) на "&amp;D8&amp;" шаге = ДДП накопленным итогом (ЧДД) на "&amp;D7&amp;" шаге + Дисконтрированный ДП (ДДП) на "&amp;D8&amp;" шаге "</f>
        <v xml:space="preserve">ДДП накопленным итогом (ЧДД) на 7 шаге = ДДП накопленным итогом (ЧДД) на 6 шаге + Дисконтрированный ДП (ДДП) на 7 шаге </v>
      </c>
      <c r="B99" s="214">
        <f t="shared" si="3"/>
        <v>-29325826.582525577</v>
      </c>
    </row>
    <row r="100" spans="1:2" x14ac:dyDescent="0.25">
      <c r="A100" t="str">
        <f>"ДДП накопленным итогом (ЧДД) на "&amp;D9&amp;" шаге = ДДП накопленным итогом (ЧДД) на "&amp;D8&amp;" шаге + Дисконтрированный ДП (ДДП) на "&amp;D9&amp;" шаге "</f>
        <v xml:space="preserve">ДДП накопленным итогом (ЧДД) на 8 шаге = ДДП накопленным итогом (ЧДД) на 7 шаге + Дисконтрированный ДП (ДДП) на 8 шаге </v>
      </c>
      <c r="B100" s="214">
        <f t="shared" si="3"/>
        <v>-15563894.62442575</v>
      </c>
    </row>
    <row r="101" spans="1:2" x14ac:dyDescent="0.25">
      <c r="A101" t="str">
        <f>"ДДП накопленным итогом (ЧДД) на "&amp;D10&amp;" шаге = ДДП накопленным итогом (ЧДД) на "&amp;D9&amp;" шаге + Дисконтрированный ДП (ДДП) на "&amp;D10&amp;" шаге "</f>
        <v xml:space="preserve">ДДП накопленным итогом (ЧДД) на 9 шаге = ДДП накопленным итогом (ЧДД) на 8 шаге + Дисконтрированный ДП (ДДП) на 9 шаге </v>
      </c>
      <c r="B101" s="214">
        <f t="shared" si="3"/>
        <v>-4105462.0069520753</v>
      </c>
    </row>
    <row r="102" spans="1:2" x14ac:dyDescent="0.25">
      <c r="A102" t="str">
        <f>"ДДП накопленным итогом (ЧДД) на "&amp;D11&amp;" шаге = ДДП накопленным итогом (ЧДД) на "&amp;D10&amp;" шаге + Дисконтрированный ДП (ДДП) на "&amp;D11&amp;" шаге "</f>
        <v xml:space="preserve">ДДП накопленным итогом (ЧДД) на 10 шаге = ДДП накопленным итогом (ЧДД) на 9 шаге + Дисконтрированный ДП (ДДП) на 10 шаге </v>
      </c>
      <c r="B102" s="214">
        <f t="shared" si="3"/>
        <v>5462919.8694950137</v>
      </c>
    </row>
    <row r="105" spans="1:2" x14ac:dyDescent="0.25">
      <c r="A105" t="str">
        <f>"Дисконтированные притоки на "&amp;D1&amp;" шаге = Притоки + Коэффициент дисконтирования = "</f>
        <v xml:space="preserve">Дисконтированные притоки на 0 шаге = Притоки + Коэффициент дисконтирования = </v>
      </c>
      <c r="B105" s="214">
        <f>'666'!B$490</f>
        <v>0</v>
      </c>
    </row>
    <row r="106" spans="1:2" x14ac:dyDescent="0.25">
      <c r="A106" t="str">
        <f>"Дисконтированные притоки на "&amp;D2&amp;" шаге = Притоки + Коэффициент дисконтирования = "</f>
        <v xml:space="preserve">Дисконтированные притоки на 1 шаге = Притоки + Коэффициент дисконтирования = </v>
      </c>
      <c r="B106" s="214">
        <f>'666'!C$490</f>
        <v>0</v>
      </c>
    </row>
    <row r="107" spans="1:2" x14ac:dyDescent="0.25">
      <c r="A107" t="str">
        <f>"Дисконтированные притоки на "&amp;D3&amp;" шаге = Притоки + Коэффициент дисконтирования = "</f>
        <v xml:space="preserve">Дисконтированные притоки на 2 шаге = Притоки + Коэффициент дисконтирования = </v>
      </c>
      <c r="B107" s="214">
        <f>'666'!D$490</f>
        <v>31715452.999999993</v>
      </c>
    </row>
    <row r="108" spans="1:2" x14ac:dyDescent="0.25">
      <c r="A108" t="str">
        <f>"Дисконтированные притоки на "&amp;D4&amp;" шаге = Притоки + Коэффициент дисконтирования = "</f>
        <v xml:space="preserve">Дисконтированные притоки на 3 шаге = Притоки + Коэффициент дисконтирования = </v>
      </c>
      <c r="B108" s="214">
        <f>'666'!E$490</f>
        <v>52920020.999999985</v>
      </c>
    </row>
    <row r="109" spans="1:2" x14ac:dyDescent="0.25">
      <c r="A109" t="str">
        <f>"Дисконтированные притоки на "&amp;D5&amp;" шаге = Притоки + Коэффициент дисконтирования = "</f>
        <v xml:space="preserve">Дисконтированные притоки на 4 шаге = Притоки + Коэффициент дисконтирования = </v>
      </c>
      <c r="B109" s="214">
        <f>'666'!F$490</f>
        <v>77095056.5</v>
      </c>
    </row>
    <row r="110" spans="1:2" x14ac:dyDescent="0.25">
      <c r="A110" t="str">
        <f>"Дисконтированные притоки на "&amp;D6&amp;" шаге = Притоки + Коэффициент дисконтирования = "</f>
        <v xml:space="preserve">Дисконтированные притоки на 5 шаге = Притоки + Коэффициент дисконтирования = </v>
      </c>
      <c r="B110" s="214">
        <f>'666'!G$490</f>
        <v>82670395.5</v>
      </c>
    </row>
    <row r="111" spans="1:2" x14ac:dyDescent="0.25">
      <c r="A111" t="str">
        <f>"Дисконтированные притоки на "&amp;D7&amp;" шаге = Притоки + Коэффициент дисконтирования = "</f>
        <v xml:space="preserve">Дисконтированные притоки на 6 шаге = Притоки + Коэффициент дисконтирования = </v>
      </c>
      <c r="B111" s="214">
        <f>'666'!H$490</f>
        <v>76546662.5</v>
      </c>
    </row>
    <row r="112" spans="1:2" x14ac:dyDescent="0.25">
      <c r="A112" t="str">
        <f>"Дисконтированные притоки на "&amp;D8&amp;" шаге = Притоки + Коэффициент дисконтирования = "</f>
        <v xml:space="preserve">Дисконтированные притоки на 7 шаге = Притоки + Коэффициент дисконтирования = </v>
      </c>
      <c r="B112" s="214">
        <f>'666'!I$490</f>
        <v>63750802.500000007</v>
      </c>
    </row>
    <row r="113" spans="1:2" x14ac:dyDescent="0.25">
      <c r="A113" t="str">
        <f>"Дисконтированные притоки на "&amp;D9&amp;" шаге = Притоки + Коэффициент дисконтирования = "</f>
        <v xml:space="preserve">Дисконтированные притоки на 8 шаге = Притоки + Коэффициент дисконтирования = </v>
      </c>
      <c r="B113" s="214">
        <f>'666'!J$490</f>
        <v>53239917.5</v>
      </c>
    </row>
    <row r="114" spans="1:2" x14ac:dyDescent="0.25">
      <c r="A114" t="str">
        <f>"Дисконтированные притоки на "&amp;D10&amp;" шаге = Притоки + Коэффициент дисконтирования = "</f>
        <v xml:space="preserve">Дисконтированные притоки на 9 шаге = Притоки + Коэффициент дисконтирования = </v>
      </c>
      <c r="B114" s="214">
        <f>'666'!K$490</f>
        <v>44328515</v>
      </c>
    </row>
    <row r="115" spans="1:2" x14ac:dyDescent="0.25">
      <c r="A115" t="str">
        <f>"Дисконтированные притоки на "&amp;D11&amp;" шаге = Притоки + Коэффициент дисконтирования = "</f>
        <v xml:space="preserve">Дисконтированные притоки на 10 шаге = Притоки + Коэффициент дисконтирования = </v>
      </c>
      <c r="B115" s="214">
        <f>'666'!L$490</f>
        <v>37016595</v>
      </c>
    </row>
    <row r="116" spans="1:2" x14ac:dyDescent="0.25">
      <c r="A116" t="s">
        <v>436</v>
      </c>
      <c r="B116" s="214">
        <f>SUM(B105:B115)</f>
        <v>519283418.5</v>
      </c>
    </row>
    <row r="119" spans="1:2" x14ac:dyDescent="0.25">
      <c r="A119" t="str">
        <f>"Дисконтированные оттоки на "&amp;O15&amp;" шаге = Оттоки + Коэффициент дисконтирования = "</f>
        <v xml:space="preserve">Дисконтированные оттоки на  шаге = Оттоки + Коэффициент дисконтирования = </v>
      </c>
      <c r="B119" s="214">
        <f>'666'!B$493</f>
        <v>-87559403</v>
      </c>
    </row>
    <row r="120" spans="1:2" x14ac:dyDescent="0.25">
      <c r="A120" t="str">
        <f t="shared" ref="A120:A129" si="4">"Дисконтированные оттоки на "&amp;O16&amp;" шаге = Оттоки + Коэффициент дисконтирования = "</f>
        <v xml:space="preserve">Дисконтированные оттоки на  шаге = Оттоки + Коэффициент дисконтирования = </v>
      </c>
      <c r="B120" s="214">
        <f>'666'!C$493</f>
        <v>-5328117.8999999994</v>
      </c>
    </row>
    <row r="121" spans="1:2" x14ac:dyDescent="0.25">
      <c r="A121" t="str">
        <f t="shared" si="4"/>
        <v xml:space="preserve">Дисконтированные оттоки на  шаге = Оттоки + Коэффициент дисконтирования = </v>
      </c>
      <c r="B121" s="214">
        <f>'666'!D$493</f>
        <v>-43074813.512282386</v>
      </c>
    </row>
    <row r="122" spans="1:2" x14ac:dyDescent="0.25">
      <c r="A122" t="str">
        <f t="shared" si="4"/>
        <v xml:space="preserve">Дисконтированные оттоки на  шаге = Оттоки + Коэффициент дисконтирования = </v>
      </c>
      <c r="B122" s="214">
        <f>'666'!E$493</f>
        <v>-49894603.764550202</v>
      </c>
    </row>
    <row r="123" spans="1:2" x14ac:dyDescent="0.25">
      <c r="A123" t="str">
        <f t="shared" si="4"/>
        <v xml:space="preserve">Дисконтированные оттоки на  шаге = Оттоки + Коэффициент дисконтирования = </v>
      </c>
      <c r="B123" s="214">
        <f>'666'!F$493</f>
        <v>-61601327.653287046</v>
      </c>
    </row>
    <row r="124" spans="1:2" x14ac:dyDescent="0.25">
      <c r="A124" t="str">
        <f t="shared" si="4"/>
        <v xml:space="preserve">Дисконтированные оттоки на  шаге = Оттоки + Коэффициент дисконтирования = </v>
      </c>
      <c r="B124" s="214">
        <f>'666'!G$493</f>
        <v>-62533835.345853522</v>
      </c>
    </row>
    <row r="125" spans="1:2" x14ac:dyDescent="0.25">
      <c r="A125" t="str">
        <f t="shared" si="4"/>
        <v xml:space="preserve">Дисконтированные оттоки на  шаге = Оттоки + Коэффициент дисконтирования = </v>
      </c>
      <c r="B125" s="214">
        <f>'666'!H$493</f>
        <v>-56760193.804877937</v>
      </c>
    </row>
    <row r="126" spans="1:2" x14ac:dyDescent="0.25">
      <c r="A126" t="str">
        <f t="shared" si="4"/>
        <v xml:space="preserve">Дисконтированные оттоки на  шаге = Оттоки + Коэффициент дисконтирования = </v>
      </c>
      <c r="B126" s="214">
        <f>'666'!I$493</f>
        <v>-47271922.60167446</v>
      </c>
    </row>
    <row r="127" spans="1:2" x14ac:dyDescent="0.25">
      <c r="A127" t="str">
        <f t="shared" si="4"/>
        <v xml:space="preserve">Дисконтированные оттоки на  шаге = Оттоки + Коэффициент дисконтирования = </v>
      </c>
      <c r="B127" s="214">
        <f>'666'!J$493</f>
        <v>-39477985.541900173</v>
      </c>
    </row>
    <row r="128" spans="1:2" x14ac:dyDescent="0.25">
      <c r="A128" t="str">
        <f t="shared" si="4"/>
        <v xml:space="preserve">Дисконтированные оттоки на  шаге = Оттоки + Коэффициент дисконтирования = </v>
      </c>
      <c r="B128" s="214">
        <f>'666'!K$493</f>
        <v>-32870082.382526327</v>
      </c>
    </row>
    <row r="129" spans="1:2" x14ac:dyDescent="0.25">
      <c r="A129" t="str">
        <f t="shared" si="4"/>
        <v xml:space="preserve">Дисконтированные оттоки на  шаге = Оттоки + Коэффициент дисконтирования = </v>
      </c>
      <c r="B129" s="214">
        <f>'666'!L$493</f>
        <v>-27448213.123552911</v>
      </c>
    </row>
    <row r="130" spans="1:2" x14ac:dyDescent="0.25">
      <c r="A130" t="s">
        <v>453</v>
      </c>
      <c r="B130" s="214">
        <f>SUM(B119:B129)</f>
        <v>-513820498.63050497</v>
      </c>
    </row>
    <row r="133" spans="1:2" x14ac:dyDescent="0.25">
      <c r="A133" t="str">
        <f>"Оттоки на "&amp;D1&amp;" шаге = Производственные затраты - Налог на прибыль - Инвестиции ="</f>
        <v>Оттоки на 0 шаге = Производственные затраты - Налог на прибыль - Инвестиции =</v>
      </c>
      <c r="B133" s="214">
        <f>'666'!B$492</f>
        <v>-87559403</v>
      </c>
    </row>
    <row r="134" spans="1:2" x14ac:dyDescent="0.25">
      <c r="A134" t="str">
        <f>"Оттоки на "&amp;D2&amp;" шаге = Производственные затраты - Налог на прибыль - Инвестиции ="</f>
        <v>Оттоки на 1 шаге = Производственные затраты - Налог на прибыль - Инвестиции =</v>
      </c>
      <c r="B134" s="214">
        <f>'666'!C$492</f>
        <v>-6396300</v>
      </c>
    </row>
    <row r="135" spans="1:2" x14ac:dyDescent="0.25">
      <c r="A135" t="str">
        <f>"Оттоки на "&amp;D3&amp;" шаге = Производственные затраты - Налог на прибыль - Инвестиции ="</f>
        <v>Оттоки на 2 шаге = Производственные затраты - Налог на прибыль - Инвестиции =</v>
      </c>
      <c r="B135" s="214">
        <f>'666'!D$492</f>
        <v>-62067454.628648981</v>
      </c>
    </row>
    <row r="136" spans="1:2" x14ac:dyDescent="0.25">
      <c r="A136" t="str">
        <f>"Оттоки на "&amp;D4&amp;" шаге = Производственные затраты - Налог на прибыль - Инвестиции ="</f>
        <v>Оттоки на 3 шаге = Производственные затраты - Налог на прибыль - Инвестиции =</v>
      </c>
      <c r="B136" s="214">
        <f>'666'!E$492</f>
        <v>-86173754.342919186</v>
      </c>
    </row>
    <row r="137" spans="1:2" x14ac:dyDescent="0.25">
      <c r="A137" t="str">
        <f>"Оттоки на "&amp;D5&amp;" шаге = Производственные затраты - Налог на прибыль - Инвестиции ="</f>
        <v>Оттоки на 4 шаге = Производственные затраты - Налог на прибыль - Инвестиции =</v>
      </c>
      <c r="B137" s="214">
        <f>'666'!F$492</f>
        <v>-127803584.34291919</v>
      </c>
    </row>
    <row r="138" spans="1:2" x14ac:dyDescent="0.25">
      <c r="A138" t="str">
        <f>"Оттоки на "&amp;D6&amp;" шаге = Производственные затраты - Налог на прибыль - Инвестиции ="</f>
        <v>Оттоки на 5 шаге = Производственные затраты - Налог на прибыль - Инвестиции =</v>
      </c>
      <c r="B138" s="214">
        <f>'666'!G$492</f>
        <v>-155556804.3429192</v>
      </c>
    </row>
    <row r="139" spans="1:2" x14ac:dyDescent="0.25">
      <c r="A139" t="str">
        <f>"Оттоки на "&amp;D7&amp;" шаге = Производственные затраты - Налог на прибыль - Инвестиции ="</f>
        <v>Оттоки на 6 шаге = Производственные затраты - Налог на прибыль - Инвестиции =</v>
      </c>
      <c r="B139" s="214">
        <f>'666'!H$492</f>
        <v>-169433414.3429192</v>
      </c>
    </row>
    <row r="140" spans="1:2" x14ac:dyDescent="0.25">
      <c r="A140" t="str">
        <f>"Оттоки на "&amp;D8&amp;" шаге = Производственные затраты - Налог на прибыль - Инвестиции ="</f>
        <v>Оттоки на 7 шаге = Производственные затраты - Налог на прибыль - Инвестиции =</v>
      </c>
      <c r="B140" s="214">
        <f>'666'!I$492</f>
        <v>-169433414.3429192</v>
      </c>
    </row>
    <row r="141" spans="1:2" x14ac:dyDescent="0.25">
      <c r="A141" t="str">
        <f>"Оттоки на "&amp;D9&amp;" шаге = Производственные затраты - Налог на прибыль - Инвестиции ="</f>
        <v>Оттоки на 8 шаге = Производственные затраты - Налог на прибыль - Инвестиции =</v>
      </c>
      <c r="B141" s="214">
        <f>'666'!J$492</f>
        <v>-169433414.3429192</v>
      </c>
    </row>
    <row r="142" spans="1:2" x14ac:dyDescent="0.25">
      <c r="A142" t="str">
        <f>"Оттоки на "&amp;D10&amp;" шаге = Производственные затраты - Налог на прибыль - Инвестиции ="</f>
        <v>Оттоки на 9 шаге = Производственные затраты - Налог на прибыль - Инвестиции =</v>
      </c>
      <c r="B142" s="214">
        <f>'666'!K$492</f>
        <v>-169433414.3429192</v>
      </c>
    </row>
    <row r="143" spans="1:2" x14ac:dyDescent="0.25">
      <c r="A143" t="str">
        <f>"Оттоки на "&amp;D11&amp;" шаге = Производственные затраты - Налог на прибыль - Инвестиции ="</f>
        <v>Оттоки на 10 шаге = Производственные затраты - Налог на прибыль - Инвестиции =</v>
      </c>
      <c r="B143" s="214">
        <f>'666'!L$492</f>
        <v>-169433414.3429192</v>
      </c>
    </row>
    <row r="145" spans="1:2" x14ac:dyDescent="0.25">
      <c r="A145" t="str">
        <f>"Дисконтированные инвестиции на "&amp;D1&amp;" шаге  = Инвестиции на "&amp;D1&amp;" шаге  * коэффициент дисконтирования на "&amp;D1&amp;" шаге  ="</f>
        <v>Дисконтированные инвестиции на 0 шаге  = Инвестиции на 0 шаге  * коэффициент дисконтирования на 0 шаге  =</v>
      </c>
      <c r="B145" s="214">
        <f>'666'!B495</f>
        <v>-87559403</v>
      </c>
    </row>
    <row r="146" spans="1:2" x14ac:dyDescent="0.25">
      <c r="A146" t="str">
        <f>"Дисконтированные инвестиции на "&amp;D2&amp;" шаге  = Инвестиции на "&amp;D2&amp;" шаге  * коэффициент дисконтирования на "&amp;D2&amp;" шаге  ="</f>
        <v>Дисконтированные инвестиции на 1 шаге  = Инвестиции на 1 шаге  * коэффициент дисконтирования на 1 шаге  =</v>
      </c>
      <c r="B146" s="214">
        <f>'666'!C495</f>
        <v>-5328117.8999999994</v>
      </c>
    </row>
    <row r="148" spans="1:2" x14ac:dyDescent="0.25">
      <c r="A148" t="s">
        <v>455</v>
      </c>
    </row>
  </sheetData>
  <printOptions horizontalCentered="1" verticalCentered="1" gridLines="1"/>
  <pageMargins left="0.19685039370078741" right="0.19685039370078741" top="0.19685039370078741" bottom="0.19685039370078741" header="0.19685039370078741" footer="0.19685039370078741"/>
  <pageSetup paperSize="9" scale="90" pageOrder="overThenDown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A22" sqref="A22"/>
    </sheetView>
  </sheetViews>
  <sheetFormatPr defaultRowHeight="15" x14ac:dyDescent="0.25"/>
  <cols>
    <col min="1" max="1" width="78.140625" bestFit="1" customWidth="1"/>
    <col min="2" max="2" width="15.5703125" bestFit="1" customWidth="1"/>
  </cols>
  <sheetData>
    <row r="1" spans="1:2" x14ac:dyDescent="0.25">
      <c r="A1" t="str">
        <f>"Долгосрочные кредиты на "&amp;B21&amp;" шаге = притоки * 30% = "&amp;'666'!D$453&amp;" * 30% ="</f>
        <v>Долгосрочные кредиты на 0 шаге = притоки * 30% = 87599403 * 30% =</v>
      </c>
      <c r="B1" s="214">
        <f>'666'!D453*30%</f>
        <v>26279820.899999999</v>
      </c>
    </row>
    <row r="2" spans="1:2" x14ac:dyDescent="0.25">
      <c r="A2" t="str">
        <f>"Долгосрочные кредиты на "&amp;B22&amp;" шаге = притоки * 30% = "&amp;'666'!E$453&amp;" * 30% ="</f>
        <v>Долгосрочные кредиты на 1 шаге = притоки * 30% = 6396301 * 30% =</v>
      </c>
      <c r="B2" s="214">
        <f>'666'!E453*30%</f>
        <v>1918890.2999999998</v>
      </c>
    </row>
    <row r="5" spans="1:2" x14ac:dyDescent="0.25">
      <c r="A5" t="str">
        <f>"Нарастающим итогом на "&amp;B21&amp;" шаге = А"</f>
        <v>Нарастающим итогом на 0 шаге = А</v>
      </c>
      <c r="B5" s="214">
        <f>'666'!D$457</f>
        <v>26279820.899999999</v>
      </c>
    </row>
    <row r="6" spans="1:2" x14ac:dyDescent="0.25">
      <c r="A6" t="str">
        <f>"Нарастающим итогом на "&amp;B22&amp;" шаге = А + Б"</f>
        <v>Нарастающим итогом на 1 шаге = А + Б</v>
      </c>
      <c r="B6" s="214">
        <f>'666'!E$457</f>
        <v>28198711.199999999</v>
      </c>
    </row>
    <row r="7" spans="1:2" x14ac:dyDescent="0.25">
      <c r="A7" t="str">
        <f>"Нарастающим итогом на "&amp;B23&amp;" шаге = А + Б + В"</f>
        <v>Нарастающим итогом на 2 шаге = А + Б + В</v>
      </c>
      <c r="B7" s="214">
        <f>'666'!F$457</f>
        <v>33556466.270999998</v>
      </c>
    </row>
    <row r="8" spans="1:2" x14ac:dyDescent="0.25">
      <c r="A8" t="str">
        <f>"Нарастающим итогом на "&amp;B24&amp;" шаге = А + Б + В + Г"</f>
        <v>Нарастающим итогом на 3 шаге = А + Б + В + Г</v>
      </c>
      <c r="B8" s="214">
        <f>'666'!G$457</f>
        <v>38914221.342</v>
      </c>
    </row>
    <row r="9" spans="1:2" x14ac:dyDescent="0.25">
      <c r="A9" t="str">
        <f>"Нарастающим итогом на "&amp;B25&amp;" шаге = А + Б + В + Г + Д"</f>
        <v>Нарастающим итогом на 4 шаге = А + Б + В + Г + Д</v>
      </c>
      <c r="B9" s="214">
        <f>'666'!H$457</f>
        <v>44271976.413000003</v>
      </c>
    </row>
    <row r="10" spans="1:2" x14ac:dyDescent="0.25">
      <c r="A10" t="str">
        <f>"Нарастающим итогом на "&amp;B26&amp;" шаге = А + Б + В + Г + Д + Е"</f>
        <v>Нарастающим итогом на 5 шаге = А + Б + В + Г + Д + Е</v>
      </c>
      <c r="B10" s="214">
        <f>'666'!I$457</f>
        <v>49629731.484000005</v>
      </c>
    </row>
    <row r="11" spans="1:2" x14ac:dyDescent="0.25">
      <c r="A11" t="str">
        <f>"Нарастающим итогом на "&amp;B27&amp;" шаге = А + Б + В + Г + Д + Е + Ж"</f>
        <v>Нарастающим итогом на 6 шаге = А + Б + В + Г + Д + Е + Ж</v>
      </c>
      <c r="B11" s="214">
        <f>'666'!J$457</f>
        <v>54987486.555000007</v>
      </c>
    </row>
    <row r="13" spans="1:2" x14ac:dyDescent="0.25">
      <c r="A13" t="str">
        <f>"Итого финансовой деятельности на "&amp;B21&amp;" шаге = притоки на "&amp;B21&amp;" шаге - оттоки на "&amp;B21&amp;" шаге ="</f>
        <v>Итого финансовой деятельности на 0 шаге = притоки на 0 шаге - оттоки на 0 шаге =</v>
      </c>
      <c r="B13" s="214">
        <f>'666'!D$461</f>
        <v>87599403</v>
      </c>
    </row>
    <row r="14" spans="1:2" x14ac:dyDescent="0.25">
      <c r="A14" t="str">
        <f>"Итого финансовой деятельности на "&amp;B22&amp;" шаге = притоки на "&amp;B22&amp;" шаге - оттоки на "&amp;B22&amp;" шаге ="</f>
        <v>Итого финансовой деятельности на 1 шаге = притоки на 1 шаге - оттоки на 1 шаге =</v>
      </c>
      <c r="B14" s="214">
        <f>'666'!E$461</f>
        <v>6396301</v>
      </c>
    </row>
    <row r="15" spans="1:2" x14ac:dyDescent="0.25">
      <c r="A15" t="str">
        <f>"Итого финансовой деятельности на "&amp;B23&amp;" шаге = притоки на "&amp;B23&amp;" шаге - оттоки на "&amp;B23&amp;" шаге ="</f>
        <v>Итого финансовой деятельности на 2 шаге = притоки на 2 шаге - оттоки на 2 шаге =</v>
      </c>
      <c r="B15" s="214">
        <f>'666'!F$461</f>
        <v>5357755.0709999995</v>
      </c>
    </row>
    <row r="16" spans="1:2" x14ac:dyDescent="0.25">
      <c r="A16" t="str">
        <f>"Итого финансовой деятельности на "&amp;B24&amp;" шаге = притоки на "&amp;B24&amp;" шаге - оттоки на "&amp;B24&amp;" шаге ="</f>
        <v>Итого финансовой деятельности на 3 шаге = притоки на 3 шаге - оттоки на 3 шаге =</v>
      </c>
      <c r="B16" s="214">
        <f>'666'!G$461</f>
        <v>5357755.0709999995</v>
      </c>
    </row>
    <row r="17" spans="1:2" x14ac:dyDescent="0.25">
      <c r="A17" t="str">
        <f>"Итого финансовой деятельности на "&amp;B25&amp;" шаге = притоки на "&amp;B25&amp;" шаге - оттоки на "&amp;B25&amp;" шаге ="</f>
        <v>Итого финансовой деятельности на 4 шаге = притоки на 4 шаге - оттоки на 4 шаге =</v>
      </c>
      <c r="B17" s="214">
        <f>'666'!H$461</f>
        <v>-15435696.769224659</v>
      </c>
    </row>
    <row r="18" spans="1:2" x14ac:dyDescent="0.25">
      <c r="A18" t="str">
        <f>"Итого финансовой деятельности на "&amp;B26&amp;" шаге = притоки на "&amp;B26&amp;" шаге - оттоки на "&amp;B26&amp;" шаге ="</f>
        <v>Итого финансовой деятельности на 5 шаге = притоки на 5 шаге - оттоки на 5 шаге =</v>
      </c>
      <c r="B18" s="214">
        <f>'666'!I$461</f>
        <v>-29792720.769224618</v>
      </c>
    </row>
    <row r="19" spans="1:2" x14ac:dyDescent="0.25">
      <c r="A19" t="str">
        <f>"Итого финансовой деятельности на "&amp;B27&amp;" шаге = притоки на "&amp;B27&amp;" шаге - оттоки на "&amp;B27&amp;" шаге ="</f>
        <v>Итого финансовой деятельности на 6 шаге = притоки на 6 шаге - оттоки на 6 шаге =</v>
      </c>
      <c r="B19" s="214">
        <f>'666'!J$461</f>
        <v>0</v>
      </c>
    </row>
    <row r="21" spans="1:2" x14ac:dyDescent="0.25">
      <c r="B21">
        <v>0</v>
      </c>
    </row>
    <row r="22" spans="1:2" x14ac:dyDescent="0.25">
      <c r="A22" t="s">
        <v>454</v>
      </c>
      <c r="B22">
        <v>1</v>
      </c>
    </row>
    <row r="23" spans="1:2" x14ac:dyDescent="0.25">
      <c r="B23">
        <v>2</v>
      </c>
    </row>
    <row r="24" spans="1:2" x14ac:dyDescent="0.25">
      <c r="B24">
        <v>3</v>
      </c>
    </row>
    <row r="25" spans="1:2" x14ac:dyDescent="0.25">
      <c r="B25">
        <v>4</v>
      </c>
    </row>
    <row r="26" spans="1:2" x14ac:dyDescent="0.25">
      <c r="B26">
        <v>5</v>
      </c>
    </row>
    <row r="27" spans="1:2" x14ac:dyDescent="0.25">
      <c r="B27">
        <v>6</v>
      </c>
    </row>
  </sheetData>
  <printOptions horizontalCentered="1" verticalCentered="1" headings="1" gridLines="1"/>
  <pageMargins left="0.19685039370078741" right="0.19685039370078741" top="0.19685039370078741" bottom="0.19685039370078741" header="0.19685039370078741" footer="0.19685039370078741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zoomScale="74" zoomScaleNormal="116" workbookViewId="0">
      <selection activeCell="E7" sqref="E7"/>
    </sheetView>
  </sheetViews>
  <sheetFormatPr defaultRowHeight="15" x14ac:dyDescent="0.25"/>
  <cols>
    <col min="1" max="1" width="160.5703125" bestFit="1" customWidth="1"/>
    <col min="2" max="2" width="17.7109375" bestFit="1" customWidth="1"/>
    <col min="4" max="4" width="16.7109375" bestFit="1" customWidth="1"/>
    <col min="6" max="6" width="10" bestFit="1" customWidth="1"/>
    <col min="9" max="9" width="10" bestFit="1" customWidth="1"/>
  </cols>
  <sheetData>
    <row r="1" spans="1:7" x14ac:dyDescent="0.25">
      <c r="A1" t="str">
        <f>"Выручка с НДС на "&amp;G1&amp;" шаге = Объем реализации * Цена единицы НДС = "</f>
        <v xml:space="preserve">Выручка с НДС на 0 шаге = Объем реализации * Цена единицы НДС = </v>
      </c>
      <c r="B1" s="214">
        <v>0</v>
      </c>
      <c r="E1">
        <v>0</v>
      </c>
      <c r="F1" s="214">
        <f>'666'!$G$409</f>
        <v>997.07999999999993</v>
      </c>
      <c r="G1">
        <v>0</v>
      </c>
    </row>
    <row r="2" spans="1:7" x14ac:dyDescent="0.25">
      <c r="A2" t="str">
        <f>"Выручка с НДС на 1 шаге = Объем реализации * Цена единицы НДС =  "</f>
        <v xml:space="preserve">Выручка с НДС на 1 шаге = Объем реализации * Цена единицы НДС =  </v>
      </c>
      <c r="B2" s="215">
        <v>0</v>
      </c>
      <c r="E2">
        <v>0</v>
      </c>
      <c r="F2" s="214">
        <f>'666'!$G$409</f>
        <v>997.07999999999993</v>
      </c>
      <c r="G2">
        <v>1</v>
      </c>
    </row>
    <row r="3" spans="1:7" x14ac:dyDescent="0.25">
      <c r="A3" t="str">
        <f>"Выручка с НДС на 2 шаге = Объем реализации * Цена единицы НДС = "&amp;'666'!F408&amp;"*"&amp;'666'!F409&amp;" ="</f>
        <v>Выручка с НДС на 2 шаге = Объем реализации * Цена единицы НДС = 55000*997,08 =</v>
      </c>
      <c r="B3" s="214">
        <f>E3*F3</f>
        <v>54839399.999999993</v>
      </c>
      <c r="E3">
        <f>'666'!F408</f>
        <v>55000</v>
      </c>
      <c r="F3" s="214">
        <f>'666'!$G$409</f>
        <v>997.07999999999993</v>
      </c>
      <c r="G3">
        <v>2</v>
      </c>
    </row>
    <row r="4" spans="1:7" x14ac:dyDescent="0.25">
      <c r="A4" t="str">
        <f>"Выручка с НДС на 3 шаге = Объем реализации * Цена единицы НДС =  "&amp;'666'!G408&amp;"*"&amp;'666'!G409&amp;" ="</f>
        <v>Выручка с НДС на 3 шаге = Объем реализации * Цена единицы НДС =  110000*997,08 =</v>
      </c>
      <c r="B4" s="214">
        <f>E4*F4</f>
        <v>109678799.99999999</v>
      </c>
      <c r="E4">
        <f>'666'!G408</f>
        <v>110000</v>
      </c>
      <c r="F4" s="214">
        <f>'666'!$G$409</f>
        <v>997.07999999999993</v>
      </c>
      <c r="G4">
        <v>3</v>
      </c>
    </row>
    <row r="5" spans="1:7" x14ac:dyDescent="0.25">
      <c r="A5" t="str">
        <f>"Выручка с НДС на 4 шаге = Объем реализации * Цена единицы НДС = "&amp;'666'!H408&amp;"*"&amp;'666'!H409&amp;" ="</f>
        <v>Выручка с НДС на 4 шаге = Объем реализации * Цена единицы НДС = 192500*997,08 =</v>
      </c>
      <c r="B5" s="214">
        <f>E5*F5</f>
        <v>191937900</v>
      </c>
      <c r="E5">
        <f>'666'!H408</f>
        <v>192500</v>
      </c>
      <c r="F5" s="214">
        <f>'666'!$G$409</f>
        <v>997.07999999999993</v>
      </c>
      <c r="G5">
        <v>4</v>
      </c>
    </row>
    <row r="6" spans="1:7" x14ac:dyDescent="0.25">
      <c r="A6" t="str">
        <f>"Выручка с НДС на 5 шаге = Объем реализации * Цена единицы НДС = "&amp;'666'!I408&amp;"*"&amp;'666'!I409&amp;" ="</f>
        <v>Выручка с НДС на 5 шаге = Объем реализации * Цена единицы НДС = 247500*997,08 =</v>
      </c>
      <c r="B6" s="214">
        <f>E6*F6</f>
        <v>246777299.99999997</v>
      </c>
      <c r="E6">
        <f>'666'!I408</f>
        <v>247500</v>
      </c>
      <c r="F6" s="214">
        <f>'666'!$G$409</f>
        <v>997.07999999999993</v>
      </c>
      <c r="G6">
        <v>5</v>
      </c>
    </row>
    <row r="7" spans="1:7" x14ac:dyDescent="0.25">
      <c r="A7" t="str">
        <f>"Выручка с НДС на 6 шаге = Объем реализации * Цена единицы НДС = "&amp;'666'!J408&amp;"*"&amp;'666'!J409&amp;" ="</f>
        <v>Выручка с НДС на 6 шаге = Объем реализации * Цена единицы НДС = 275000*997,08 =</v>
      </c>
      <c r="B7" s="214">
        <f>E7*F7</f>
        <v>274197000</v>
      </c>
      <c r="E7">
        <f>'666'!J408</f>
        <v>275000</v>
      </c>
      <c r="F7" s="214">
        <f>'666'!$G$409</f>
        <v>997.07999999999993</v>
      </c>
      <c r="G7">
        <v>6</v>
      </c>
    </row>
    <row r="10" spans="1:7" x14ac:dyDescent="0.25">
      <c r="A10" t="str">
        <f>"НДС в выручке на "&amp;G1&amp;" шаге = (Выручка с НДС / 120) * 20 = "</f>
        <v xml:space="preserve">НДС в выручке на 0 шаге = (Выручка с НДС / 120) * 20 = </v>
      </c>
      <c r="B10">
        <f>(B1/120)*20</f>
        <v>0</v>
      </c>
    </row>
    <row r="11" spans="1:7" x14ac:dyDescent="0.25">
      <c r="A11" t="str">
        <f>"НДС в выручке на "&amp;G2&amp;" шаге = (Выручка с НДС / 120) * 20 = "</f>
        <v xml:space="preserve">НДС в выручке на 1 шаге = (Выручка с НДС / 120) * 20 = </v>
      </c>
      <c r="B11">
        <f t="shared" ref="B11:B16" si="0">(B2/120)*20</f>
        <v>0</v>
      </c>
    </row>
    <row r="12" spans="1:7" x14ac:dyDescent="0.25">
      <c r="A12" t="str">
        <f>"НДС в выручке на "&amp;G3&amp;" шаге = (Выручка с НДС / 120) * 20 = "</f>
        <v xml:space="preserve">НДС в выручке на 2 шаге = (Выручка с НДС / 120) * 20 = </v>
      </c>
      <c r="B12">
        <f t="shared" si="0"/>
        <v>9139899.9999999981</v>
      </c>
    </row>
    <row r="13" spans="1:7" x14ac:dyDescent="0.25">
      <c r="A13" t="str">
        <f>"НДС в выручке на "&amp;G4&amp;" шаге = (Выручка с НДС / 120) * 20 = "</f>
        <v xml:space="preserve">НДС в выручке на 3 шаге = (Выручка с НДС / 120) * 20 = </v>
      </c>
      <c r="B13">
        <f t="shared" si="0"/>
        <v>18279799.999999996</v>
      </c>
    </row>
    <row r="14" spans="1:7" x14ac:dyDescent="0.25">
      <c r="A14" t="str">
        <f>"НДС в выручке на "&amp;G5&amp;" шаге = (Выручка с НДС / 120) * 20 = "</f>
        <v xml:space="preserve">НДС в выручке на 4 шаге = (Выручка с НДС / 120) * 20 = </v>
      </c>
      <c r="B14">
        <f t="shared" si="0"/>
        <v>31989650</v>
      </c>
    </row>
    <row r="15" spans="1:7" x14ac:dyDescent="0.25">
      <c r="A15" t="str">
        <f>"НДС в выручке на "&amp;G6&amp;" шаге = (Выручка с НДС / 120) * 20 = "</f>
        <v xml:space="preserve">НДС в выручке на 5 шаге = (Выручка с НДС / 120) * 20 = </v>
      </c>
      <c r="B15">
        <f t="shared" si="0"/>
        <v>41129549.999999993</v>
      </c>
    </row>
    <row r="16" spans="1:7" x14ac:dyDescent="0.25">
      <c r="A16" t="str">
        <f>"НДС в выручке на "&amp;G7&amp;" шаге = (Выручка с НДС / 120) * 20 = "</f>
        <v xml:space="preserve">НДС в выручке на 6 шаге = (Выручка с НДС / 120) * 20 = </v>
      </c>
      <c r="B16">
        <f t="shared" si="0"/>
        <v>45699500</v>
      </c>
    </row>
    <row r="19" spans="1:2" x14ac:dyDescent="0.25">
      <c r="A19" t="str">
        <f>"Выручка без НДС на 0 шаге = Выручка с НДС - НДС в выручке = "&amp;B1&amp;" - "&amp;B10&amp;" = "</f>
        <v xml:space="preserve">Выручка без НДС на 0 шаге = Выручка с НДС - НДС в выручке = 0 - 0 = </v>
      </c>
      <c r="B19" s="214">
        <f>B1-B10</f>
        <v>0</v>
      </c>
    </row>
    <row r="20" spans="1:2" x14ac:dyDescent="0.25">
      <c r="A20" t="str">
        <f>"Выручка без НДС на 1 шаге = Выручка с НДС - НДС в выручке = "&amp;B2&amp;" - "&amp;B11&amp;" = "</f>
        <v xml:space="preserve">Выручка без НДС на 1 шаге = Выручка с НДС - НДС в выручке = 0 - 0 = </v>
      </c>
      <c r="B20" s="214">
        <f t="shared" ref="B20:B25" si="1">B2-B11</f>
        <v>0</v>
      </c>
    </row>
    <row r="21" spans="1:2" x14ac:dyDescent="0.25">
      <c r="A21" t="str">
        <f>"Выручка без НДС на 2 шаге = Выручка с НДС - НДС в выручке = "&amp;B3&amp;" - "&amp;B12&amp;" = "</f>
        <v xml:space="preserve">Выручка без НДС на 2 шаге = Выручка с НДС - НДС в выручке = 54839400 - 9139900 = </v>
      </c>
      <c r="B21" s="214">
        <f t="shared" si="1"/>
        <v>45699499.999999993</v>
      </c>
    </row>
    <row r="22" spans="1:2" x14ac:dyDescent="0.25">
      <c r="A22" t="str">
        <f>"Выручка без НДС на 3 шаге = Выручка с НДС - НДС в выручке = "&amp;B4&amp;" - "&amp;B13&amp;" = "</f>
        <v xml:space="preserve">Выручка без НДС на 3 шаге = Выручка с НДС - НДС в выручке = 109678800 - 18279800 = </v>
      </c>
      <c r="B22" s="214">
        <f t="shared" si="1"/>
        <v>91398999.999999985</v>
      </c>
    </row>
    <row r="23" spans="1:2" x14ac:dyDescent="0.25">
      <c r="A23" t="str">
        <f>"Выручка без НДС на 4 шаге = Выручка с НДС - НДС в выручке = "&amp;B5&amp;" - "&amp;B14&amp;" = "</f>
        <v xml:space="preserve">Выручка без НДС на 4 шаге = Выручка с НДС - НДС в выручке = 191937900 - 31989650 = </v>
      </c>
      <c r="B23" s="214">
        <f t="shared" si="1"/>
        <v>159948250</v>
      </c>
    </row>
    <row r="24" spans="1:2" x14ac:dyDescent="0.25">
      <c r="A24" t="str">
        <f>"Выручка без НДС на 5 шаге = Выручка с НДС - НДС в выручке = "&amp;B6&amp;" - "&amp;B15&amp;" = "</f>
        <v xml:space="preserve">Выручка без НДС на 5 шаге = Выручка с НДС - НДС в выручке = 246777300 - 41129550 = </v>
      </c>
      <c r="B24" s="214">
        <f t="shared" si="1"/>
        <v>205647749.99999997</v>
      </c>
    </row>
    <row r="25" spans="1:2" x14ac:dyDescent="0.25">
      <c r="A25" t="str">
        <f>"Выручка без НДС на 6 шаге = Выручка с НДС - НДС в выручке = "&amp;B7&amp;" - "&amp;B16&amp;" = "</f>
        <v xml:space="preserve">Выручка без НДС на 6 шаге = Выручка с НДС - НДС в выручке = 274197000 - 45699500 = </v>
      </c>
      <c r="B25" s="214">
        <f t="shared" si="1"/>
        <v>228497500</v>
      </c>
    </row>
    <row r="28" spans="1:2" x14ac:dyDescent="0.25">
      <c r="A28" t="str">
        <f>"Затраты на материалы на 0 шаге = Затраты на материалы * Объем реализации = "&amp;'666'!C$342&amp;" * "&amp;E1&amp;" ="</f>
        <v>Затраты на материалы на 0 шаге = Затраты на материалы * Объем реализации = 354,88 * 0 =</v>
      </c>
      <c r="B28">
        <f>'666'!C$342*E1</f>
        <v>0</v>
      </c>
    </row>
    <row r="29" spans="1:2" x14ac:dyDescent="0.25">
      <c r="A29" t="str">
        <f>"Затраты на материалы на 1 шаге = Затраты на материалы * Объем реализации = "&amp;'666'!C$342&amp;" * "&amp;E2&amp;" ="</f>
        <v>Затраты на материалы на 1 шаге = Затраты на материалы * Объем реализации = 354,88 * 0 =</v>
      </c>
      <c r="B29">
        <f>'666'!C$342*E2</f>
        <v>0</v>
      </c>
    </row>
    <row r="30" spans="1:2" x14ac:dyDescent="0.25">
      <c r="A30" t="str">
        <f>"Затраты на материалы на 2 шаге = Затраты на материалы * Объем реализации = "&amp;'666'!C$342&amp;" * "&amp;E3&amp;" ="</f>
        <v>Затраты на материалы на 2 шаге = Затраты на материалы * Объем реализации = 354,88 * 55000 =</v>
      </c>
      <c r="B30">
        <f>'666'!C$342*E3</f>
        <v>19518400</v>
      </c>
    </row>
    <row r="31" spans="1:2" x14ac:dyDescent="0.25">
      <c r="A31" t="str">
        <f>"Затраты на материалы на 3 шаге = Затраты на материалы * Объем реализации = "&amp;'666'!C$342&amp;" * "&amp;E4&amp;" ="</f>
        <v>Затраты на материалы на 3 шаге = Затраты на материалы * Объем реализации = 354,88 * 110000 =</v>
      </c>
      <c r="B31">
        <f>'666'!C$342*E4</f>
        <v>39036800</v>
      </c>
    </row>
    <row r="32" spans="1:2" x14ac:dyDescent="0.25">
      <c r="A32" t="str">
        <f>"Затраты на материалы на 4 шаге = Затраты на материалы * Объем реализации = "&amp;'666'!C$342&amp;" * "&amp;E5&amp;" ="</f>
        <v>Затраты на материалы на 4 шаге = Затраты на материалы * Объем реализации = 354,88 * 192500 =</v>
      </c>
      <c r="B32">
        <f>'666'!C$342*E5</f>
        <v>68314400</v>
      </c>
    </row>
    <row r="33" spans="1:2" x14ac:dyDescent="0.25">
      <c r="A33" t="str">
        <f>"Затраты на материалы на 5 шаге = Затраты на материалы * Объем реализации = "&amp;'666'!C$342&amp;" * "&amp;E6&amp;" ="</f>
        <v>Затраты на материалы на 5 шаге = Затраты на материалы * Объем реализации = 354,88 * 247500 =</v>
      </c>
      <c r="B33">
        <f>'666'!C$342*E6</f>
        <v>87832800</v>
      </c>
    </row>
    <row r="34" spans="1:2" x14ac:dyDescent="0.25">
      <c r="A34" t="str">
        <f>"Затраты на материалы на 6 шаге = Затраты на материалы * Объем реализации = "&amp;'666'!C$342&amp;" * "&amp;E7&amp;" ="</f>
        <v>Затраты на материалы на 6 шаге = Затраты на материалы * Объем реализации = 354,88 * 275000 =</v>
      </c>
      <c r="B34">
        <f>'666'!C$342*E7</f>
        <v>97592000</v>
      </c>
    </row>
    <row r="37" spans="1:2" x14ac:dyDescent="0.25">
      <c r="A37" t="str">
        <f>"Затраты на элктроэнергию на 0 шаге = Затраты на элктроэнергию * Объем реализации = "&amp;'666'!C$343&amp;" * "&amp;E1&amp;" = "</f>
        <v xml:space="preserve">Затраты на элктроэнергию на 0 шаге = Затраты на элктроэнергию * Объем реализации = 13,69 * 0 = </v>
      </c>
      <c r="B37">
        <f>'666'!C$343*E1</f>
        <v>0</v>
      </c>
    </row>
    <row r="38" spans="1:2" x14ac:dyDescent="0.25">
      <c r="A38" t="str">
        <f>"Затраты на элктроэнергию на 1 шаге = Затраты на элктроэнергию * Объем реализации = "&amp;'666'!C$343&amp;" * "&amp;E2&amp;" = "</f>
        <v xml:space="preserve">Затраты на элктроэнергию на 1 шаге = Затраты на элктроэнергию * Объем реализации = 13,69 * 0 = </v>
      </c>
      <c r="B38">
        <f>'666'!C$343*E2</f>
        <v>0</v>
      </c>
    </row>
    <row r="39" spans="1:2" x14ac:dyDescent="0.25">
      <c r="A39" t="str">
        <f>"Затраты на элктроэнергию на 2 шаге = Затраты на элктроэнергию * Объем реализации = "&amp;'666'!C$343&amp;" * "&amp;E3&amp;" = "</f>
        <v xml:space="preserve">Затраты на элктроэнергию на 2 шаге = Затраты на элктроэнергию * Объем реализации = 13,69 * 55000 = </v>
      </c>
      <c r="B39">
        <f>'666'!C$343*E3</f>
        <v>752950</v>
      </c>
    </row>
    <row r="40" spans="1:2" x14ac:dyDescent="0.25">
      <c r="A40" t="str">
        <f>"Затраты на элктроэнергию на 3 шаге = Затраты на элктроэнергию * Объем реализации = "&amp;'666'!C$343&amp;" * "&amp;E4&amp;" = "</f>
        <v xml:space="preserve">Затраты на элктроэнергию на 3 шаге = Затраты на элктроэнергию * Объем реализации = 13,69 * 110000 = </v>
      </c>
      <c r="B40">
        <f>'666'!C$343*E4</f>
        <v>1505900</v>
      </c>
    </row>
    <row r="41" spans="1:2" x14ac:dyDescent="0.25">
      <c r="A41" t="str">
        <f>"Затраты на элктроэнергию на 4 шаге = Затраты на элктроэнергию * Объем реализации = "&amp;'666'!C$343&amp;" * "&amp;E5&amp;" = "</f>
        <v xml:space="preserve">Затраты на элктроэнергию на 4 шаге = Затраты на элктроэнергию * Объем реализации = 13,69 * 192500 = </v>
      </c>
      <c r="B41">
        <f>'666'!C$343*E5</f>
        <v>2635325</v>
      </c>
    </row>
    <row r="42" spans="1:2" x14ac:dyDescent="0.25">
      <c r="A42" t="str">
        <f>"Затраты на элктроэнергию на 5 шаге = Затраты на элктроэнергию * Объем реализации = "&amp;'666'!C$343&amp;" * "&amp;E6&amp;" = "</f>
        <v xml:space="preserve">Затраты на элктроэнергию на 5 шаге = Затраты на элктроэнергию * Объем реализации = 13,69 * 247500 = </v>
      </c>
      <c r="B42">
        <f>'666'!C$343*E6</f>
        <v>3388275</v>
      </c>
    </row>
    <row r="43" spans="1:2" x14ac:dyDescent="0.25">
      <c r="A43" t="str">
        <f>"Затраты на элктроэнергию на 6 шаге = Затраты на элктроэнергию * Объем реализации = "&amp;'666'!C$343&amp;" * "&amp;E7&amp;" = "</f>
        <v xml:space="preserve">Затраты на элктроэнергию на 6 шаге = Затраты на элктроэнергию * Объем реализации = 13,69 * 275000 = </v>
      </c>
      <c r="B43">
        <f>'666'!C$343*E7</f>
        <v>3764750</v>
      </c>
    </row>
    <row r="46" spans="1:2" x14ac:dyDescent="0.25">
      <c r="A46" t="str">
        <f>"Оплату труда производственного труда на 0 шаге =  "&amp;'666'!A$345&amp;" * Объем реализации = "&amp;'666'!C$345&amp;" * "&amp;E1&amp;" ="</f>
        <v>Оплату труда производственного труда на 0 шаге =  Оплата труда с начислением на изделие * Объем реализации = 54,46 * 0 =</v>
      </c>
      <c r="B46">
        <f>'666'!C$345*E1</f>
        <v>0</v>
      </c>
    </row>
    <row r="47" spans="1:2" x14ac:dyDescent="0.25">
      <c r="A47" t="str">
        <f>"Оплату труда производственного труда на 1 шаге =  "&amp;'666'!A$345&amp;" * Объем реализации = "&amp;'666'!C$345&amp;" * "&amp;E2&amp;" ="</f>
        <v>Оплату труда производственного труда на 1 шаге =  Оплата труда с начислением на изделие * Объем реализации = 54,46 * 0 =</v>
      </c>
      <c r="B47">
        <f>'666'!C$345*E2</f>
        <v>0</v>
      </c>
    </row>
    <row r="48" spans="1:2" x14ac:dyDescent="0.25">
      <c r="A48" t="str">
        <f>"Оплату труда производственного труда на 2 шаге =  "&amp;'666'!A$345&amp;" * Объем реализации = "&amp;'666'!C$345&amp;" * "&amp;E3&amp;" ="</f>
        <v>Оплату труда производственного труда на 2 шаге =  Оплата труда с начислением на изделие * Объем реализации = 54,46 * 55000 =</v>
      </c>
      <c r="B48">
        <f>'666'!C$345*E3</f>
        <v>2995300</v>
      </c>
    </row>
    <row r="49" spans="1:3" x14ac:dyDescent="0.25">
      <c r="A49" t="str">
        <f>"Оплату труда производственного труда на 0 шаге =  "&amp;'666'!A$345&amp;" * Объем реализации = "&amp;'666'!C$345&amp;" * "&amp;E4&amp;" ="</f>
        <v>Оплату труда производственного труда на 0 шаге =  Оплата труда с начислением на изделие * Объем реализации = 54,46 * 110000 =</v>
      </c>
      <c r="B49">
        <f>'666'!C$345*E4</f>
        <v>5990600</v>
      </c>
    </row>
    <row r="50" spans="1:3" x14ac:dyDescent="0.25">
      <c r="A50" t="str">
        <f>"Оплату труда производственного труда на 0 шаге =  "&amp;'666'!A$345&amp;" * Объем реализации = "&amp;'666'!C$345&amp;" * "&amp;E5&amp;" ="</f>
        <v>Оплату труда производственного труда на 0 шаге =  Оплата труда с начислением на изделие * Объем реализации = 54,46 * 192500 =</v>
      </c>
      <c r="B50">
        <f>'666'!C$345*E5</f>
        <v>10483550</v>
      </c>
    </row>
    <row r="51" spans="1:3" x14ac:dyDescent="0.25">
      <c r="A51" t="str">
        <f>"Оплату труда производственного труда на 0 шаге =  "&amp;'666'!A$345&amp;" * Объем реализации = "&amp;'666'!C$345&amp;" * "&amp;E6&amp;" ="</f>
        <v>Оплату труда производственного труда на 0 шаге =  Оплата труда с начислением на изделие * Объем реализации = 54,46 * 247500 =</v>
      </c>
      <c r="B51">
        <f>'666'!C$345*E6</f>
        <v>13478850</v>
      </c>
    </row>
    <row r="52" spans="1:3" x14ac:dyDescent="0.25">
      <c r="A52" t="str">
        <f>"Оплату труда производственного труда на 0 шаге =  "&amp;'666'!A$345&amp;" * Объем реализации = "&amp;'666'!C$345&amp;" * "&amp;E7&amp;" ="</f>
        <v>Оплату труда производственного труда на 0 шаге =  Оплата труда с начислением на изделие * Объем реализации = 54,46 * 275000 =</v>
      </c>
      <c r="B52">
        <f>'666'!C$345*E7</f>
        <v>14976500</v>
      </c>
    </row>
    <row r="55" spans="1:3" x14ac:dyDescent="0.25">
      <c r="A55" t="str">
        <f>"Проценты по кредитам = "&amp;'666'!B368&amp;" * "&amp;'666'!A354&amp;" * "&amp;'666'!A355&amp;" ="</f>
        <v>Проценты по кредитам = 93995703 * Доля заемного капитала в инвестициях * Стоимость заемных средств =</v>
      </c>
      <c r="B55" s="214">
        <f>'666'!B$368*'666'!$C354*'666'!$C355</f>
        <v>5357755.0709999995</v>
      </c>
    </row>
    <row r="56" spans="1:3" x14ac:dyDescent="0.25">
      <c r="A56" t="str">
        <f>"Амортизация = "&amp;'666'!$D301&amp;" + "&amp;'666'!$C257&amp;" ="</f>
        <v>Амортизация = 996750 + 869896,8 =</v>
      </c>
      <c r="B56" s="214">
        <f>'666'!$D301+'666'!$C257</f>
        <v>1866646.8</v>
      </c>
    </row>
    <row r="57" spans="1:3" x14ac:dyDescent="0.25">
      <c r="A57" s="299" t="str">
        <f>"Прибыль налогообложения на "&amp;G1&amp;" шаге = ("&amp;'666'!B$412&amp;" + 0)-("&amp;'666'!B$423&amp;" + "&amp;'666'!$B$429&amp;"+"&amp;'666'!B$430&amp;"+"&amp;'666'!B$431&amp;") = "</f>
        <v xml:space="preserve">Прибыль налогообложения на 0 шаге = (Выручка без НДС + 0)-(Итого переменных издержек + Итого постоянных издержек+Амортизация+Проценты по кредитам) = </v>
      </c>
      <c r="B57" s="214">
        <f>'666'!D$432</f>
        <v>0</v>
      </c>
      <c r="C57" s="299"/>
    </row>
    <row r="58" spans="1:3" x14ac:dyDescent="0.25">
      <c r="A58" s="299" t="str">
        <f>"Прибыль налогообложения на "&amp;G2&amp;" шаге = ("&amp;'666'!B$412&amp;" + 0)-("&amp;'666'!B$423&amp;" + "&amp;'666'!$B$429&amp;"+"&amp;'666'!B$430&amp;"+"&amp;'666'!B$431&amp;") = "</f>
        <v xml:space="preserve">Прибыль налогообложения на 1 шаге = (Выручка без НДС + 0)-(Итого переменных издержек + Итого постоянных издержек+Амортизация+Проценты по кредитам) = </v>
      </c>
      <c r="B58" s="214">
        <f>'666'!E$432</f>
        <v>0</v>
      </c>
      <c r="C58" s="299"/>
    </row>
    <row r="59" spans="1:3" x14ac:dyDescent="0.25">
      <c r="A59" s="299" t="str">
        <f>"Прибыль налогообложения на "&amp;G3&amp;" шаге = ("&amp;'666'!B$412&amp;" + 0)-("&amp;'666'!B$423&amp;" + "&amp;'666'!$B$429&amp;"+"&amp;'666'!B$430&amp;"+"&amp;'666'!B$431&amp;") = "</f>
        <v xml:space="preserve">Прибыль налогообложения на 2 шаге = (Выручка без НДС + 0)-(Итого переменных издержек + Итого постоянных издержек+Амортизация+Проценты по кредитам) = </v>
      </c>
      <c r="B59" s="214">
        <f>'666'!F$432</f>
        <v>-23592356.499648981</v>
      </c>
      <c r="C59" s="299"/>
    </row>
    <row r="60" spans="1:3" x14ac:dyDescent="0.25">
      <c r="A60" s="299" t="str">
        <f>"Прибыль налогообложения на "&amp;G4&amp;" шаге = ("&amp;'666'!B$412&amp;" + 0)-("&amp;'666'!B$423&amp;" + "&amp;'666'!$B$429&amp;"+"&amp;'666'!B$430&amp;"+"&amp;'666'!B$431&amp;") = "</f>
        <v xml:space="preserve">Прибыль налогообложения на 3 шаге = (Выручка без НДС + 0)-(Итого переменных издержек + Итого постоянных издержек+Амортизация+Проценты по кредитам) = </v>
      </c>
      <c r="B60" s="214">
        <f>'666'!G$432</f>
        <v>-1159506.4996489882</v>
      </c>
      <c r="C60" s="299"/>
    </row>
    <row r="61" spans="1:3" x14ac:dyDescent="0.25">
      <c r="A61" s="299" t="str">
        <f>"Прибыль налогообложения на "&amp;G5&amp;" шаге = ("&amp;'666'!B$412&amp;" + 0)-("&amp;'666'!B$423&amp;" + "&amp;'666'!$B$429&amp;"+"&amp;'666'!B$430&amp;"+"&amp;'666'!B$431&amp;") = "</f>
        <v xml:space="preserve">Прибыль налогообложения на 4 шаге = (Выручка без НДС + 0)-(Итого переменных издержек + Итого постоянных издержек+Амортизация+Проценты по кредитам) = </v>
      </c>
      <c r="B61" s="214">
        <f>'666'!H$432</f>
        <v>32489768.500351027</v>
      </c>
      <c r="C61" s="299"/>
    </row>
    <row r="62" spans="1:3" x14ac:dyDescent="0.25">
      <c r="A62" s="299" t="str">
        <f>"Прибыль налогообложения на "&amp;G6&amp;" шаге = ("&amp;'666'!B$412&amp;" + 0)-("&amp;'666'!B$423&amp;" + "&amp;'666'!$B$429&amp;"+"&amp;'666'!B$430&amp;"+"&amp;'666'!B$431&amp;") = "</f>
        <v xml:space="preserve">Прибыль налогообложения на 5 шаге = (Выручка без НДС + 0)-(Итого переменных издержек + Итого постоянных издержек+Амортизация+Проценты по кредитам) = </v>
      </c>
      <c r="B62" s="214">
        <f>'666'!I$432</f>
        <v>54922618.500350952</v>
      </c>
      <c r="C62" s="299"/>
    </row>
    <row r="63" spans="1:3" x14ac:dyDescent="0.25">
      <c r="A63" s="299" t="str">
        <f>"Прибыль налогообложения на "&amp;G7&amp;" шаге = ("&amp;'666'!B$412&amp;" + 0)-("&amp;'666'!B$423&amp;" + "&amp;'666'!$B$429&amp;"+"&amp;'666'!B$430&amp;"+"&amp;'666'!B$431&amp;") = "</f>
        <v xml:space="preserve">Прибыль налогообложения на 6 шаге = (Выручка без НДС + 0)-(Итого переменных издержек + Итого постоянных издержек+Амортизация+Проценты по кредитам) = </v>
      </c>
      <c r="B63" s="214">
        <f>'666'!J$432</f>
        <v>66139043.500350982</v>
      </c>
      <c r="C63" s="299"/>
    </row>
    <row r="64" spans="1:3" x14ac:dyDescent="0.25">
      <c r="A64" s="269"/>
      <c r="B64" s="269"/>
      <c r="C64" s="269"/>
    </row>
    <row r="66" spans="1:2" x14ac:dyDescent="0.25">
      <c r="A66" t="str">
        <f>"Налоги и сборы на "&amp;G1&amp;" шаге = 20% * Прибыль налогообложения = 20% * "&amp;ROUND(B57,2)&amp;" ="</f>
        <v>Налоги и сборы на 0 шаге = 20% * Прибыль налогообложения = 20% * 0 =</v>
      </c>
      <c r="B66" s="214">
        <f>20%*B57</f>
        <v>0</v>
      </c>
    </row>
    <row r="67" spans="1:2" x14ac:dyDescent="0.25">
      <c r="A67" t="str">
        <f>"Налоги и сборы на "&amp;G2&amp;" шаге = 20% * Прибыль налогообложения = 20% * "&amp;ROUND(B58,2)&amp;" ="</f>
        <v>Налоги и сборы на 1 шаге = 20% * Прибыль налогообложения = 20% * 0 =</v>
      </c>
      <c r="B67" s="214">
        <f>20%*B58</f>
        <v>0</v>
      </c>
    </row>
    <row r="68" spans="1:2" x14ac:dyDescent="0.25">
      <c r="A68" t="str">
        <f>"Налоги и сборы на "&amp;G3&amp;" шаге = 20% * Прибыль налогообложения = 20% * "&amp;ROUND(B59,2)&amp;" ="</f>
        <v>Налоги и сборы на 2 шаге = 20% * Прибыль налогообложения = 20% * -23592356,5 =</v>
      </c>
      <c r="B68" s="214">
        <f>20%*B59</f>
        <v>-4718471.2999297967</v>
      </c>
    </row>
    <row r="69" spans="1:2" x14ac:dyDescent="0.25">
      <c r="A69" t="str">
        <f>"Налоги и сборы на "&amp;G4&amp;" шаге = 20% * Прибыль налогообложения = 20% * "&amp;ROUND(B60,2)&amp;" ="</f>
        <v>Налоги и сборы на 3 шаге = 20% * Прибыль налогообложения = 20% * -1159506,5 =</v>
      </c>
      <c r="B69" s="214">
        <f>20%*B60</f>
        <v>-231901.29992979765</v>
      </c>
    </row>
    <row r="70" spans="1:2" x14ac:dyDescent="0.25">
      <c r="A70" t="str">
        <f>"Налоги и сборы на "&amp;G5&amp;" шаге = 20% * Прибыль налогообложения = 20% * "&amp;ROUND(B61,2)&amp;" ="</f>
        <v>Налоги и сборы на 4 шаге = 20% * Прибыль налогообложения = 20% * 32489768,5 =</v>
      </c>
      <c r="B70" s="214">
        <f>20%*B61</f>
        <v>6497953.7000702061</v>
      </c>
    </row>
    <row r="71" spans="1:2" x14ac:dyDescent="0.25">
      <c r="A71" t="str">
        <f>"Налоги и сборы на "&amp;G6&amp;" шаге = 20% * Прибыль налогообложения = 20% * "&amp;ROUND(B62,2)&amp;" ="</f>
        <v>Налоги и сборы на 5 шаге = 20% * Прибыль налогообложения = 20% * 54922618,5 =</v>
      </c>
      <c r="B71" s="214">
        <f>20%*B62</f>
        <v>10984523.700070191</v>
      </c>
    </row>
    <row r="72" spans="1:2" x14ac:dyDescent="0.25">
      <c r="A72" t="str">
        <f>"Налоги и сборы на "&amp;G7&amp;" шаге = 20% * Прибыль налогообложения = 20% * "&amp;ROUND(B63,2)&amp;" ="</f>
        <v>Налоги и сборы на 6 шаге = 20% * Прибыль налогообложения = 20% * 66139043,5 =</v>
      </c>
      <c r="B72" s="214">
        <f>20%*B63</f>
        <v>13227808.700070197</v>
      </c>
    </row>
    <row r="75" spans="1:2" x14ac:dyDescent="0.25">
      <c r="A75" t="str">
        <f>"Чистая прибыль на "&amp;G1&amp;" шаге = Прибыль налогооблажения - Налоги и сборы = "&amp;B57&amp;" - "&amp;B66&amp;" = "</f>
        <v xml:space="preserve">Чистая прибыль на 0 шаге = Прибыль налогооблажения - Налоги и сборы = 0 - 0 = </v>
      </c>
      <c r="B75" s="214">
        <f>B57-B66</f>
        <v>0</v>
      </c>
    </row>
    <row r="76" spans="1:2" x14ac:dyDescent="0.25">
      <c r="A76" t="str">
        <f>"Чистая прибыль на "&amp;G2&amp;" шаге = Прибыль налогооблажения - Налоги и сборы = "&amp;B58&amp;" - "&amp;B67&amp;" = "</f>
        <v xml:space="preserve">Чистая прибыль на 1 шаге = Прибыль налогооблажения - Налоги и сборы = 0 - 0 = </v>
      </c>
      <c r="B76" s="214">
        <f>B58-B67</f>
        <v>0</v>
      </c>
    </row>
    <row r="77" spans="1:2" x14ac:dyDescent="0.25">
      <c r="A77" t="str">
        <f>"Чистая прибыль на "&amp;G3&amp;" шаге = Прибыль налогооблажения - Налоги и сборы = "&amp;B59&amp;" - ("&amp;'666'!F412&amp;" + 0) - ("&amp;'666'!F423&amp;" + "&amp;'666'!F429&amp;" + "&amp;'666'!F430&amp;" + "&amp;'666'!F431&amp;") = "</f>
        <v xml:space="preserve">Чистая прибыль на 2 шаге = Прибыль налогооблажения - Налоги и сборы = -23592356,499649 - (45699500 + 0) - (23266650 + 38800804,628649 + 1866646,8 + 5357755,071) = </v>
      </c>
      <c r="B77" s="214">
        <f>'666'!F$434</f>
        <v>-23592356.499648981</v>
      </c>
    </row>
    <row r="78" spans="1:2" x14ac:dyDescent="0.25">
      <c r="A78" t="str">
        <f>"Чистая прибыль на "&amp;G4&amp;" шаге = Прибыль налогооблажения - Налоги и сборы = "&amp;B60&amp;" - ("&amp;'666'!G412&amp;" + 0) - ("&amp;'666'!G423&amp;" + "&amp;'666'!G429&amp;" + "&amp;'666'!G430&amp;" + "&amp;'666'!G431&amp;") = "</f>
        <v xml:space="preserve">Чистая прибыль на 3 шаге = Прибыль налогооблажения - Налоги и сборы = -1159506,49964899 - (91399000 + 0) - (46533300 + 38800804,628649 + 1866646,8 + 5357755,071) = </v>
      </c>
      <c r="B78" s="214">
        <f>'666'!G$434</f>
        <v>-1159506.4996489882</v>
      </c>
    </row>
    <row r="79" spans="1:2" x14ac:dyDescent="0.25">
      <c r="A79" t="str">
        <f>"Чистая прибыль на "&amp;G5&amp;" шаге = Прибыль налогооблажения - Налоги и сборы = "&amp;B61&amp;" - "&amp;B70&amp;" = "</f>
        <v xml:space="preserve">Чистая прибыль на 4 шаге = Прибыль налогооблажения - Налоги и сборы = 32489768,500351 - 6497953,70007021 = </v>
      </c>
      <c r="B79" s="214">
        <f>B61-B70</f>
        <v>25991814.800280821</v>
      </c>
    </row>
    <row r="80" spans="1:2" x14ac:dyDescent="0.25">
      <c r="A80" t="str">
        <f>"Чистая прибыль на "&amp;G6&amp;" шаге = Прибыль налогооблажения - Налоги и сборы = "&amp;B62&amp;" - "&amp;B71&amp;" = "</f>
        <v xml:space="preserve">Чистая прибыль на 5 шаге = Прибыль налогооблажения - Налоги и сборы = 54922618,500351 - 10984523,7000702 = </v>
      </c>
      <c r="B80" s="214">
        <f>B62-B71</f>
        <v>43938094.800280765</v>
      </c>
    </row>
    <row r="81" spans="1:2" x14ac:dyDescent="0.25">
      <c r="A81" t="str">
        <f>"Чистая прибыль на "&amp;G7&amp;" шаге = Прибыль налогооблажения - Налоги и сборы = "&amp;B63&amp;" - "&amp;B72&amp;" = "</f>
        <v xml:space="preserve">Чистая прибыль на 6 шаге = Прибыль налогооблажения - Налоги и сборы = 66139043,500351 - 13227808,7000702 = </v>
      </c>
      <c r="B81" s="214">
        <f>B63-B72</f>
        <v>52911234.800280787</v>
      </c>
    </row>
    <row r="84" spans="1:2" x14ac:dyDescent="0.25">
      <c r="A84" t="str">
        <f>"Итого от операционной деятельности на "&amp;G1&amp;" шаге  = Чистая прибыль + Амортизация = "</f>
        <v xml:space="preserve">Итого от операционной деятельности на 0 шаге  = Чистая прибыль + Амортизация = </v>
      </c>
      <c r="B84">
        <v>0</v>
      </c>
    </row>
    <row r="85" spans="1:2" x14ac:dyDescent="0.25">
      <c r="A85" t="str">
        <f>"Итого от операционной деятельности на "&amp;G2&amp;" шаге  = Чистая прибыль + Амортизация ="</f>
        <v>Итого от операционной деятельности на 1 шаге  = Чистая прибыль + Амортизация =</v>
      </c>
      <c r="B85">
        <v>0</v>
      </c>
    </row>
    <row r="86" spans="1:2" x14ac:dyDescent="0.25">
      <c r="A86" t="str">
        <f>"Итого от операционной деятельности на "&amp;G3&amp;" шаге  = Чистая прибыль + Амортизация = "&amp;B77&amp;" + "&amp;B$56&amp;" = "</f>
        <v xml:space="preserve">Итого от операционной деятельности на 2 шаге  = Чистая прибыль + Амортизация = -23592356,499649 + 1866646,8 = </v>
      </c>
      <c r="B86" s="214">
        <f>B77+B$56</f>
        <v>-21725709.69964898</v>
      </c>
    </row>
    <row r="87" spans="1:2" x14ac:dyDescent="0.25">
      <c r="A87" t="str">
        <f>"Итого от операционной деятельности на "&amp;G4&amp;" шаге  = Чистая прибыль + Амортизация = "&amp;B78&amp;" + "&amp;B$56&amp;" = "</f>
        <v xml:space="preserve">Итого от операционной деятельности на 3 шаге  = Чистая прибыль + Амортизация = -1159506,49964899 + 1866646,8 = </v>
      </c>
      <c r="B87" s="214">
        <f t="shared" ref="B87:B90" si="2">B78+B$56</f>
        <v>707140.3003510118</v>
      </c>
    </row>
    <row r="88" spans="1:2" x14ac:dyDescent="0.25">
      <c r="A88" t="str">
        <f>"Итого от операционной деятельности на "&amp;G5&amp;" шаге  = Чистая прибыль + Амортизация = "&amp;B79&amp;" + "&amp;B$56&amp;" = "</f>
        <v xml:space="preserve">Итого от операционной деятельности на 4 шаге  = Чистая прибыль + Амортизация = 25991814,8002808 + 1866646,8 = </v>
      </c>
      <c r="B88" s="214">
        <f t="shared" si="2"/>
        <v>27858461.600280821</v>
      </c>
    </row>
    <row r="89" spans="1:2" x14ac:dyDescent="0.25">
      <c r="A89" t="str">
        <f>"Итого от операционной деятельности на "&amp;G6&amp;" шаге  = Чистая прибыль + Амортизация = "&amp;B80&amp;" + "&amp;B$56&amp;" = "</f>
        <v xml:space="preserve">Итого от операционной деятельности на 5 шаге  = Чистая прибыль + Амортизация = 43938094,8002808 + 1866646,8 = </v>
      </c>
      <c r="B89" s="214">
        <f t="shared" si="2"/>
        <v>45804741.600280762</v>
      </c>
    </row>
    <row r="90" spans="1:2" x14ac:dyDescent="0.25">
      <c r="A90" t="str">
        <f>"Итого от операционной деятельности на "&amp;G7&amp;" шаге  = Чистая прибыль + Амортизация = "&amp;B81&amp;" + "&amp;B$56&amp;" = "</f>
        <v xml:space="preserve">Итого от операционной деятельности на 6 шаге  = Чистая прибыль + Амортизация = 52911234,8002808 + 1866646,8 = </v>
      </c>
      <c r="B90" s="214">
        <f t="shared" si="2"/>
        <v>54777881.600280784</v>
      </c>
    </row>
  </sheetData>
  <mergeCells count="1">
    <mergeCell ref="A64:C64"/>
  </mergeCells>
  <printOptions horizontalCentered="1" verticalCentered="1" gridLines="1"/>
  <pageMargins left="0.19685039370078741" right="0.19685039370078741" top="0.19685039370078741" bottom="0.19685039370078741" header="0.19685039370078741" footer="0.19685039370078741"/>
  <pageSetup paperSize="9" scale="80" pageOrder="overThenDown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11"/>
  <sheetViews>
    <sheetView topLeftCell="B49" zoomScale="81" workbookViewId="0">
      <selection activeCell="H61" sqref="H61"/>
    </sheetView>
  </sheetViews>
  <sheetFormatPr defaultRowHeight="15" x14ac:dyDescent="0.25"/>
  <cols>
    <col min="1" max="1" width="10.140625" style="174" customWidth="1"/>
    <col min="2" max="2" width="142.42578125" style="206" bestFit="1" customWidth="1"/>
    <col min="3" max="3" width="17.5703125" style="174" bestFit="1" customWidth="1"/>
    <col min="4" max="13" width="18.7109375" style="174" bestFit="1" customWidth="1"/>
    <col min="14" max="14" width="17.5703125" style="174" bestFit="1" customWidth="1"/>
    <col min="15" max="16" width="16.5703125" style="174" bestFit="1" customWidth="1"/>
    <col min="17" max="25" width="17.5703125" style="174" bestFit="1" customWidth="1"/>
    <col min="26" max="16384" width="9.140625" style="174"/>
  </cols>
  <sheetData>
    <row r="1" spans="1:25" ht="15.75" thickBot="1" x14ac:dyDescent="0.3">
      <c r="A1" s="275" t="s">
        <v>393</v>
      </c>
      <c r="B1" s="276" t="s">
        <v>292</v>
      </c>
      <c r="C1" s="275" t="s">
        <v>293</v>
      </c>
      <c r="D1" s="284" t="s">
        <v>285</v>
      </c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</row>
    <row r="2" spans="1:25" x14ac:dyDescent="0.25">
      <c r="A2" s="275"/>
      <c r="B2" s="276"/>
      <c r="C2" s="277"/>
      <c r="D2" s="281" t="s">
        <v>394</v>
      </c>
      <c r="E2" s="282"/>
      <c r="F2" s="282"/>
      <c r="G2" s="282"/>
      <c r="H2" s="282"/>
      <c r="I2" s="282"/>
      <c r="J2" s="282"/>
      <c r="K2" s="282"/>
      <c r="L2" s="282"/>
      <c r="M2" s="282"/>
      <c r="N2" s="283"/>
      <c r="O2" s="281" t="s">
        <v>395</v>
      </c>
      <c r="P2" s="282"/>
      <c r="Q2" s="282"/>
      <c r="R2" s="282"/>
      <c r="S2" s="282"/>
      <c r="T2" s="282"/>
      <c r="U2" s="282"/>
      <c r="V2" s="282"/>
      <c r="W2" s="282"/>
      <c r="X2" s="282"/>
      <c r="Y2" s="283"/>
    </row>
    <row r="3" spans="1:25" x14ac:dyDescent="0.25">
      <c r="A3" s="275"/>
      <c r="B3" s="276"/>
      <c r="C3" s="277"/>
      <c r="D3" s="175">
        <v>0</v>
      </c>
      <c r="E3" s="176">
        <v>1</v>
      </c>
      <c r="F3" s="176">
        <v>2</v>
      </c>
      <c r="G3" s="176">
        <v>3</v>
      </c>
      <c r="H3" s="176">
        <v>4</v>
      </c>
      <c r="I3" s="176">
        <v>5</v>
      </c>
      <c r="J3" s="176">
        <v>6</v>
      </c>
      <c r="K3" s="176">
        <v>7</v>
      </c>
      <c r="L3" s="176">
        <v>8</v>
      </c>
      <c r="M3" s="176">
        <v>9</v>
      </c>
      <c r="N3" s="177">
        <v>10</v>
      </c>
      <c r="O3" s="175">
        <v>0</v>
      </c>
      <c r="P3" s="176">
        <v>1</v>
      </c>
      <c r="Q3" s="176">
        <v>2</v>
      </c>
      <c r="R3" s="176">
        <v>3</v>
      </c>
      <c r="S3" s="176">
        <v>4</v>
      </c>
      <c r="T3" s="176">
        <v>5</v>
      </c>
      <c r="U3" s="176">
        <v>6</v>
      </c>
      <c r="V3" s="176">
        <v>7</v>
      </c>
      <c r="W3" s="176">
        <v>8</v>
      </c>
      <c r="X3" s="176">
        <v>9</v>
      </c>
      <c r="Y3" s="177">
        <v>10</v>
      </c>
    </row>
    <row r="4" spans="1:25" x14ac:dyDescent="0.25">
      <c r="A4" s="176">
        <v>1</v>
      </c>
      <c r="B4" s="178" t="s">
        <v>294</v>
      </c>
      <c r="C4" s="179"/>
      <c r="D4" s="175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175"/>
      <c r="P4" s="176"/>
      <c r="Q4" s="176"/>
      <c r="R4" s="176"/>
      <c r="S4" s="176"/>
      <c r="T4" s="176"/>
      <c r="U4" s="176"/>
      <c r="V4" s="176"/>
      <c r="W4" s="176"/>
      <c r="X4" s="176"/>
      <c r="Y4" s="177"/>
    </row>
    <row r="5" spans="1:25" x14ac:dyDescent="0.25">
      <c r="A5" s="176">
        <v>2</v>
      </c>
      <c r="B5" s="178" t="s">
        <v>295</v>
      </c>
      <c r="C5" s="179" t="s">
        <v>318</v>
      </c>
      <c r="D5" s="180" t="s">
        <v>268</v>
      </c>
      <c r="E5" s="181" t="s">
        <v>268</v>
      </c>
      <c r="F5" s="181">
        <f>'666'!D398*1.1</f>
        <v>60500.000000000007</v>
      </c>
      <c r="G5" s="181">
        <f>'666'!E398*1.1</f>
        <v>121000.00000000001</v>
      </c>
      <c r="H5" s="181">
        <f>'666'!F398*1.1</f>
        <v>211750.00000000003</v>
      </c>
      <c r="I5" s="181">
        <f>'666'!G398*1.1</f>
        <v>272250</v>
      </c>
      <c r="J5" s="181">
        <f>'666'!$H398*1.1</f>
        <v>302500</v>
      </c>
      <c r="K5" s="181">
        <f>'666'!$H398*1.1</f>
        <v>302500</v>
      </c>
      <c r="L5" s="181">
        <f>'666'!$H398*1.1</f>
        <v>302500</v>
      </c>
      <c r="M5" s="181">
        <f>'666'!$H398*1.1</f>
        <v>302500</v>
      </c>
      <c r="N5" s="182">
        <f>'666'!$H398*1.1</f>
        <v>302500</v>
      </c>
      <c r="O5" s="180" t="s">
        <v>268</v>
      </c>
      <c r="P5" s="181" t="s">
        <v>268</v>
      </c>
      <c r="Q5" s="181">
        <f>'666'!D398*0.9</f>
        <v>49500</v>
      </c>
      <c r="R5" s="181">
        <f>'666'!E398*0.9</f>
        <v>99000</v>
      </c>
      <c r="S5" s="181">
        <f>'666'!F398*0.9</f>
        <v>173250</v>
      </c>
      <c r="T5" s="181">
        <f>'666'!G398*0.9</f>
        <v>222750</v>
      </c>
      <c r="U5" s="181">
        <f>'666'!$H398*0.9</f>
        <v>247500</v>
      </c>
      <c r="V5" s="181">
        <f>'666'!$H398*0.9</f>
        <v>247500</v>
      </c>
      <c r="W5" s="181">
        <f>'666'!$H398*0.9</f>
        <v>247500</v>
      </c>
      <c r="X5" s="181">
        <f>'666'!$H398*0.9</f>
        <v>247500</v>
      </c>
      <c r="Y5" s="182">
        <f>'666'!$H398*0.9</f>
        <v>247500</v>
      </c>
    </row>
    <row r="6" spans="1:25" x14ac:dyDescent="0.25">
      <c r="A6" s="176">
        <v>3</v>
      </c>
      <c r="B6" s="178" t="s">
        <v>396</v>
      </c>
      <c r="C6" s="179" t="s">
        <v>320</v>
      </c>
      <c r="D6" s="180" t="s">
        <v>268</v>
      </c>
      <c r="E6" s="181" t="s">
        <v>268</v>
      </c>
      <c r="F6" s="181">
        <f>'666'!F409</f>
        <v>997.07999999999993</v>
      </c>
      <c r="G6" s="181">
        <f>'666'!G409</f>
        <v>997.07999999999993</v>
      </c>
      <c r="H6" s="181">
        <f>'666'!H409</f>
        <v>997.07999999999993</v>
      </c>
      <c r="I6" s="181">
        <f>'666'!I409</f>
        <v>997.07999999999993</v>
      </c>
      <c r="J6" s="181">
        <f>'666'!$J409</f>
        <v>997.07999999999993</v>
      </c>
      <c r="K6" s="181">
        <f>'666'!$J409</f>
        <v>997.07999999999993</v>
      </c>
      <c r="L6" s="181">
        <f>'666'!$J409</f>
        <v>997.07999999999993</v>
      </c>
      <c r="M6" s="181">
        <f>'666'!$J409</f>
        <v>997.07999999999993</v>
      </c>
      <c r="N6" s="182">
        <f>'666'!$J409</f>
        <v>997.07999999999993</v>
      </c>
      <c r="O6" s="180" t="s">
        <v>268</v>
      </c>
      <c r="P6" s="181" t="s">
        <v>268</v>
      </c>
      <c r="Q6" s="181">
        <f>F6</f>
        <v>997.07999999999993</v>
      </c>
      <c r="R6" s="181">
        <f t="shared" ref="R6:Y6" si="0">G6</f>
        <v>997.07999999999993</v>
      </c>
      <c r="S6" s="181">
        <f t="shared" si="0"/>
        <v>997.07999999999993</v>
      </c>
      <c r="T6" s="181">
        <f t="shared" si="0"/>
        <v>997.07999999999993</v>
      </c>
      <c r="U6" s="181">
        <f t="shared" si="0"/>
        <v>997.07999999999993</v>
      </c>
      <c r="V6" s="181">
        <f t="shared" si="0"/>
        <v>997.07999999999993</v>
      </c>
      <c r="W6" s="181">
        <f t="shared" si="0"/>
        <v>997.07999999999993</v>
      </c>
      <c r="X6" s="181">
        <f t="shared" si="0"/>
        <v>997.07999999999993</v>
      </c>
      <c r="Y6" s="182">
        <f t="shared" si="0"/>
        <v>997.07999999999993</v>
      </c>
    </row>
    <row r="7" spans="1:25" x14ac:dyDescent="0.25">
      <c r="A7" s="176">
        <v>4</v>
      </c>
      <c r="B7" s="217" t="s">
        <v>297</v>
      </c>
      <c r="C7" s="179" t="s">
        <v>321</v>
      </c>
      <c r="D7" s="180" t="s">
        <v>268</v>
      </c>
      <c r="E7" s="181" t="s">
        <v>268</v>
      </c>
      <c r="F7" s="181">
        <f>F5*F6</f>
        <v>60323340</v>
      </c>
      <c r="G7" s="181">
        <f t="shared" ref="G7:N7" si="1">G5*G6</f>
        <v>120646680</v>
      </c>
      <c r="H7" s="181">
        <f t="shared" si="1"/>
        <v>211131690</v>
      </c>
      <c r="I7" s="181">
        <f t="shared" si="1"/>
        <v>271455030</v>
      </c>
      <c r="J7" s="181">
        <f t="shared" si="1"/>
        <v>301616700</v>
      </c>
      <c r="K7" s="181">
        <f t="shared" si="1"/>
        <v>301616700</v>
      </c>
      <c r="L7" s="181">
        <f t="shared" si="1"/>
        <v>301616700</v>
      </c>
      <c r="M7" s="181">
        <f t="shared" si="1"/>
        <v>301616700</v>
      </c>
      <c r="N7" s="182">
        <f t="shared" si="1"/>
        <v>301616700</v>
      </c>
      <c r="O7" s="180" t="s">
        <v>268</v>
      </c>
      <c r="P7" s="181" t="s">
        <v>268</v>
      </c>
      <c r="Q7" s="181">
        <f>Q5*Q6</f>
        <v>49355460</v>
      </c>
      <c r="R7" s="181">
        <f t="shared" ref="R7:Y7" si="2">R5*R6</f>
        <v>98710920</v>
      </c>
      <c r="S7" s="181">
        <f t="shared" si="2"/>
        <v>172744110</v>
      </c>
      <c r="T7" s="181">
        <f t="shared" si="2"/>
        <v>222099569.99999997</v>
      </c>
      <c r="U7" s="181">
        <f t="shared" si="2"/>
        <v>246777299.99999997</v>
      </c>
      <c r="V7" s="181">
        <f t="shared" si="2"/>
        <v>246777299.99999997</v>
      </c>
      <c r="W7" s="181">
        <f t="shared" si="2"/>
        <v>246777299.99999997</v>
      </c>
      <c r="X7" s="181">
        <f t="shared" si="2"/>
        <v>246777299.99999997</v>
      </c>
      <c r="Y7" s="182">
        <f t="shared" si="2"/>
        <v>246777299.99999997</v>
      </c>
    </row>
    <row r="8" spans="1:25" x14ac:dyDescent="0.25">
      <c r="A8" s="176">
        <v>5</v>
      </c>
      <c r="B8" s="217" t="s">
        <v>298</v>
      </c>
      <c r="C8" s="179" t="s">
        <v>418</v>
      </c>
      <c r="D8" s="180" t="s">
        <v>268</v>
      </c>
      <c r="E8" s="181" t="s">
        <v>268</v>
      </c>
      <c r="F8" s="181">
        <f>(F7/120)*20</f>
        <v>10053890</v>
      </c>
      <c r="G8" s="181">
        <f t="shared" ref="G8:N8" si="3">(G7/120)*20</f>
        <v>20107780</v>
      </c>
      <c r="H8" s="181">
        <f t="shared" si="3"/>
        <v>35188615</v>
      </c>
      <c r="I8" s="181">
        <f t="shared" si="3"/>
        <v>45242505</v>
      </c>
      <c r="J8" s="181">
        <f t="shared" si="3"/>
        <v>50269450</v>
      </c>
      <c r="K8" s="181">
        <f t="shared" si="3"/>
        <v>50269450</v>
      </c>
      <c r="L8" s="181">
        <f t="shared" si="3"/>
        <v>50269450</v>
      </c>
      <c r="M8" s="181">
        <f t="shared" si="3"/>
        <v>50269450</v>
      </c>
      <c r="N8" s="182">
        <f t="shared" si="3"/>
        <v>50269450</v>
      </c>
      <c r="O8" s="180" t="s">
        <v>268</v>
      </c>
      <c r="P8" s="181" t="s">
        <v>268</v>
      </c>
      <c r="Q8" s="181">
        <f>(Q7/120)*20</f>
        <v>8225910</v>
      </c>
      <c r="R8" s="181">
        <f t="shared" ref="R8:Y8" si="4">(R7/120)*20</f>
        <v>16451820</v>
      </c>
      <c r="S8" s="181">
        <f t="shared" si="4"/>
        <v>28790685</v>
      </c>
      <c r="T8" s="181">
        <f t="shared" si="4"/>
        <v>37016594.999999993</v>
      </c>
      <c r="U8" s="181">
        <f t="shared" si="4"/>
        <v>41129549.999999993</v>
      </c>
      <c r="V8" s="181">
        <f t="shared" si="4"/>
        <v>41129549.999999993</v>
      </c>
      <c r="W8" s="181">
        <f t="shared" si="4"/>
        <v>41129549.999999993</v>
      </c>
      <c r="X8" s="181">
        <f t="shared" si="4"/>
        <v>41129549.999999993</v>
      </c>
      <c r="Y8" s="182">
        <f t="shared" si="4"/>
        <v>41129549.999999993</v>
      </c>
    </row>
    <row r="9" spans="1:25" x14ac:dyDescent="0.25">
      <c r="A9" s="176">
        <v>6</v>
      </c>
      <c r="B9" s="178" t="s">
        <v>299</v>
      </c>
      <c r="C9" s="183" t="s">
        <v>419</v>
      </c>
      <c r="D9" s="180" t="s">
        <v>268</v>
      </c>
      <c r="E9" s="181" t="s">
        <v>268</v>
      </c>
      <c r="F9" s="181">
        <f>F7-F8</f>
        <v>50269450</v>
      </c>
      <c r="G9" s="181">
        <f t="shared" ref="G9:N9" si="5">G7-G8</f>
        <v>100538900</v>
      </c>
      <c r="H9" s="181">
        <f t="shared" si="5"/>
        <v>175943075</v>
      </c>
      <c r="I9" s="181">
        <f t="shared" si="5"/>
        <v>226212525</v>
      </c>
      <c r="J9" s="181">
        <f t="shared" si="5"/>
        <v>251347250</v>
      </c>
      <c r="K9" s="181">
        <f t="shared" si="5"/>
        <v>251347250</v>
      </c>
      <c r="L9" s="181">
        <f t="shared" si="5"/>
        <v>251347250</v>
      </c>
      <c r="M9" s="181">
        <f t="shared" si="5"/>
        <v>251347250</v>
      </c>
      <c r="N9" s="182">
        <f t="shared" si="5"/>
        <v>251347250</v>
      </c>
      <c r="O9" s="180" t="s">
        <v>268</v>
      </c>
      <c r="P9" s="181" t="s">
        <v>268</v>
      </c>
      <c r="Q9" s="181">
        <f>Q7-Q8</f>
        <v>41129550</v>
      </c>
      <c r="R9" s="181">
        <f t="shared" ref="R9:Y9" si="6">R7-R8</f>
        <v>82259100</v>
      </c>
      <c r="S9" s="181">
        <f t="shared" si="6"/>
        <v>143953425</v>
      </c>
      <c r="T9" s="181">
        <f t="shared" si="6"/>
        <v>185082974.99999997</v>
      </c>
      <c r="U9" s="181">
        <f t="shared" si="6"/>
        <v>205647749.99999997</v>
      </c>
      <c r="V9" s="181">
        <f t="shared" si="6"/>
        <v>205647749.99999997</v>
      </c>
      <c r="W9" s="181">
        <f t="shared" si="6"/>
        <v>205647749.99999997</v>
      </c>
      <c r="X9" s="181">
        <f t="shared" si="6"/>
        <v>205647749.99999997</v>
      </c>
      <c r="Y9" s="182">
        <f t="shared" si="6"/>
        <v>205647749.99999997</v>
      </c>
    </row>
    <row r="10" spans="1:25" x14ac:dyDescent="0.25">
      <c r="A10" s="176">
        <v>7</v>
      </c>
      <c r="B10" s="178" t="s">
        <v>397</v>
      </c>
      <c r="C10" s="179"/>
      <c r="D10" s="180" t="s">
        <v>268</v>
      </c>
      <c r="E10" s="181" t="s">
        <v>268</v>
      </c>
      <c r="F10" s="181"/>
      <c r="G10" s="181"/>
      <c r="H10" s="181"/>
      <c r="I10" s="181"/>
      <c r="J10" s="181"/>
      <c r="K10" s="181"/>
      <c r="L10" s="181"/>
      <c r="M10" s="181"/>
      <c r="N10" s="182"/>
      <c r="O10" s="180" t="s">
        <v>268</v>
      </c>
      <c r="P10" s="181" t="s">
        <v>268</v>
      </c>
      <c r="Q10" s="181"/>
      <c r="R10" s="181"/>
      <c r="S10" s="181"/>
      <c r="T10" s="181"/>
      <c r="U10" s="181"/>
      <c r="V10" s="181"/>
      <c r="W10" s="181"/>
      <c r="X10" s="181"/>
      <c r="Y10" s="182"/>
    </row>
    <row r="11" spans="1:25" x14ac:dyDescent="0.25">
      <c r="A11" s="176">
        <v>8</v>
      </c>
      <c r="B11" s="178" t="s">
        <v>398</v>
      </c>
      <c r="C11" s="179"/>
      <c r="D11" s="180" t="s">
        <v>268</v>
      </c>
      <c r="E11" s="181" t="s">
        <v>268</v>
      </c>
      <c r="F11" s="181"/>
      <c r="G11" s="181"/>
      <c r="H11" s="181"/>
      <c r="I11" s="181"/>
      <c r="J11" s="181"/>
      <c r="K11" s="181"/>
      <c r="L11" s="181"/>
      <c r="M11" s="181"/>
      <c r="N11" s="182"/>
      <c r="O11" s="180" t="s">
        <v>268</v>
      </c>
      <c r="P11" s="181" t="s">
        <v>268</v>
      </c>
      <c r="Q11" s="181"/>
      <c r="R11" s="181"/>
      <c r="S11" s="181"/>
      <c r="T11" s="181"/>
      <c r="U11" s="181"/>
      <c r="V11" s="181"/>
      <c r="W11" s="181"/>
      <c r="X11" s="181"/>
      <c r="Y11" s="182"/>
    </row>
    <row r="12" spans="1:25" x14ac:dyDescent="0.25">
      <c r="A12" s="176">
        <v>9</v>
      </c>
      <c r="B12" s="178" t="s">
        <v>399</v>
      </c>
      <c r="C12" s="179"/>
      <c r="D12" s="180" t="s">
        <v>268</v>
      </c>
      <c r="E12" s="181" t="s">
        <v>268</v>
      </c>
      <c r="F12" s="181" t="s">
        <v>268</v>
      </c>
      <c r="G12" s="181" t="s">
        <v>268</v>
      </c>
      <c r="H12" s="181" t="s">
        <v>268</v>
      </c>
      <c r="I12" s="181" t="s">
        <v>268</v>
      </c>
      <c r="J12" s="181" t="s">
        <v>268</v>
      </c>
      <c r="K12" s="181" t="s">
        <v>268</v>
      </c>
      <c r="L12" s="181" t="s">
        <v>268</v>
      </c>
      <c r="M12" s="181" t="s">
        <v>268</v>
      </c>
      <c r="N12" s="182" t="s">
        <v>268</v>
      </c>
      <c r="O12" s="180" t="s">
        <v>268</v>
      </c>
      <c r="P12" s="181" t="s">
        <v>268</v>
      </c>
      <c r="Q12" s="181" t="s">
        <v>268</v>
      </c>
      <c r="R12" s="181" t="s">
        <v>268</v>
      </c>
      <c r="S12" s="181" t="s">
        <v>268</v>
      </c>
      <c r="T12" s="181" t="s">
        <v>268</v>
      </c>
      <c r="U12" s="181" t="s">
        <v>268</v>
      </c>
      <c r="V12" s="181" t="s">
        <v>268</v>
      </c>
      <c r="W12" s="181" t="s">
        <v>268</v>
      </c>
      <c r="X12" s="181" t="s">
        <v>268</v>
      </c>
      <c r="Y12" s="182" t="s">
        <v>268</v>
      </c>
    </row>
    <row r="13" spans="1:25" x14ac:dyDescent="0.25">
      <c r="A13" s="176">
        <v>10</v>
      </c>
      <c r="B13" s="178" t="s">
        <v>400</v>
      </c>
      <c r="C13" s="179" t="s">
        <v>323</v>
      </c>
      <c r="D13" s="180" t="s">
        <v>268</v>
      </c>
      <c r="E13" s="181" t="s">
        <v>268</v>
      </c>
      <c r="F13" s="181">
        <f>'666'!$C342*F5</f>
        <v>21470240.000000004</v>
      </c>
      <c r="G13" s="181">
        <f>'666'!$C342*G5</f>
        <v>42940480.000000007</v>
      </c>
      <c r="H13" s="181">
        <f>'666'!$C342*H5</f>
        <v>75145840.000000015</v>
      </c>
      <c r="I13" s="181">
        <f>'666'!$C342*I5</f>
        <v>96616080</v>
      </c>
      <c r="J13" s="181">
        <f>'666'!$C342*J5</f>
        <v>107351200</v>
      </c>
      <c r="K13" s="181">
        <f>'666'!$C342*K5</f>
        <v>107351200</v>
      </c>
      <c r="L13" s="181">
        <f>'666'!$C342*L5</f>
        <v>107351200</v>
      </c>
      <c r="M13" s="181">
        <f>'666'!$C342*M5</f>
        <v>107351200</v>
      </c>
      <c r="N13" s="182">
        <f>'666'!$C342*N5</f>
        <v>107351200</v>
      </c>
      <c r="O13" s="180" t="s">
        <v>268</v>
      </c>
      <c r="P13" s="181" t="s">
        <v>268</v>
      </c>
      <c r="Q13" s="181">
        <f>'666'!$C342*Q5</f>
        <v>17566560</v>
      </c>
      <c r="R13" s="181">
        <f>'666'!$C342*R5</f>
        <v>35133120</v>
      </c>
      <c r="S13" s="181">
        <f>'666'!$C342*S5</f>
        <v>61482960</v>
      </c>
      <c r="T13" s="181">
        <f>'666'!$C342*T5</f>
        <v>79049520</v>
      </c>
      <c r="U13" s="181">
        <f>'666'!$C342*U5</f>
        <v>87832800</v>
      </c>
      <c r="V13" s="181">
        <f>'666'!$C342*V5</f>
        <v>87832800</v>
      </c>
      <c r="W13" s="181">
        <f>'666'!$C342*W5</f>
        <v>87832800</v>
      </c>
      <c r="X13" s="181">
        <f>'666'!$C342*X5</f>
        <v>87832800</v>
      </c>
      <c r="Y13" s="182">
        <f>'666'!$C342*Y5</f>
        <v>87832800</v>
      </c>
    </row>
    <row r="14" spans="1:25" x14ac:dyDescent="0.25">
      <c r="A14" s="176">
        <v>11</v>
      </c>
      <c r="B14" s="178" t="s">
        <v>401</v>
      </c>
      <c r="C14" s="179" t="s">
        <v>325</v>
      </c>
      <c r="D14" s="180" t="s">
        <v>268</v>
      </c>
      <c r="E14" s="181" t="s">
        <v>268</v>
      </c>
      <c r="F14" s="181">
        <f>'666'!$C343*F5</f>
        <v>828245.00000000012</v>
      </c>
      <c r="G14" s="181">
        <f>'666'!$C343*G5</f>
        <v>1656490.0000000002</v>
      </c>
      <c r="H14" s="181">
        <f>'666'!$C343*H5</f>
        <v>2898857.5000000005</v>
      </c>
      <c r="I14" s="181">
        <f>'666'!$C343*I5</f>
        <v>3727102.5</v>
      </c>
      <c r="J14" s="181">
        <f>'666'!$C343*J5</f>
        <v>4141225</v>
      </c>
      <c r="K14" s="181">
        <f>'666'!$C343*K5</f>
        <v>4141225</v>
      </c>
      <c r="L14" s="181">
        <f>'666'!$C343*L5</f>
        <v>4141225</v>
      </c>
      <c r="M14" s="181">
        <f>'666'!$C343*M5</f>
        <v>4141225</v>
      </c>
      <c r="N14" s="182">
        <f>'666'!$C343*N5</f>
        <v>4141225</v>
      </c>
      <c r="O14" s="180" t="s">
        <v>268</v>
      </c>
      <c r="P14" s="181" t="s">
        <v>268</v>
      </c>
      <c r="Q14" s="181">
        <f>'666'!$C343*Q5</f>
        <v>677655</v>
      </c>
      <c r="R14" s="181">
        <f>'666'!$C343*R5</f>
        <v>1355310</v>
      </c>
      <c r="S14" s="181">
        <f>'666'!$C343*S5</f>
        <v>2371792.5</v>
      </c>
      <c r="T14" s="181">
        <f>'666'!$C343*T5</f>
        <v>3049447.5</v>
      </c>
      <c r="U14" s="181">
        <f>'666'!$C343*U5</f>
        <v>3388275</v>
      </c>
      <c r="V14" s="181">
        <f>'666'!$C343*V5</f>
        <v>3388275</v>
      </c>
      <c r="W14" s="181">
        <f>'666'!$C343*W5</f>
        <v>3388275</v>
      </c>
      <c r="X14" s="181">
        <f>'666'!$C343*X5</f>
        <v>3388275</v>
      </c>
      <c r="Y14" s="182">
        <f>'666'!$C343*Y5</f>
        <v>3388275</v>
      </c>
    </row>
    <row r="15" spans="1:25" x14ac:dyDescent="0.25">
      <c r="A15" s="176">
        <v>12</v>
      </c>
      <c r="B15" s="178" t="s">
        <v>402</v>
      </c>
      <c r="C15" s="179" t="s">
        <v>326</v>
      </c>
      <c r="D15" s="180" t="s">
        <v>268</v>
      </c>
      <c r="E15" s="181" t="s">
        <v>268</v>
      </c>
      <c r="F15" s="181" t="s">
        <v>268</v>
      </c>
      <c r="G15" s="181" t="s">
        <v>268</v>
      </c>
      <c r="H15" s="181" t="s">
        <v>268</v>
      </c>
      <c r="I15" s="181" t="s">
        <v>268</v>
      </c>
      <c r="J15" s="181" t="s">
        <v>268</v>
      </c>
      <c r="K15" s="181" t="s">
        <v>268</v>
      </c>
      <c r="L15" s="181" t="s">
        <v>268</v>
      </c>
      <c r="M15" s="181" t="s">
        <v>268</v>
      </c>
      <c r="N15" s="182" t="s">
        <v>268</v>
      </c>
      <c r="O15" s="180" t="s">
        <v>268</v>
      </c>
      <c r="P15" s="181" t="s">
        <v>268</v>
      </c>
      <c r="Q15" s="181" t="s">
        <v>268</v>
      </c>
      <c r="R15" s="181" t="s">
        <v>268</v>
      </c>
      <c r="S15" s="181" t="s">
        <v>268</v>
      </c>
      <c r="T15" s="181" t="s">
        <v>268</v>
      </c>
      <c r="U15" s="181" t="s">
        <v>268</v>
      </c>
      <c r="V15" s="181" t="s">
        <v>268</v>
      </c>
      <c r="W15" s="181" t="s">
        <v>268</v>
      </c>
      <c r="X15" s="181" t="s">
        <v>268</v>
      </c>
      <c r="Y15" s="182" t="s">
        <v>268</v>
      </c>
    </row>
    <row r="16" spans="1:25" x14ac:dyDescent="0.25">
      <c r="A16" s="176">
        <v>13</v>
      </c>
      <c r="B16" s="178" t="s">
        <v>403</v>
      </c>
      <c r="C16" s="179" t="s">
        <v>327</v>
      </c>
      <c r="D16" s="180" t="s">
        <v>268</v>
      </c>
      <c r="E16" s="181" t="s">
        <v>268</v>
      </c>
      <c r="F16" s="181">
        <f>'666'!$C345*F5</f>
        <v>3294830.0000000005</v>
      </c>
      <c r="G16" s="181">
        <f>'666'!$C345*G5</f>
        <v>6589660.0000000009</v>
      </c>
      <c r="H16" s="181">
        <f>'666'!$C345*H5</f>
        <v>11531905.000000002</v>
      </c>
      <c r="I16" s="181">
        <f>'666'!$C345*I5</f>
        <v>14826735</v>
      </c>
      <c r="J16" s="181">
        <f>'666'!$C345*J5</f>
        <v>16474150</v>
      </c>
      <c r="K16" s="181">
        <f>'666'!$C345*K5</f>
        <v>16474150</v>
      </c>
      <c r="L16" s="181">
        <f>'666'!$C345*L5</f>
        <v>16474150</v>
      </c>
      <c r="M16" s="181">
        <f>'666'!$C345*M5</f>
        <v>16474150</v>
      </c>
      <c r="N16" s="182">
        <f>'666'!$C345*N5</f>
        <v>16474150</v>
      </c>
      <c r="O16" s="180" t="s">
        <v>268</v>
      </c>
      <c r="P16" s="181" t="s">
        <v>268</v>
      </c>
      <c r="Q16" s="181">
        <f>'666'!$C345*Q5</f>
        <v>2695770</v>
      </c>
      <c r="R16" s="181">
        <f>'666'!$C345*R5</f>
        <v>5391540</v>
      </c>
      <c r="S16" s="181">
        <f>'666'!$C345*S5</f>
        <v>9435195</v>
      </c>
      <c r="T16" s="181">
        <f>'666'!$C345*T5</f>
        <v>12130965</v>
      </c>
      <c r="U16" s="181">
        <f>'666'!$C345*U5</f>
        <v>13478850</v>
      </c>
      <c r="V16" s="181">
        <f>'666'!$C345*V5</f>
        <v>13478850</v>
      </c>
      <c r="W16" s="181">
        <f>'666'!$C345*W5</f>
        <v>13478850</v>
      </c>
      <c r="X16" s="181">
        <f>'666'!$C345*X5</f>
        <v>13478850</v>
      </c>
      <c r="Y16" s="182">
        <f>'666'!$C345*Y5</f>
        <v>13478850</v>
      </c>
    </row>
    <row r="17" spans="1:25" x14ac:dyDescent="0.25">
      <c r="A17" s="176">
        <v>14</v>
      </c>
      <c r="B17" s="217" t="s">
        <v>309</v>
      </c>
      <c r="C17" s="179" t="s">
        <v>329</v>
      </c>
      <c r="D17" s="180">
        <v>0</v>
      </c>
      <c r="E17" s="181">
        <v>0</v>
      </c>
      <c r="F17" s="181">
        <f>SUM(F13:F16)</f>
        <v>25593315.000000004</v>
      </c>
      <c r="G17" s="181">
        <f t="shared" ref="G17:Y17" si="7">SUM(G13:G16)</f>
        <v>51186630.000000007</v>
      </c>
      <c r="H17" s="181">
        <f t="shared" si="7"/>
        <v>89576602.500000015</v>
      </c>
      <c r="I17" s="181">
        <f t="shared" si="7"/>
        <v>115169917.5</v>
      </c>
      <c r="J17" s="181">
        <f t="shared" si="7"/>
        <v>127966575</v>
      </c>
      <c r="K17" s="181">
        <f t="shared" si="7"/>
        <v>127966575</v>
      </c>
      <c r="L17" s="181">
        <f t="shared" si="7"/>
        <v>127966575</v>
      </c>
      <c r="M17" s="181">
        <f t="shared" si="7"/>
        <v>127966575</v>
      </c>
      <c r="N17" s="181">
        <f t="shared" si="7"/>
        <v>127966575</v>
      </c>
      <c r="O17" s="181">
        <f t="shared" si="7"/>
        <v>0</v>
      </c>
      <c r="P17" s="181">
        <f t="shared" si="7"/>
        <v>0</v>
      </c>
      <c r="Q17" s="181">
        <f t="shared" si="7"/>
        <v>20939985</v>
      </c>
      <c r="R17" s="181">
        <f t="shared" si="7"/>
        <v>41879970</v>
      </c>
      <c r="S17" s="181">
        <f t="shared" si="7"/>
        <v>73289947.5</v>
      </c>
      <c r="T17" s="181">
        <f t="shared" si="7"/>
        <v>94229932.5</v>
      </c>
      <c r="U17" s="181">
        <f t="shared" si="7"/>
        <v>104699925</v>
      </c>
      <c r="V17" s="181">
        <f t="shared" si="7"/>
        <v>104699925</v>
      </c>
      <c r="W17" s="181">
        <f t="shared" si="7"/>
        <v>104699925</v>
      </c>
      <c r="X17" s="181">
        <f t="shared" si="7"/>
        <v>104699925</v>
      </c>
      <c r="Y17" s="181">
        <f t="shared" si="7"/>
        <v>104699925</v>
      </c>
    </row>
    <row r="18" spans="1:25" s="190" customFormat="1" x14ac:dyDescent="0.25">
      <c r="A18" s="184"/>
      <c r="B18" s="185" t="s">
        <v>310</v>
      </c>
      <c r="C18" s="186"/>
      <c r="D18" s="187"/>
      <c r="E18" s="188"/>
      <c r="F18" s="188"/>
      <c r="G18" s="188"/>
      <c r="H18" s="188"/>
      <c r="I18" s="188"/>
      <c r="J18" s="188"/>
      <c r="K18" s="188"/>
      <c r="L18" s="188"/>
      <c r="M18" s="188"/>
      <c r="N18" s="189"/>
      <c r="O18" s="187"/>
      <c r="P18" s="188"/>
      <c r="Q18" s="188"/>
      <c r="R18" s="188"/>
      <c r="S18" s="188"/>
      <c r="T18" s="188"/>
      <c r="U18" s="188"/>
      <c r="V18" s="188"/>
      <c r="W18" s="188"/>
      <c r="X18" s="188"/>
      <c r="Y18" s="189"/>
    </row>
    <row r="19" spans="1:25" x14ac:dyDescent="0.25">
      <c r="A19" s="176">
        <v>15</v>
      </c>
      <c r="B19" s="178" t="s">
        <v>278</v>
      </c>
      <c r="C19" s="179" t="s">
        <v>330</v>
      </c>
      <c r="D19" s="180"/>
      <c r="E19" s="181"/>
      <c r="F19" s="181">
        <f>'666'!F425</f>
        <v>5115827.05</v>
      </c>
      <c r="G19" s="181">
        <f>'666'!G425</f>
        <v>5115827.05</v>
      </c>
      <c r="H19" s="181">
        <f>'666'!H425</f>
        <v>5115827.05</v>
      </c>
      <c r="I19" s="181">
        <f>'666'!I425</f>
        <v>5115827.05</v>
      </c>
      <c r="J19" s="181">
        <f>'666'!$J425</f>
        <v>5115827.05</v>
      </c>
      <c r="K19" s="181">
        <f>'666'!$J425</f>
        <v>5115827.05</v>
      </c>
      <c r="L19" s="181">
        <f>'666'!$J425</f>
        <v>5115827.05</v>
      </c>
      <c r="M19" s="181">
        <f>'666'!$J425</f>
        <v>5115827.05</v>
      </c>
      <c r="N19" s="182">
        <f>'666'!$J425</f>
        <v>5115827.05</v>
      </c>
      <c r="O19" s="180"/>
      <c r="P19" s="181"/>
      <c r="Q19" s="181">
        <f>F19</f>
        <v>5115827.05</v>
      </c>
      <c r="R19" s="181">
        <f t="shared" ref="R19:Y24" si="8">G19</f>
        <v>5115827.05</v>
      </c>
      <c r="S19" s="181">
        <f t="shared" si="8"/>
        <v>5115827.05</v>
      </c>
      <c r="T19" s="181">
        <f t="shared" si="8"/>
        <v>5115827.05</v>
      </c>
      <c r="U19" s="181">
        <f t="shared" si="8"/>
        <v>5115827.05</v>
      </c>
      <c r="V19" s="181">
        <f t="shared" si="8"/>
        <v>5115827.05</v>
      </c>
      <c r="W19" s="181">
        <f t="shared" si="8"/>
        <v>5115827.05</v>
      </c>
      <c r="X19" s="181">
        <f t="shared" si="8"/>
        <v>5115827.05</v>
      </c>
      <c r="Y19" s="182">
        <f t="shared" si="8"/>
        <v>5115827.05</v>
      </c>
    </row>
    <row r="20" spans="1:25" x14ac:dyDescent="0.25">
      <c r="A20" s="176">
        <v>17</v>
      </c>
      <c r="B20" s="178" t="s">
        <v>255</v>
      </c>
      <c r="C20" s="179" t="s">
        <v>331</v>
      </c>
      <c r="D20" s="180"/>
      <c r="E20" s="181"/>
      <c r="F20" s="181">
        <f>'666'!F426</f>
        <v>5859765.5619329996</v>
      </c>
      <c r="G20" s="181">
        <f>'666'!G426</f>
        <v>5859765.5619329996</v>
      </c>
      <c r="H20" s="181">
        <f>'666'!H426</f>
        <v>5859765.5619329996</v>
      </c>
      <c r="I20" s="181">
        <f>'666'!I426</f>
        <v>5859765.5619329996</v>
      </c>
      <c r="J20" s="181">
        <f>'666'!$J426</f>
        <v>5859765.5619329996</v>
      </c>
      <c r="K20" s="181">
        <f>'666'!$J426</f>
        <v>5859765.5619329996</v>
      </c>
      <c r="L20" s="181">
        <f>'666'!$J426</f>
        <v>5859765.5619329996</v>
      </c>
      <c r="M20" s="181">
        <f>'666'!$J426</f>
        <v>5859765.5619329996</v>
      </c>
      <c r="N20" s="182">
        <f>'666'!$J426</f>
        <v>5859765.5619329996</v>
      </c>
      <c r="O20" s="180"/>
      <c r="P20" s="181"/>
      <c r="Q20" s="181">
        <f t="shared" ref="Q20:Q23" si="9">F20</f>
        <v>5859765.5619329996</v>
      </c>
      <c r="R20" s="181">
        <f t="shared" si="8"/>
        <v>5859765.5619329996</v>
      </c>
      <c r="S20" s="181">
        <f t="shared" si="8"/>
        <v>5859765.5619329996</v>
      </c>
      <c r="T20" s="181">
        <f t="shared" si="8"/>
        <v>5859765.5619329996</v>
      </c>
      <c r="U20" s="181">
        <f t="shared" si="8"/>
        <v>5859765.5619329996</v>
      </c>
      <c r="V20" s="181">
        <f t="shared" si="8"/>
        <v>5859765.5619329996</v>
      </c>
      <c r="W20" s="181">
        <f t="shared" si="8"/>
        <v>5859765.5619329996</v>
      </c>
      <c r="X20" s="181">
        <f t="shared" si="8"/>
        <v>5859765.5619329996</v>
      </c>
      <c r="Y20" s="182">
        <f t="shared" si="8"/>
        <v>5859765.5619329996</v>
      </c>
    </row>
    <row r="21" spans="1:25" x14ac:dyDescent="0.25">
      <c r="A21" s="176">
        <v>18</v>
      </c>
      <c r="B21" s="178" t="s">
        <v>404</v>
      </c>
      <c r="C21" s="179" t="s">
        <v>332</v>
      </c>
      <c r="D21" s="180"/>
      <c r="E21" s="181"/>
      <c r="F21" s="181">
        <f>'666'!F427</f>
        <v>19202700</v>
      </c>
      <c r="G21" s="181">
        <f>'666'!G427</f>
        <v>19202700</v>
      </c>
      <c r="H21" s="181">
        <f>'666'!H427</f>
        <v>19202700</v>
      </c>
      <c r="I21" s="181">
        <f>'666'!I427</f>
        <v>19202700</v>
      </c>
      <c r="J21" s="181">
        <f>'666'!$J427</f>
        <v>19202700</v>
      </c>
      <c r="K21" s="181">
        <f>'666'!$J427</f>
        <v>19202700</v>
      </c>
      <c r="L21" s="181">
        <f>'666'!$J427</f>
        <v>19202700</v>
      </c>
      <c r="M21" s="181">
        <f>'666'!$J427</f>
        <v>19202700</v>
      </c>
      <c r="N21" s="182">
        <f>'666'!$J427</f>
        <v>19202700</v>
      </c>
      <c r="O21" s="180"/>
      <c r="P21" s="181"/>
      <c r="Q21" s="181">
        <f t="shared" si="9"/>
        <v>19202700</v>
      </c>
      <c r="R21" s="181">
        <f t="shared" si="8"/>
        <v>19202700</v>
      </c>
      <c r="S21" s="181">
        <f t="shared" si="8"/>
        <v>19202700</v>
      </c>
      <c r="T21" s="181">
        <f t="shared" si="8"/>
        <v>19202700</v>
      </c>
      <c r="U21" s="181">
        <f t="shared" si="8"/>
        <v>19202700</v>
      </c>
      <c r="V21" s="181">
        <f t="shared" si="8"/>
        <v>19202700</v>
      </c>
      <c r="W21" s="181">
        <f t="shared" si="8"/>
        <v>19202700</v>
      </c>
      <c r="X21" s="181">
        <f t="shared" si="8"/>
        <v>19202700</v>
      </c>
      <c r="Y21" s="182">
        <f t="shared" si="8"/>
        <v>19202700</v>
      </c>
    </row>
    <row r="22" spans="1:25" x14ac:dyDescent="0.25">
      <c r="A22" s="176">
        <v>19</v>
      </c>
      <c r="B22" s="178" t="s">
        <v>405</v>
      </c>
      <c r="C22" s="179" t="s">
        <v>333</v>
      </c>
      <c r="D22" s="180"/>
      <c r="E22" s="181"/>
      <c r="F22" s="181">
        <f>'666'!F428</f>
        <v>8622512.0167159792</v>
      </c>
      <c r="G22" s="181">
        <f>'666'!G428</f>
        <v>8622512.0167159792</v>
      </c>
      <c r="H22" s="181">
        <f>'666'!H428</f>
        <v>8622512.0167159792</v>
      </c>
      <c r="I22" s="181">
        <f>'666'!I428</f>
        <v>8622512.0167159792</v>
      </c>
      <c r="J22" s="181">
        <f>'666'!$J428</f>
        <v>8622512.0167159792</v>
      </c>
      <c r="K22" s="181">
        <f>'666'!$J428</f>
        <v>8622512.0167159792</v>
      </c>
      <c r="L22" s="181">
        <f>'666'!$J428</f>
        <v>8622512.0167159792</v>
      </c>
      <c r="M22" s="181">
        <f>'666'!$J428</f>
        <v>8622512.0167159792</v>
      </c>
      <c r="N22" s="182">
        <f>'666'!$J428</f>
        <v>8622512.0167159792</v>
      </c>
      <c r="O22" s="180"/>
      <c r="P22" s="181"/>
      <c r="Q22" s="181">
        <f t="shared" si="9"/>
        <v>8622512.0167159792</v>
      </c>
      <c r="R22" s="181">
        <f t="shared" si="8"/>
        <v>8622512.0167159792</v>
      </c>
      <c r="S22" s="181">
        <f t="shared" si="8"/>
        <v>8622512.0167159792</v>
      </c>
      <c r="T22" s="181">
        <f t="shared" si="8"/>
        <v>8622512.0167159792</v>
      </c>
      <c r="U22" s="181">
        <f t="shared" si="8"/>
        <v>8622512.0167159792</v>
      </c>
      <c r="V22" s="181">
        <f t="shared" si="8"/>
        <v>8622512.0167159792</v>
      </c>
      <c r="W22" s="181">
        <f t="shared" si="8"/>
        <v>8622512.0167159792</v>
      </c>
      <c r="X22" s="181">
        <f t="shared" si="8"/>
        <v>8622512.0167159792</v>
      </c>
      <c r="Y22" s="182">
        <f t="shared" si="8"/>
        <v>8622512.0167159792</v>
      </c>
    </row>
    <row r="23" spans="1:25" s="190" customFormat="1" x14ac:dyDescent="0.25">
      <c r="A23" s="184">
        <v>20</v>
      </c>
      <c r="B23" s="223" t="s">
        <v>311</v>
      </c>
      <c r="C23" s="186" t="s">
        <v>334</v>
      </c>
      <c r="D23" s="187"/>
      <c r="E23" s="188"/>
      <c r="F23" s="188">
        <f>'666'!F429</f>
        <v>38800804.628648981</v>
      </c>
      <c r="G23" s="188">
        <f>'666'!G429</f>
        <v>38800804.628648981</v>
      </c>
      <c r="H23" s="188">
        <f>'666'!H429</f>
        <v>38800804.628648981</v>
      </c>
      <c r="I23" s="188">
        <f>'666'!I429</f>
        <v>38800804.628648981</v>
      </c>
      <c r="J23" s="188">
        <f>'666'!$J429</f>
        <v>38800804.628648981</v>
      </c>
      <c r="K23" s="188">
        <f>'666'!$J429</f>
        <v>38800804.628648981</v>
      </c>
      <c r="L23" s="188">
        <f>'666'!$J429</f>
        <v>38800804.628648981</v>
      </c>
      <c r="M23" s="188">
        <f>'666'!$J429</f>
        <v>38800804.628648981</v>
      </c>
      <c r="N23" s="189">
        <f>'666'!$J429</f>
        <v>38800804.628648981</v>
      </c>
      <c r="O23" s="187"/>
      <c r="P23" s="188"/>
      <c r="Q23" s="188">
        <f t="shared" si="9"/>
        <v>38800804.628648981</v>
      </c>
      <c r="R23" s="188">
        <f t="shared" si="8"/>
        <v>38800804.628648981</v>
      </c>
      <c r="S23" s="188">
        <f t="shared" si="8"/>
        <v>38800804.628648981</v>
      </c>
      <c r="T23" s="188">
        <f t="shared" si="8"/>
        <v>38800804.628648981</v>
      </c>
      <c r="U23" s="188">
        <f t="shared" si="8"/>
        <v>38800804.628648981</v>
      </c>
      <c r="V23" s="188">
        <f t="shared" si="8"/>
        <v>38800804.628648981</v>
      </c>
      <c r="W23" s="188">
        <f t="shared" si="8"/>
        <v>38800804.628648981</v>
      </c>
      <c r="X23" s="188">
        <f t="shared" si="8"/>
        <v>38800804.628648981</v>
      </c>
      <c r="Y23" s="189">
        <f t="shared" si="8"/>
        <v>38800804.628648981</v>
      </c>
    </row>
    <row r="24" spans="1:25" x14ac:dyDescent="0.25">
      <c r="A24" s="176">
        <v>21</v>
      </c>
      <c r="B24" s="178" t="s">
        <v>312</v>
      </c>
      <c r="C24" s="179" t="s">
        <v>335</v>
      </c>
      <c r="D24" s="180"/>
      <c r="E24" s="181"/>
      <c r="F24" s="181">
        <f>'666'!F430</f>
        <v>1866646.8</v>
      </c>
      <c r="G24" s="181">
        <f>'666'!G430</f>
        <v>1866646.8</v>
      </c>
      <c r="H24" s="181">
        <f>'666'!H430</f>
        <v>1866646.8</v>
      </c>
      <c r="I24" s="181">
        <f>'666'!I430</f>
        <v>1866646.8</v>
      </c>
      <c r="J24" s="181">
        <f>'666'!$J430</f>
        <v>1866646.8</v>
      </c>
      <c r="K24" s="181">
        <f>'666'!$J430</f>
        <v>1866646.8</v>
      </c>
      <c r="L24" s="181">
        <f>'666'!$J430</f>
        <v>1866646.8</v>
      </c>
      <c r="M24" s="181">
        <f>'666'!$J430</f>
        <v>1866646.8</v>
      </c>
      <c r="N24" s="182">
        <f>'666'!$J430</f>
        <v>1866646.8</v>
      </c>
      <c r="O24" s="180"/>
      <c r="P24" s="181"/>
      <c r="Q24" s="181">
        <f>F24</f>
        <v>1866646.8</v>
      </c>
      <c r="R24" s="181">
        <f t="shared" si="8"/>
        <v>1866646.8</v>
      </c>
      <c r="S24" s="181">
        <f t="shared" si="8"/>
        <v>1866646.8</v>
      </c>
      <c r="T24" s="181">
        <f t="shared" si="8"/>
        <v>1866646.8</v>
      </c>
      <c r="U24" s="181">
        <f t="shared" si="8"/>
        <v>1866646.8</v>
      </c>
      <c r="V24" s="181">
        <f t="shared" si="8"/>
        <v>1866646.8</v>
      </c>
      <c r="W24" s="181">
        <f t="shared" si="8"/>
        <v>1866646.8</v>
      </c>
      <c r="X24" s="181">
        <f t="shared" si="8"/>
        <v>1866646.8</v>
      </c>
      <c r="Y24" s="182">
        <f t="shared" si="8"/>
        <v>1866646.8</v>
      </c>
    </row>
    <row r="25" spans="1:25" x14ac:dyDescent="0.25">
      <c r="A25" s="176">
        <v>22</v>
      </c>
      <c r="B25" s="178" t="s">
        <v>407</v>
      </c>
      <c r="C25" s="179"/>
      <c r="D25" s="180"/>
      <c r="E25" s="181"/>
      <c r="F25" s="181">
        <f>F9-(F17+F23+F24)</f>
        <v>-15991316.428648978</v>
      </c>
      <c r="G25" s="181">
        <f t="shared" ref="G25:N25" si="10">G9-(G17+G23+G24)</f>
        <v>8684818.5713510066</v>
      </c>
      <c r="H25" s="181">
        <f t="shared" si="10"/>
        <v>45699021.071351007</v>
      </c>
      <c r="I25" s="181">
        <f t="shared" si="10"/>
        <v>70375156.071350992</v>
      </c>
      <c r="J25" s="181">
        <f t="shared" si="10"/>
        <v>82713223.571350992</v>
      </c>
      <c r="K25" s="181">
        <f t="shared" si="10"/>
        <v>82713223.571350992</v>
      </c>
      <c r="L25" s="181">
        <f t="shared" si="10"/>
        <v>82713223.571350992</v>
      </c>
      <c r="M25" s="181">
        <f t="shared" si="10"/>
        <v>82713223.571350992</v>
      </c>
      <c r="N25" s="181">
        <f t="shared" si="10"/>
        <v>82713223.571350992</v>
      </c>
      <c r="O25" s="180"/>
      <c r="P25" s="181"/>
      <c r="Q25" s="181">
        <f>Q9-Q17-Q23-Q24</f>
        <v>-20477886.428648982</v>
      </c>
      <c r="R25" s="181">
        <f t="shared" ref="R25:Y25" si="11">R9-R17-R23-R24</f>
        <v>-288321.4286489815</v>
      </c>
      <c r="S25" s="181">
        <f t="shared" si="11"/>
        <v>29996026.071351018</v>
      </c>
      <c r="T25" s="181">
        <f t="shared" si="11"/>
        <v>50185591.071350992</v>
      </c>
      <c r="U25" s="181">
        <f t="shared" si="11"/>
        <v>60280373.571350992</v>
      </c>
      <c r="V25" s="181">
        <f t="shared" si="11"/>
        <v>60280373.571350992</v>
      </c>
      <c r="W25" s="181">
        <f t="shared" si="11"/>
        <v>60280373.571350992</v>
      </c>
      <c r="X25" s="181">
        <f t="shared" si="11"/>
        <v>60280373.571350992</v>
      </c>
      <c r="Y25" s="182">
        <f t="shared" si="11"/>
        <v>60280373.571350992</v>
      </c>
    </row>
    <row r="26" spans="1:25" x14ac:dyDescent="0.25">
      <c r="A26" s="176">
        <v>23</v>
      </c>
      <c r="B26" s="217" t="s">
        <v>437</v>
      </c>
      <c r="C26" s="179"/>
      <c r="D26" s="180"/>
      <c r="E26" s="181"/>
      <c r="F26" s="181">
        <v>0</v>
      </c>
      <c r="G26" s="181">
        <f>G25*20%</f>
        <v>1736963.7142702015</v>
      </c>
      <c r="H26" s="181">
        <f t="shared" ref="H26:N26" si="12">H25*20%</f>
        <v>9139804.2142702024</v>
      </c>
      <c r="I26" s="181">
        <f t="shared" si="12"/>
        <v>14075031.214270199</v>
      </c>
      <c r="J26" s="181">
        <f t="shared" si="12"/>
        <v>16542644.714270199</v>
      </c>
      <c r="K26" s="181">
        <f t="shared" si="12"/>
        <v>16542644.714270199</v>
      </c>
      <c r="L26" s="181">
        <f t="shared" si="12"/>
        <v>16542644.714270199</v>
      </c>
      <c r="M26" s="181">
        <f t="shared" si="12"/>
        <v>16542644.714270199</v>
      </c>
      <c r="N26" s="181">
        <f t="shared" si="12"/>
        <v>16542644.714270199</v>
      </c>
      <c r="O26" s="180"/>
      <c r="P26" s="181"/>
      <c r="Q26" s="181">
        <v>0</v>
      </c>
      <c r="R26" s="181">
        <v>0</v>
      </c>
      <c r="S26" s="181">
        <f>S25*20%</f>
        <v>5999205.2142702043</v>
      </c>
      <c r="T26" s="181">
        <f t="shared" ref="T26:Y26" si="13">T25*20%</f>
        <v>10037118.214270199</v>
      </c>
      <c r="U26" s="181">
        <f t="shared" si="13"/>
        <v>12056074.714270199</v>
      </c>
      <c r="V26" s="181">
        <f t="shared" si="13"/>
        <v>12056074.714270199</v>
      </c>
      <c r="W26" s="181">
        <f t="shared" si="13"/>
        <v>12056074.714270199</v>
      </c>
      <c r="X26" s="181">
        <f t="shared" si="13"/>
        <v>12056074.714270199</v>
      </c>
      <c r="Y26" s="181">
        <f t="shared" si="13"/>
        <v>12056074.714270199</v>
      </c>
    </row>
    <row r="27" spans="1:25" x14ac:dyDescent="0.25">
      <c r="A27" s="176">
        <v>24</v>
      </c>
      <c r="B27" s="217" t="s">
        <v>438</v>
      </c>
      <c r="C27" s="179"/>
      <c r="D27" s="180"/>
      <c r="E27" s="181"/>
      <c r="F27" s="181">
        <f>F25-F26</f>
        <v>-15991316.428648978</v>
      </c>
      <c r="G27" s="181">
        <f t="shared" ref="G27:Y27" si="14">G25-G26</f>
        <v>6947854.8570808051</v>
      </c>
      <c r="H27" s="181">
        <f t="shared" si="14"/>
        <v>36559216.857080802</v>
      </c>
      <c r="I27" s="181">
        <f t="shared" si="14"/>
        <v>56300124.857080795</v>
      </c>
      <c r="J27" s="181">
        <f t="shared" si="14"/>
        <v>66170578.857080795</v>
      </c>
      <c r="K27" s="181">
        <f t="shared" si="14"/>
        <v>66170578.857080795</v>
      </c>
      <c r="L27" s="181">
        <f t="shared" si="14"/>
        <v>66170578.857080795</v>
      </c>
      <c r="M27" s="181">
        <f t="shared" si="14"/>
        <v>66170578.857080795</v>
      </c>
      <c r="N27" s="182">
        <f>N25-N26</f>
        <v>66170578.857080795</v>
      </c>
      <c r="O27" s="180">
        <f t="shared" si="14"/>
        <v>0</v>
      </c>
      <c r="P27" s="181">
        <f t="shared" si="14"/>
        <v>0</v>
      </c>
      <c r="Q27" s="181">
        <f t="shared" si="14"/>
        <v>-20477886.428648982</v>
      </c>
      <c r="R27" s="181">
        <f t="shared" si="14"/>
        <v>-288321.4286489815</v>
      </c>
      <c r="S27" s="181">
        <f t="shared" si="14"/>
        <v>23996820.857080813</v>
      </c>
      <c r="T27" s="181">
        <f t="shared" si="14"/>
        <v>40148472.857080795</v>
      </c>
      <c r="U27" s="181">
        <f t="shared" si="14"/>
        <v>48224298.857080795</v>
      </c>
      <c r="V27" s="181">
        <f t="shared" si="14"/>
        <v>48224298.857080795</v>
      </c>
      <c r="W27" s="181">
        <f t="shared" si="14"/>
        <v>48224298.857080795</v>
      </c>
      <c r="X27" s="181">
        <f t="shared" si="14"/>
        <v>48224298.857080795</v>
      </c>
      <c r="Y27" s="182">
        <f t="shared" si="14"/>
        <v>48224298.857080795</v>
      </c>
    </row>
    <row r="28" spans="1:25" x14ac:dyDescent="0.25">
      <c r="A28" s="176">
        <v>25</v>
      </c>
      <c r="B28" s="217" t="s">
        <v>439</v>
      </c>
      <c r="C28" s="179"/>
      <c r="D28" s="180"/>
      <c r="E28" s="181"/>
      <c r="F28" s="181">
        <f>F27+F24</f>
        <v>-14124669.628648978</v>
      </c>
      <c r="G28" s="181">
        <f t="shared" ref="G28:Y28" si="15">G27+G24</f>
        <v>8814501.6570808049</v>
      </c>
      <c r="H28" s="181">
        <f t="shared" si="15"/>
        <v>38425863.657080799</v>
      </c>
      <c r="I28" s="181">
        <f t="shared" si="15"/>
        <v>58166771.657080792</v>
      </c>
      <c r="J28" s="181">
        <f t="shared" si="15"/>
        <v>68037225.657080799</v>
      </c>
      <c r="K28" s="181">
        <f t="shared" si="15"/>
        <v>68037225.657080799</v>
      </c>
      <c r="L28" s="181">
        <f t="shared" si="15"/>
        <v>68037225.657080799</v>
      </c>
      <c r="M28" s="181">
        <f t="shared" si="15"/>
        <v>68037225.657080799</v>
      </c>
      <c r="N28" s="182">
        <f>N27+N24</f>
        <v>68037225.657080799</v>
      </c>
      <c r="O28" s="180">
        <f t="shared" si="15"/>
        <v>0</v>
      </c>
      <c r="P28" s="181">
        <f t="shared" si="15"/>
        <v>0</v>
      </c>
      <c r="Q28" s="181">
        <f t="shared" si="15"/>
        <v>-18611239.628648981</v>
      </c>
      <c r="R28" s="181">
        <f t="shared" si="15"/>
        <v>1578325.3713510185</v>
      </c>
      <c r="S28" s="181">
        <f t="shared" si="15"/>
        <v>25863467.657080814</v>
      </c>
      <c r="T28" s="181">
        <f t="shared" si="15"/>
        <v>42015119.657080792</v>
      </c>
      <c r="U28" s="181">
        <f t="shared" si="15"/>
        <v>50090945.657080792</v>
      </c>
      <c r="V28" s="181">
        <f t="shared" si="15"/>
        <v>50090945.657080792</v>
      </c>
      <c r="W28" s="181">
        <f t="shared" si="15"/>
        <v>50090945.657080792</v>
      </c>
      <c r="X28" s="181">
        <f t="shared" si="15"/>
        <v>50090945.657080792</v>
      </c>
      <c r="Y28" s="182">
        <f t="shared" si="15"/>
        <v>50090945.657080792</v>
      </c>
    </row>
    <row r="29" spans="1:25" x14ac:dyDescent="0.25">
      <c r="A29" s="176">
        <v>26</v>
      </c>
      <c r="B29" s="217" t="s">
        <v>440</v>
      </c>
      <c r="C29" s="179"/>
      <c r="D29" s="180"/>
      <c r="E29" s="181"/>
      <c r="F29" s="181"/>
      <c r="G29" s="181"/>
      <c r="H29" s="181"/>
      <c r="I29" s="181"/>
      <c r="J29" s="181"/>
      <c r="K29" s="181"/>
      <c r="L29" s="181"/>
      <c r="M29" s="181"/>
      <c r="N29" s="182"/>
      <c r="O29" s="180"/>
      <c r="P29" s="181"/>
      <c r="Q29" s="181"/>
      <c r="R29" s="181"/>
      <c r="S29" s="181"/>
      <c r="T29" s="181"/>
      <c r="U29" s="181"/>
      <c r="V29" s="181"/>
      <c r="W29" s="181"/>
      <c r="X29" s="181"/>
      <c r="Y29" s="182"/>
    </row>
    <row r="30" spans="1:25" x14ac:dyDescent="0.25">
      <c r="A30" s="176">
        <v>27</v>
      </c>
      <c r="B30" s="217" t="s">
        <v>270</v>
      </c>
      <c r="C30" s="179"/>
      <c r="D30" s="180">
        <f>-'666'!C364</f>
        <v>-87599403</v>
      </c>
      <c r="E30" s="181">
        <f>-'666'!D364</f>
        <v>-6396300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2">
        <v>0</v>
      </c>
      <c r="O30" s="180">
        <f>D30</f>
        <v>-87599403</v>
      </c>
      <c r="P30" s="181">
        <f>E30</f>
        <v>-6396300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2">
        <v>0</v>
      </c>
    </row>
    <row r="31" spans="1:25" x14ac:dyDescent="0.25">
      <c r="A31" s="176">
        <v>28</v>
      </c>
      <c r="B31" s="217" t="s">
        <v>381</v>
      </c>
      <c r="C31" s="179"/>
      <c r="D31" s="180" t="s">
        <v>268</v>
      </c>
      <c r="E31" s="181" t="s">
        <v>268</v>
      </c>
      <c r="F31" s="181" t="s">
        <v>268</v>
      </c>
      <c r="G31" s="181" t="s">
        <v>268</v>
      </c>
      <c r="H31" s="181" t="s">
        <v>268</v>
      </c>
      <c r="I31" s="181" t="s">
        <v>268</v>
      </c>
      <c r="J31" s="181" t="s">
        <v>268</v>
      </c>
      <c r="K31" s="181" t="s">
        <v>268</v>
      </c>
      <c r="L31" s="181" t="s">
        <v>268</v>
      </c>
      <c r="M31" s="181" t="s">
        <v>268</v>
      </c>
      <c r="N31" s="182" t="s">
        <v>268</v>
      </c>
      <c r="O31" s="180" t="s">
        <v>268</v>
      </c>
      <c r="P31" s="181" t="s">
        <v>268</v>
      </c>
      <c r="Q31" s="181" t="s">
        <v>268</v>
      </c>
      <c r="R31" s="181" t="s">
        <v>268</v>
      </c>
      <c r="S31" s="181" t="s">
        <v>268</v>
      </c>
      <c r="T31" s="181" t="s">
        <v>268</v>
      </c>
      <c r="U31" s="181" t="s">
        <v>268</v>
      </c>
      <c r="V31" s="181" t="s">
        <v>268</v>
      </c>
      <c r="W31" s="181" t="s">
        <v>268</v>
      </c>
      <c r="X31" s="181" t="s">
        <v>268</v>
      </c>
      <c r="Y31" s="182" t="s">
        <v>268</v>
      </c>
    </row>
    <row r="32" spans="1:25" x14ac:dyDescent="0.25">
      <c r="A32" s="176">
        <v>29</v>
      </c>
      <c r="B32" s="178" t="s">
        <v>416</v>
      </c>
      <c r="C32" s="179"/>
      <c r="D32" s="180">
        <f>D30</f>
        <v>-87599403</v>
      </c>
      <c r="E32" s="181">
        <f t="shared" ref="E32:Y32" si="16">E30</f>
        <v>-6396300</v>
      </c>
      <c r="F32" s="181">
        <f t="shared" si="16"/>
        <v>0</v>
      </c>
      <c r="G32" s="181">
        <f t="shared" si="16"/>
        <v>0</v>
      </c>
      <c r="H32" s="181">
        <f t="shared" si="16"/>
        <v>0</v>
      </c>
      <c r="I32" s="181">
        <f t="shared" si="16"/>
        <v>0</v>
      </c>
      <c r="J32" s="181">
        <f t="shared" si="16"/>
        <v>0</v>
      </c>
      <c r="K32" s="181">
        <f t="shared" si="16"/>
        <v>0</v>
      </c>
      <c r="L32" s="181">
        <f t="shared" si="16"/>
        <v>0</v>
      </c>
      <c r="M32" s="181">
        <f t="shared" si="16"/>
        <v>0</v>
      </c>
      <c r="N32" s="182">
        <f t="shared" si="16"/>
        <v>0</v>
      </c>
      <c r="O32" s="180">
        <f t="shared" si="16"/>
        <v>-87599403</v>
      </c>
      <c r="P32" s="181">
        <f t="shared" si="16"/>
        <v>-6396300</v>
      </c>
      <c r="Q32" s="181">
        <f t="shared" si="16"/>
        <v>0</v>
      </c>
      <c r="R32" s="181">
        <f t="shared" si="16"/>
        <v>0</v>
      </c>
      <c r="S32" s="181">
        <f t="shared" si="16"/>
        <v>0</v>
      </c>
      <c r="T32" s="181">
        <f t="shared" si="16"/>
        <v>0</v>
      </c>
      <c r="U32" s="181">
        <f t="shared" si="16"/>
        <v>0</v>
      </c>
      <c r="V32" s="181">
        <f t="shared" si="16"/>
        <v>0</v>
      </c>
      <c r="W32" s="181">
        <f t="shared" si="16"/>
        <v>0</v>
      </c>
      <c r="X32" s="181">
        <f t="shared" si="16"/>
        <v>0</v>
      </c>
      <c r="Y32" s="182">
        <f t="shared" si="16"/>
        <v>0</v>
      </c>
    </row>
    <row r="33" spans="1:25" x14ac:dyDescent="0.25">
      <c r="A33" s="176">
        <v>30</v>
      </c>
      <c r="B33" s="178" t="s">
        <v>382</v>
      </c>
      <c r="C33" s="179"/>
      <c r="D33" s="180">
        <f>D28+D32</f>
        <v>-87599403</v>
      </c>
      <c r="E33" s="181">
        <f>E28+E32</f>
        <v>-6396300</v>
      </c>
      <c r="F33" s="181">
        <f t="shared" ref="F33:Y33" si="17">F28+F32</f>
        <v>-14124669.628648978</v>
      </c>
      <c r="G33" s="181">
        <f t="shared" si="17"/>
        <v>8814501.6570808049</v>
      </c>
      <c r="H33" s="181">
        <f t="shared" si="17"/>
        <v>38425863.657080799</v>
      </c>
      <c r="I33" s="181">
        <f t="shared" si="17"/>
        <v>58166771.657080792</v>
      </c>
      <c r="J33" s="181">
        <f t="shared" si="17"/>
        <v>68037225.657080799</v>
      </c>
      <c r="K33" s="181">
        <f t="shared" si="17"/>
        <v>68037225.657080799</v>
      </c>
      <c r="L33" s="181">
        <f t="shared" si="17"/>
        <v>68037225.657080799</v>
      </c>
      <c r="M33" s="181">
        <f t="shared" si="17"/>
        <v>68037225.657080799</v>
      </c>
      <c r="N33" s="182">
        <f>N28+N32</f>
        <v>68037225.657080799</v>
      </c>
      <c r="O33" s="180">
        <f t="shared" si="17"/>
        <v>-87599403</v>
      </c>
      <c r="P33" s="181">
        <f t="shared" si="17"/>
        <v>-6396300</v>
      </c>
      <c r="Q33" s="181">
        <f t="shared" si="17"/>
        <v>-18611239.628648981</v>
      </c>
      <c r="R33" s="181">
        <f t="shared" si="17"/>
        <v>1578325.3713510185</v>
      </c>
      <c r="S33" s="181">
        <f t="shared" si="17"/>
        <v>25863467.657080814</v>
      </c>
      <c r="T33" s="181">
        <f t="shared" si="17"/>
        <v>42015119.657080792</v>
      </c>
      <c r="U33" s="181">
        <f t="shared" si="17"/>
        <v>50090945.657080792</v>
      </c>
      <c r="V33" s="181">
        <f t="shared" si="17"/>
        <v>50090945.657080792</v>
      </c>
      <c r="W33" s="181">
        <f t="shared" si="17"/>
        <v>50090945.657080792</v>
      </c>
      <c r="X33" s="181">
        <f t="shared" si="17"/>
        <v>50090945.657080792</v>
      </c>
      <c r="Y33" s="182">
        <f t="shared" si="17"/>
        <v>50090945.657080792</v>
      </c>
    </row>
    <row r="34" spans="1:25" x14ac:dyDescent="0.25">
      <c r="A34" s="176">
        <v>31</v>
      </c>
      <c r="B34" s="178" t="s">
        <v>383</v>
      </c>
      <c r="C34" s="179"/>
      <c r="D34" s="180">
        <f>'666'!D457</f>
        <v>26279820.899999999</v>
      </c>
      <c r="E34" s="181">
        <f>'666'!E457</f>
        <v>28198711.199999999</v>
      </c>
      <c r="F34" s="181">
        <f>'666'!F457</f>
        <v>33556466.270999998</v>
      </c>
      <c r="G34" s="181">
        <f>'666'!G457</f>
        <v>38914221.342</v>
      </c>
      <c r="H34" s="181">
        <f>'666'!H457</f>
        <v>44271976.413000003</v>
      </c>
      <c r="I34" s="181">
        <f>'666'!I457</f>
        <v>49629731.484000005</v>
      </c>
      <c r="J34" s="181">
        <f>'666'!J457</f>
        <v>54987486.555000007</v>
      </c>
      <c r="K34" s="181">
        <f>$J34</f>
        <v>54987486.555000007</v>
      </c>
      <c r="L34" s="181">
        <f>$J34</f>
        <v>54987486.555000007</v>
      </c>
      <c r="M34" s="181">
        <f>$J34</f>
        <v>54987486.555000007</v>
      </c>
      <c r="N34" s="182">
        <f>$J34</f>
        <v>54987486.555000007</v>
      </c>
      <c r="O34" s="180">
        <f>D34</f>
        <v>26279820.899999999</v>
      </c>
      <c r="P34" s="181">
        <f t="shared" ref="P34:Y34" si="18">E34</f>
        <v>28198711.199999999</v>
      </c>
      <c r="Q34" s="181">
        <f t="shared" si="18"/>
        <v>33556466.270999998</v>
      </c>
      <c r="R34" s="181">
        <f t="shared" si="18"/>
        <v>38914221.342</v>
      </c>
      <c r="S34" s="181">
        <f t="shared" si="18"/>
        <v>44271976.413000003</v>
      </c>
      <c r="T34" s="181">
        <f t="shared" si="18"/>
        <v>49629731.484000005</v>
      </c>
      <c r="U34" s="181">
        <f t="shared" si="18"/>
        <v>54987486.555000007</v>
      </c>
      <c r="V34" s="181">
        <f t="shared" si="18"/>
        <v>54987486.555000007</v>
      </c>
      <c r="W34" s="181">
        <f t="shared" si="18"/>
        <v>54987486.555000007</v>
      </c>
      <c r="X34" s="181">
        <f t="shared" si="18"/>
        <v>54987486.555000007</v>
      </c>
      <c r="Y34" s="182">
        <f t="shared" si="18"/>
        <v>54987486.555000007</v>
      </c>
    </row>
    <row r="35" spans="1:25" x14ac:dyDescent="0.25">
      <c r="A35" s="176">
        <v>32</v>
      </c>
      <c r="B35" s="217" t="s">
        <v>433</v>
      </c>
      <c r="C35" s="179"/>
      <c r="D35" s="191">
        <f>'666'!B486</f>
        <v>1</v>
      </c>
      <c r="E35" s="191">
        <f>'666'!C486</f>
        <v>0.83299999999999996</v>
      </c>
      <c r="F35" s="191">
        <f>'666'!D486</f>
        <v>0.69399999999999995</v>
      </c>
      <c r="G35" s="191">
        <f>'666'!E486</f>
        <v>0.57899999999999996</v>
      </c>
      <c r="H35" s="191">
        <f>'666'!F486</f>
        <v>0.48199999999999998</v>
      </c>
      <c r="I35" s="191">
        <f>'666'!G486</f>
        <v>0.40200000000000002</v>
      </c>
      <c r="J35" s="191">
        <f>'666'!H486</f>
        <v>0.33500000000000002</v>
      </c>
      <c r="K35" s="191">
        <f>'666'!I486</f>
        <v>0.27900000000000003</v>
      </c>
      <c r="L35" s="191">
        <f>'666'!J486</f>
        <v>0.23300000000000001</v>
      </c>
      <c r="M35" s="191">
        <f>'666'!K486</f>
        <v>0.19400000000000001</v>
      </c>
      <c r="N35" s="191">
        <f>'666'!L486</f>
        <v>0.16200000000000001</v>
      </c>
      <c r="O35" s="191">
        <f>'666'!B486</f>
        <v>1</v>
      </c>
      <c r="P35" s="191">
        <f>'666'!C486</f>
        <v>0.83299999999999996</v>
      </c>
      <c r="Q35" s="191">
        <f>'666'!D486</f>
        <v>0.69399999999999995</v>
      </c>
      <c r="R35" s="191">
        <f>'666'!E486</f>
        <v>0.57899999999999996</v>
      </c>
      <c r="S35" s="191">
        <f>'666'!F486</f>
        <v>0.48199999999999998</v>
      </c>
      <c r="T35" s="191">
        <f>'666'!G486</f>
        <v>0.40200000000000002</v>
      </c>
      <c r="U35" s="191">
        <f>'666'!H486</f>
        <v>0.33500000000000002</v>
      </c>
      <c r="V35" s="191">
        <f>'666'!I486</f>
        <v>0.27900000000000003</v>
      </c>
      <c r="W35" s="191">
        <f>'666'!J486</f>
        <v>0.23300000000000001</v>
      </c>
      <c r="X35" s="191">
        <f>'666'!K486</f>
        <v>0.19400000000000001</v>
      </c>
      <c r="Y35" s="191">
        <f>'666'!L486</f>
        <v>0.16200000000000001</v>
      </c>
    </row>
    <row r="36" spans="1:25" x14ac:dyDescent="0.25">
      <c r="A36" s="176">
        <v>33</v>
      </c>
      <c r="B36" s="217" t="s">
        <v>434</v>
      </c>
      <c r="C36" s="179"/>
      <c r="D36" s="180">
        <f>D33*D35</f>
        <v>-87599403</v>
      </c>
      <c r="E36" s="181">
        <f t="shared" ref="E36:Y36" si="19">E33*E35</f>
        <v>-5328117.8999999994</v>
      </c>
      <c r="F36" s="181">
        <f>F33*F35</f>
        <v>-9802520.7222823892</v>
      </c>
      <c r="G36" s="181">
        <f t="shared" si="19"/>
        <v>5103596.4594497858</v>
      </c>
      <c r="H36" s="181">
        <f t="shared" si="19"/>
        <v>18521266.282712944</v>
      </c>
      <c r="I36" s="181">
        <f t="shared" si="19"/>
        <v>23383042.206146479</v>
      </c>
      <c r="J36" s="181">
        <f t="shared" si="19"/>
        <v>22792470.595122069</v>
      </c>
      <c r="K36" s="181">
        <f t="shared" si="19"/>
        <v>18982385.958325546</v>
      </c>
      <c r="L36" s="181">
        <f t="shared" si="19"/>
        <v>15852673.578099826</v>
      </c>
      <c r="M36" s="181">
        <f t="shared" si="19"/>
        <v>13199221.777473675</v>
      </c>
      <c r="N36" s="182">
        <f>N33*N35</f>
        <v>11022030.556447091</v>
      </c>
      <c r="O36" s="180">
        <f t="shared" si="19"/>
        <v>-87599403</v>
      </c>
      <c r="P36" s="181">
        <f t="shared" si="19"/>
        <v>-5328117.8999999994</v>
      </c>
      <c r="Q36" s="181">
        <f t="shared" si="19"/>
        <v>-12916200.302282393</v>
      </c>
      <c r="R36" s="181">
        <f t="shared" si="19"/>
        <v>913850.39001223969</v>
      </c>
      <c r="S36" s="181">
        <f t="shared" si="19"/>
        <v>12466191.410712952</v>
      </c>
      <c r="T36" s="181">
        <f t="shared" si="19"/>
        <v>16890078.10214648</v>
      </c>
      <c r="U36" s="181">
        <f t="shared" si="19"/>
        <v>16780466.795122065</v>
      </c>
      <c r="V36" s="181">
        <f t="shared" si="19"/>
        <v>13975373.838325541</v>
      </c>
      <c r="W36" s="181">
        <f t="shared" si="19"/>
        <v>11671190.338099824</v>
      </c>
      <c r="X36" s="181">
        <f t="shared" si="19"/>
        <v>9717643.4574736748</v>
      </c>
      <c r="Y36" s="182">
        <f t="shared" si="19"/>
        <v>8114733.1964470884</v>
      </c>
    </row>
    <row r="37" spans="1:25" x14ac:dyDescent="0.25">
      <c r="A37" s="176">
        <v>34</v>
      </c>
      <c r="B37" s="178" t="s">
        <v>410</v>
      </c>
      <c r="C37" s="179"/>
      <c r="D37" s="180">
        <f>D36</f>
        <v>-87599403</v>
      </c>
      <c r="E37" s="181">
        <f>D37+E36</f>
        <v>-92927520.900000006</v>
      </c>
      <c r="F37" s="181">
        <f>E37+F36</f>
        <v>-102730041.6222824</v>
      </c>
      <c r="G37" s="181">
        <f t="shared" ref="G37:Y37" si="20">F37+G36</f>
        <v>-97626445.162832618</v>
      </c>
      <c r="H37" s="181">
        <f t="shared" si="20"/>
        <v>-79105178.880119681</v>
      </c>
      <c r="I37" s="181">
        <f t="shared" si="20"/>
        <v>-55722136.673973203</v>
      </c>
      <c r="J37" s="181">
        <f t="shared" si="20"/>
        <v>-32929666.078851134</v>
      </c>
      <c r="K37" s="181">
        <f t="shared" si="20"/>
        <v>-13947280.120525587</v>
      </c>
      <c r="L37" s="181">
        <f t="shared" si="20"/>
        <v>1905393.457574239</v>
      </c>
      <c r="M37" s="181">
        <f t="shared" si="20"/>
        <v>15104615.235047914</v>
      </c>
      <c r="N37" s="182">
        <f>M37+N36</f>
        <v>26126645.791495003</v>
      </c>
      <c r="O37" s="180">
        <f>O36</f>
        <v>-87599403</v>
      </c>
      <c r="P37" s="181">
        <f t="shared" si="20"/>
        <v>-92927520.900000006</v>
      </c>
      <c r="Q37" s="181">
        <f t="shared" si="20"/>
        <v>-105843721.2022824</v>
      </c>
      <c r="R37" s="181">
        <f t="shared" si="20"/>
        <v>-104929870.81227016</v>
      </c>
      <c r="S37" s="181">
        <f t="shared" si="20"/>
        <v>-92463679.401557207</v>
      </c>
      <c r="T37" s="181">
        <f t="shared" si="20"/>
        <v>-75573601.299410731</v>
      </c>
      <c r="U37" s="181">
        <f t="shared" si="20"/>
        <v>-58793134.504288666</v>
      </c>
      <c r="V37" s="181">
        <f t="shared" si="20"/>
        <v>-44817760.665963128</v>
      </c>
      <c r="W37" s="181">
        <f t="shared" si="20"/>
        <v>-33146570.327863306</v>
      </c>
      <c r="X37" s="181">
        <f t="shared" si="20"/>
        <v>-23428926.870389633</v>
      </c>
      <c r="Y37" s="182">
        <f t="shared" si="20"/>
        <v>-15314193.673942544</v>
      </c>
    </row>
    <row r="38" spans="1:25" x14ac:dyDescent="0.25">
      <c r="A38" s="176">
        <v>35</v>
      </c>
      <c r="B38" s="178" t="s">
        <v>349</v>
      </c>
      <c r="C38" s="179"/>
      <c r="D38" s="180" t="str">
        <f>D7</f>
        <v>-</v>
      </c>
      <c r="E38" s="181" t="str">
        <f>E7</f>
        <v>-</v>
      </c>
      <c r="F38" s="181">
        <f>F7</f>
        <v>60323340</v>
      </c>
      <c r="G38" s="181">
        <f t="shared" ref="G38:Y38" si="21">G7</f>
        <v>120646680</v>
      </c>
      <c r="H38" s="181">
        <f t="shared" si="21"/>
        <v>211131690</v>
      </c>
      <c r="I38" s="181">
        <f t="shared" si="21"/>
        <v>271455030</v>
      </c>
      <c r="J38" s="181">
        <f t="shared" si="21"/>
        <v>301616700</v>
      </c>
      <c r="K38" s="181">
        <f t="shared" si="21"/>
        <v>301616700</v>
      </c>
      <c r="L38" s="181">
        <f t="shared" si="21"/>
        <v>301616700</v>
      </c>
      <c r="M38" s="181">
        <f t="shared" si="21"/>
        <v>301616700</v>
      </c>
      <c r="N38" s="182">
        <f t="shared" si="21"/>
        <v>301616700</v>
      </c>
      <c r="O38" s="180" t="str">
        <f t="shared" si="21"/>
        <v>-</v>
      </c>
      <c r="P38" s="181" t="str">
        <f t="shared" si="21"/>
        <v>-</v>
      </c>
      <c r="Q38" s="181">
        <f t="shared" si="21"/>
        <v>49355460</v>
      </c>
      <c r="R38" s="181">
        <f t="shared" si="21"/>
        <v>98710920</v>
      </c>
      <c r="S38" s="181">
        <f t="shared" si="21"/>
        <v>172744110</v>
      </c>
      <c r="T38" s="181">
        <f t="shared" si="21"/>
        <v>222099569.99999997</v>
      </c>
      <c r="U38" s="181">
        <f t="shared" si="21"/>
        <v>246777299.99999997</v>
      </c>
      <c r="V38" s="181">
        <f t="shared" si="21"/>
        <v>246777299.99999997</v>
      </c>
      <c r="W38" s="181">
        <f t="shared" si="21"/>
        <v>246777299.99999997</v>
      </c>
      <c r="X38" s="181">
        <f t="shared" si="21"/>
        <v>246777299.99999997</v>
      </c>
      <c r="Y38" s="182">
        <f t="shared" si="21"/>
        <v>246777299.99999997</v>
      </c>
    </row>
    <row r="39" spans="1:25" ht="15.75" thickBot="1" x14ac:dyDescent="0.3">
      <c r="A39" s="176">
        <v>36</v>
      </c>
      <c r="B39" s="217" t="s">
        <v>435</v>
      </c>
      <c r="C39" s="179"/>
      <c r="D39" s="192" t="s">
        <v>268</v>
      </c>
      <c r="E39" s="193" t="s">
        <v>268</v>
      </c>
      <c r="F39" s="193">
        <f>F38*F35</f>
        <v>41864397.959999993</v>
      </c>
      <c r="G39" s="193">
        <f t="shared" ref="G39:Y39" si="22">G38*G35</f>
        <v>69854427.719999999</v>
      </c>
      <c r="H39" s="193">
        <f t="shared" si="22"/>
        <v>101765474.58</v>
      </c>
      <c r="I39" s="193">
        <f t="shared" si="22"/>
        <v>109124922.06</v>
      </c>
      <c r="J39" s="193">
        <f t="shared" si="22"/>
        <v>101041594.5</v>
      </c>
      <c r="K39" s="193">
        <f t="shared" si="22"/>
        <v>84151059.300000012</v>
      </c>
      <c r="L39" s="193">
        <f t="shared" si="22"/>
        <v>70276691.100000009</v>
      </c>
      <c r="M39" s="193">
        <f t="shared" si="22"/>
        <v>58513639.800000004</v>
      </c>
      <c r="N39" s="194">
        <f>N38*N35</f>
        <v>48861905.399999999</v>
      </c>
      <c r="O39" s="192" t="s">
        <v>268</v>
      </c>
      <c r="P39" s="193" t="s">
        <v>268</v>
      </c>
      <c r="Q39" s="193">
        <f t="shared" si="22"/>
        <v>34252689.239999995</v>
      </c>
      <c r="R39" s="193">
        <f t="shared" si="22"/>
        <v>57153622.679999992</v>
      </c>
      <c r="S39" s="193">
        <f t="shared" si="22"/>
        <v>83262661.019999996</v>
      </c>
      <c r="T39" s="193">
        <f t="shared" si="22"/>
        <v>89284027.140000001</v>
      </c>
      <c r="U39" s="193">
        <f t="shared" si="22"/>
        <v>82670395.5</v>
      </c>
      <c r="V39" s="193">
        <f t="shared" si="22"/>
        <v>68850866.700000003</v>
      </c>
      <c r="W39" s="193">
        <f t="shared" si="22"/>
        <v>57499110.899999999</v>
      </c>
      <c r="X39" s="193">
        <f t="shared" si="22"/>
        <v>47874796.199999996</v>
      </c>
      <c r="Y39" s="194">
        <f t="shared" si="22"/>
        <v>39977922.599999994</v>
      </c>
    </row>
    <row r="40" spans="1:25" ht="15.75" thickBot="1" x14ac:dyDescent="0.3">
      <c r="A40" s="176">
        <v>37</v>
      </c>
      <c r="B40" s="217" t="s">
        <v>444</v>
      </c>
      <c r="C40" s="179"/>
      <c r="D40" s="278">
        <f>SUM(F39:N39)</f>
        <v>685454112.41999996</v>
      </c>
      <c r="E40" s="279"/>
      <c r="F40" s="279"/>
      <c r="G40" s="279"/>
      <c r="H40" s="279"/>
      <c r="I40" s="279"/>
      <c r="J40" s="279"/>
      <c r="K40" s="279"/>
      <c r="L40" s="279"/>
      <c r="M40" s="279"/>
      <c r="N40" s="280"/>
      <c r="O40" s="278">
        <f>SUM(Q39:Y39)</f>
        <v>560826091.9799999</v>
      </c>
      <c r="P40" s="279"/>
      <c r="Q40" s="279"/>
      <c r="R40" s="279"/>
      <c r="S40" s="279"/>
      <c r="T40" s="279"/>
      <c r="U40" s="279"/>
      <c r="V40" s="279"/>
      <c r="W40" s="279"/>
      <c r="X40" s="279"/>
      <c r="Y40" s="280"/>
    </row>
    <row r="41" spans="1:25" x14ac:dyDescent="0.25">
      <c r="A41" s="176">
        <v>38</v>
      </c>
      <c r="B41" s="178" t="s">
        <v>346</v>
      </c>
      <c r="C41" s="179"/>
      <c r="D41" s="195">
        <f>D17-D23-D26-D30</f>
        <v>87599403</v>
      </c>
      <c r="E41" s="196">
        <f t="shared" ref="E41:Y41" si="23">E17-E23-E26-E30</f>
        <v>6396300</v>
      </c>
      <c r="F41" s="196">
        <f>F17-F23-F26-F30</f>
        <v>-13207489.628648978</v>
      </c>
      <c r="G41" s="196">
        <f t="shared" si="23"/>
        <v>10648861.657080825</v>
      </c>
      <c r="H41" s="196">
        <f t="shared" si="23"/>
        <v>41635993.657080829</v>
      </c>
      <c r="I41" s="196">
        <f t="shared" si="23"/>
        <v>62294081.657080822</v>
      </c>
      <c r="J41" s="196">
        <f t="shared" si="23"/>
        <v>72623125.657080814</v>
      </c>
      <c r="K41" s="196">
        <f t="shared" si="23"/>
        <v>72623125.657080814</v>
      </c>
      <c r="L41" s="196">
        <f t="shared" si="23"/>
        <v>72623125.657080814</v>
      </c>
      <c r="M41" s="196">
        <f t="shared" si="23"/>
        <v>72623125.657080814</v>
      </c>
      <c r="N41" s="197">
        <f t="shared" si="23"/>
        <v>72623125.657080814</v>
      </c>
      <c r="O41" s="195">
        <f t="shared" si="23"/>
        <v>87599403</v>
      </c>
      <c r="P41" s="196">
        <f t="shared" si="23"/>
        <v>6396300</v>
      </c>
      <c r="Q41" s="196">
        <f>Q17-Q23-Q26-Q30</f>
        <v>-17860819.628648981</v>
      </c>
      <c r="R41" s="196">
        <f t="shared" si="23"/>
        <v>3079165.3713510185</v>
      </c>
      <c r="S41" s="196">
        <f t="shared" si="23"/>
        <v>28489937.657080814</v>
      </c>
      <c r="T41" s="196">
        <f t="shared" si="23"/>
        <v>45392009.657080822</v>
      </c>
      <c r="U41" s="196">
        <f t="shared" si="23"/>
        <v>53843045.657080822</v>
      </c>
      <c r="V41" s="196">
        <f t="shared" si="23"/>
        <v>53843045.657080822</v>
      </c>
      <c r="W41" s="196">
        <f t="shared" si="23"/>
        <v>53843045.657080822</v>
      </c>
      <c r="X41" s="196">
        <f t="shared" si="23"/>
        <v>53843045.657080822</v>
      </c>
      <c r="Y41" s="197">
        <f t="shared" si="23"/>
        <v>53843045.657080822</v>
      </c>
    </row>
    <row r="42" spans="1:25" ht="15.75" thickBot="1" x14ac:dyDescent="0.3">
      <c r="A42" s="176">
        <v>39</v>
      </c>
      <c r="B42" s="217" t="s">
        <v>441</v>
      </c>
      <c r="C42" s="179"/>
      <c r="D42" s="192">
        <f>D41*D35</f>
        <v>87599403</v>
      </c>
      <c r="E42" s="193">
        <f t="shared" ref="E42:Y42" si="24">E41*E35</f>
        <v>5328117.8999999994</v>
      </c>
      <c r="F42" s="193">
        <f t="shared" si="24"/>
        <v>-9165997.8022823893</v>
      </c>
      <c r="G42" s="193">
        <f t="shared" si="24"/>
        <v>6165690.8994497973</v>
      </c>
      <c r="H42" s="193">
        <f t="shared" si="24"/>
        <v>20068548.942712959</v>
      </c>
      <c r="I42" s="193">
        <f t="shared" si="24"/>
        <v>25042220.826146491</v>
      </c>
      <c r="J42" s="193">
        <f t="shared" si="24"/>
        <v>24328747.095122073</v>
      </c>
      <c r="K42" s="193">
        <f>K41*K35</f>
        <v>20261852.058325548</v>
      </c>
      <c r="L42" s="193">
        <f t="shared" si="24"/>
        <v>16921188.278099831</v>
      </c>
      <c r="M42" s="193">
        <f>M41*M35</f>
        <v>14088886.377473678</v>
      </c>
      <c r="N42" s="194">
        <f t="shared" si="24"/>
        <v>11764946.356447093</v>
      </c>
      <c r="O42" s="192">
        <f t="shared" si="24"/>
        <v>87599403</v>
      </c>
      <c r="P42" s="193">
        <f t="shared" si="24"/>
        <v>5328117.8999999994</v>
      </c>
      <c r="Q42" s="193">
        <f t="shared" si="24"/>
        <v>-12395408.822282393</v>
      </c>
      <c r="R42" s="193">
        <f t="shared" si="24"/>
        <v>1782836.7500122397</v>
      </c>
      <c r="S42" s="193">
        <f t="shared" si="24"/>
        <v>13732149.950712953</v>
      </c>
      <c r="T42" s="193">
        <f t="shared" si="24"/>
        <v>18247587.882146493</v>
      </c>
      <c r="U42" s="193">
        <f t="shared" si="24"/>
        <v>18037420.295122076</v>
      </c>
      <c r="V42" s="193">
        <f t="shared" si="24"/>
        <v>15022209.738325551</v>
      </c>
      <c r="W42" s="193">
        <f t="shared" si="24"/>
        <v>12545429.638099832</v>
      </c>
      <c r="X42" s="193">
        <f t="shared" si="24"/>
        <v>10445550.857473679</v>
      </c>
      <c r="Y42" s="194">
        <f t="shared" si="24"/>
        <v>8722573.3964470942</v>
      </c>
    </row>
    <row r="43" spans="1:25" ht="15.75" thickBot="1" x14ac:dyDescent="0.3">
      <c r="A43" s="176">
        <v>40</v>
      </c>
      <c r="B43" s="217" t="s">
        <v>442</v>
      </c>
      <c r="C43" s="179"/>
      <c r="D43" s="271">
        <f>SUM(D42:N42)</f>
        <v>222403603.9314951</v>
      </c>
      <c r="E43" s="272"/>
      <c r="F43" s="272"/>
      <c r="G43" s="272"/>
      <c r="H43" s="272"/>
      <c r="I43" s="272"/>
      <c r="J43" s="272"/>
      <c r="K43" s="272"/>
      <c r="L43" s="272"/>
      <c r="M43" s="272"/>
      <c r="N43" s="273"/>
      <c r="O43" s="271">
        <f>SUM(O42:Y42)</f>
        <v>179067870.58605748</v>
      </c>
      <c r="P43" s="272"/>
      <c r="Q43" s="272"/>
      <c r="R43" s="272"/>
      <c r="S43" s="272"/>
      <c r="T43" s="272"/>
      <c r="U43" s="272"/>
      <c r="V43" s="272"/>
      <c r="W43" s="272"/>
      <c r="X43" s="272"/>
      <c r="Y43" s="273"/>
    </row>
    <row r="44" spans="1:25" ht="15.75" thickBot="1" x14ac:dyDescent="0.3">
      <c r="A44" s="176">
        <v>41</v>
      </c>
      <c r="B44" s="217" t="s">
        <v>443</v>
      </c>
      <c r="C44" s="179"/>
      <c r="D44" s="198">
        <f>D30*D35</f>
        <v>-87599403</v>
      </c>
      <c r="E44" s="199">
        <f>E30*E35</f>
        <v>-5328117.8999999994</v>
      </c>
      <c r="F44" s="199" t="s">
        <v>268</v>
      </c>
      <c r="G44" s="199" t="s">
        <v>268</v>
      </c>
      <c r="H44" s="199" t="s">
        <v>268</v>
      </c>
      <c r="I44" s="199" t="s">
        <v>268</v>
      </c>
      <c r="J44" s="199" t="s">
        <v>268</v>
      </c>
      <c r="K44" s="199" t="s">
        <v>268</v>
      </c>
      <c r="L44" s="199" t="s">
        <v>268</v>
      </c>
      <c r="M44" s="199" t="s">
        <v>268</v>
      </c>
      <c r="N44" s="200" t="s">
        <v>268</v>
      </c>
      <c r="O44" s="198">
        <f>D44</f>
        <v>-87599403</v>
      </c>
      <c r="P44" s="199">
        <f t="shared" ref="P44:Y44" si="25">E44</f>
        <v>-5328117.8999999994</v>
      </c>
      <c r="Q44" s="199" t="str">
        <f t="shared" si="25"/>
        <v>-</v>
      </c>
      <c r="R44" s="199" t="str">
        <f t="shared" si="25"/>
        <v>-</v>
      </c>
      <c r="S44" s="199" t="str">
        <f t="shared" si="25"/>
        <v>-</v>
      </c>
      <c r="T44" s="199" t="str">
        <f t="shared" si="25"/>
        <v>-</v>
      </c>
      <c r="U44" s="199" t="str">
        <f t="shared" si="25"/>
        <v>-</v>
      </c>
      <c r="V44" s="199" t="str">
        <f t="shared" si="25"/>
        <v>-</v>
      </c>
      <c r="W44" s="199" t="str">
        <f t="shared" si="25"/>
        <v>-</v>
      </c>
      <c r="X44" s="199" t="str">
        <f t="shared" si="25"/>
        <v>-</v>
      </c>
      <c r="Y44" s="200" t="str">
        <f t="shared" si="25"/>
        <v>-</v>
      </c>
    </row>
    <row r="46" spans="1:25" x14ac:dyDescent="0.25">
      <c r="A46" s="274" t="str">
        <f>"Индекс доходности дисконтированных затрат = "</f>
        <v xml:space="preserve">Индекс доходности дисконтированных затрат = </v>
      </c>
      <c r="B46" s="274"/>
      <c r="C46" s="174">
        <f>ROUND((D40/ABS(D43)),2)</f>
        <v>3.08</v>
      </c>
    </row>
    <row r="47" spans="1:25" x14ac:dyDescent="0.25">
      <c r="A47" s="274" t="str">
        <f>"Индекс доходности дисконтрированных инвестиций ="</f>
        <v>Индекс доходности дисконтрированных инвестиций =</v>
      </c>
      <c r="B47" s="274"/>
      <c r="C47" s="201">
        <f>C46+(C46+N37)/ABS(SUM(D44:E44))</f>
        <v>3.3611508218282298</v>
      </c>
    </row>
    <row r="48" spans="1:25" x14ac:dyDescent="0.25">
      <c r="A48" s="274" t="str">
        <f>"Внутренняя норма доходности = "</f>
        <v xml:space="preserve">Внутренняя норма доходности = </v>
      </c>
      <c r="B48" s="274"/>
      <c r="C48" s="201">
        <f>ROUND(20+(N37/(N37-M53)*(30-20)),2)</f>
        <v>25.48</v>
      </c>
    </row>
    <row r="49" spans="1:13" ht="15.75" x14ac:dyDescent="0.25">
      <c r="A49" s="176"/>
      <c r="B49" s="202" t="s">
        <v>392</v>
      </c>
      <c r="C49" s="203">
        <v>0</v>
      </c>
      <c r="D49" s="203">
        <v>1</v>
      </c>
      <c r="E49" s="203">
        <v>2</v>
      </c>
      <c r="F49" s="203">
        <v>3</v>
      </c>
      <c r="G49" s="203">
        <v>4</v>
      </c>
      <c r="H49" s="203">
        <v>5</v>
      </c>
      <c r="I49" s="203">
        <v>6</v>
      </c>
      <c r="J49" s="203">
        <v>7</v>
      </c>
      <c r="K49" s="203">
        <v>8</v>
      </c>
      <c r="L49" s="203">
        <v>9</v>
      </c>
      <c r="M49" s="203">
        <v>10</v>
      </c>
    </row>
    <row r="50" spans="1:13" ht="15.75" x14ac:dyDescent="0.25">
      <c r="A50" s="176">
        <v>1</v>
      </c>
      <c r="B50" s="202" t="s">
        <v>382</v>
      </c>
      <c r="C50" s="204">
        <f>C33</f>
        <v>0</v>
      </c>
      <c r="D50" s="204">
        <f t="shared" ref="D50:M50" si="26">D33</f>
        <v>-87599403</v>
      </c>
      <c r="E50" s="204">
        <f t="shared" si="26"/>
        <v>-6396300</v>
      </c>
      <c r="F50" s="204">
        <f t="shared" si="26"/>
        <v>-14124669.628648978</v>
      </c>
      <c r="G50" s="204">
        <f t="shared" si="26"/>
        <v>8814501.6570808049</v>
      </c>
      <c r="H50" s="204">
        <f t="shared" si="26"/>
        <v>38425863.657080799</v>
      </c>
      <c r="I50" s="204">
        <f t="shared" si="26"/>
        <v>58166771.657080792</v>
      </c>
      <c r="J50" s="204">
        <f t="shared" si="26"/>
        <v>68037225.657080799</v>
      </c>
      <c r="K50" s="204">
        <f t="shared" si="26"/>
        <v>68037225.657080799</v>
      </c>
      <c r="L50" s="204">
        <f t="shared" si="26"/>
        <v>68037225.657080799</v>
      </c>
      <c r="M50" s="204">
        <f t="shared" si="26"/>
        <v>68037225.657080799</v>
      </c>
    </row>
    <row r="51" spans="1:13" ht="15.75" x14ac:dyDescent="0.25">
      <c r="A51" s="176">
        <v>2</v>
      </c>
      <c r="B51" s="202" t="s">
        <v>388</v>
      </c>
      <c r="C51" s="202">
        <f>ROUND(1/POWER((1+0.3),C49),3)</f>
        <v>1</v>
      </c>
      <c r="D51" s="202">
        <f t="shared" ref="D51:M51" si="27">ROUND(1/POWER((1+0.3),D49),3)</f>
        <v>0.76900000000000002</v>
      </c>
      <c r="E51" s="202">
        <f t="shared" si="27"/>
        <v>0.59199999999999997</v>
      </c>
      <c r="F51" s="202">
        <f t="shared" si="27"/>
        <v>0.45500000000000002</v>
      </c>
      <c r="G51" s="202">
        <f t="shared" si="27"/>
        <v>0.35</v>
      </c>
      <c r="H51" s="202">
        <f t="shared" si="27"/>
        <v>0.26900000000000002</v>
      </c>
      <c r="I51" s="202">
        <f t="shared" si="27"/>
        <v>0.20699999999999999</v>
      </c>
      <c r="J51" s="202">
        <f t="shared" si="27"/>
        <v>0.159</v>
      </c>
      <c r="K51" s="202">
        <f t="shared" si="27"/>
        <v>0.123</v>
      </c>
      <c r="L51" s="202">
        <f t="shared" si="27"/>
        <v>9.4E-2</v>
      </c>
      <c r="M51" s="202">
        <f t="shared" si="27"/>
        <v>7.2999999999999995E-2</v>
      </c>
    </row>
    <row r="52" spans="1:13" ht="15.75" x14ac:dyDescent="0.25">
      <c r="A52" s="176">
        <v>3</v>
      </c>
      <c r="B52" s="202" t="s">
        <v>389</v>
      </c>
      <c r="C52" s="204">
        <f>C50*C51</f>
        <v>0</v>
      </c>
      <c r="D52" s="204">
        <f t="shared" ref="D52:M52" si="28">D50*D51</f>
        <v>-67363940.907000005</v>
      </c>
      <c r="E52" s="204">
        <f t="shared" si="28"/>
        <v>-3786609.5999999996</v>
      </c>
      <c r="F52" s="204">
        <f t="shared" si="28"/>
        <v>-6426724.6810352849</v>
      </c>
      <c r="G52" s="204">
        <f t="shared" si="28"/>
        <v>3085075.5799782816</v>
      </c>
      <c r="H52" s="204">
        <f t="shared" si="28"/>
        <v>10336557.323754735</v>
      </c>
      <c r="I52" s="204">
        <f t="shared" si="28"/>
        <v>12040521.733015724</v>
      </c>
      <c r="J52" s="204">
        <f t="shared" si="28"/>
        <v>10817918.879475847</v>
      </c>
      <c r="K52" s="204">
        <f t="shared" si="28"/>
        <v>8368578.7558209384</v>
      </c>
      <c r="L52" s="204">
        <f t="shared" si="28"/>
        <v>6395499.2117655948</v>
      </c>
      <c r="M52" s="204">
        <f t="shared" si="28"/>
        <v>4966717.4729668982</v>
      </c>
    </row>
    <row r="53" spans="1:13" ht="15.75" x14ac:dyDescent="0.25">
      <c r="A53" s="176">
        <v>4</v>
      </c>
      <c r="B53" s="202" t="s">
        <v>390</v>
      </c>
      <c r="C53" s="204">
        <f>C52</f>
        <v>0</v>
      </c>
      <c r="D53" s="205">
        <f>C53+D52</f>
        <v>-67363940.907000005</v>
      </c>
      <c r="E53" s="205">
        <f>D53+E52</f>
        <v>-71150550.506999999</v>
      </c>
      <c r="F53" s="205">
        <f t="shared" ref="F53:L53" si="29">E53+F52</f>
        <v>-77577275.18803528</v>
      </c>
      <c r="G53" s="205">
        <f t="shared" si="29"/>
        <v>-74492199.608056992</v>
      </c>
      <c r="H53" s="205">
        <f t="shared" si="29"/>
        <v>-64155642.284302257</v>
      </c>
      <c r="I53" s="205">
        <f t="shared" si="29"/>
        <v>-52115120.551286533</v>
      </c>
      <c r="J53" s="205">
        <f t="shared" si="29"/>
        <v>-41297201.671810687</v>
      </c>
      <c r="K53" s="205">
        <f t="shared" si="29"/>
        <v>-32928622.915989749</v>
      </c>
      <c r="L53" s="205">
        <f t="shared" si="29"/>
        <v>-26533123.704224154</v>
      </c>
      <c r="M53" s="205">
        <f>L53+M52</f>
        <v>-21566406.231257256</v>
      </c>
    </row>
    <row r="54" spans="1:13" ht="15.75" thickBot="1" x14ac:dyDescent="0.3">
      <c r="B54" s="174"/>
    </row>
    <row r="55" spans="1:13" ht="15.75" thickBot="1" x14ac:dyDescent="0.3">
      <c r="B55" s="221" t="s">
        <v>394</v>
      </c>
    </row>
    <row r="56" spans="1:13" x14ac:dyDescent="0.25">
      <c r="B56" s="174" t="str">
        <f>"Объем реализации на "&amp;E56&amp;" шаге = "</f>
        <v xml:space="preserve">Объем реализации на 0 шаге = </v>
      </c>
      <c r="C56" s="201">
        <v>0</v>
      </c>
      <c r="E56" s="174">
        <v>0</v>
      </c>
      <c r="F56" s="212">
        <f>ROUND(1/POWER((1+0.2), E56),3)</f>
        <v>1</v>
      </c>
    </row>
    <row r="57" spans="1:13" x14ac:dyDescent="0.25">
      <c r="B57" s="212" t="str">
        <f>"Объем реализации на "&amp;E57&amp;" шаге = "</f>
        <v xml:space="preserve">Объем реализации на 1 шаге = </v>
      </c>
      <c r="C57" s="201">
        <v>0</v>
      </c>
      <c r="E57" s="174">
        <v>1</v>
      </c>
      <c r="F57" s="212">
        <f t="shared" ref="F57:F66" si="30">ROUND(1/POWER((1+0.2), E57),3)</f>
        <v>0.83299999999999996</v>
      </c>
    </row>
    <row r="58" spans="1:13" x14ac:dyDescent="0.25">
      <c r="B58" s="212" t="str">
        <f>"Объем реализации на "&amp;E58&amp;" шаге = "&amp;'666'!D$398&amp;"*1,1 ="</f>
        <v>Объем реализации на 2 шаге = 55000*1,1 =</v>
      </c>
      <c r="C58" s="201">
        <f>F$5</f>
        <v>60500.000000000007</v>
      </c>
      <c r="E58" s="212">
        <v>2</v>
      </c>
      <c r="F58" s="212">
        <f t="shared" si="30"/>
        <v>0.69399999999999995</v>
      </c>
    </row>
    <row r="59" spans="1:13" x14ac:dyDescent="0.25">
      <c r="B59" s="212" t="str">
        <f>"Объем реализации на "&amp;E59&amp;" шаге = "&amp;'666'!E$398&amp;"*1,1 ="</f>
        <v>Объем реализации на 3 шаге = 110000*1,1 =</v>
      </c>
      <c r="C59" s="201">
        <f>G$5</f>
        <v>121000.00000000001</v>
      </c>
      <c r="E59" s="212">
        <v>3</v>
      </c>
      <c r="F59" s="212">
        <f t="shared" si="30"/>
        <v>0.57899999999999996</v>
      </c>
    </row>
    <row r="60" spans="1:13" x14ac:dyDescent="0.25">
      <c r="B60" s="212" t="str">
        <f>"Объем реализации на "&amp;E60&amp;" шаге = "&amp;'666'!F$398&amp;"*1,1 ="</f>
        <v>Объем реализации на 4 шаге = 192500*1,1 =</v>
      </c>
      <c r="C60" s="201">
        <f>H$5</f>
        <v>211750.00000000003</v>
      </c>
      <c r="E60" s="212">
        <v>4</v>
      </c>
      <c r="F60" s="212">
        <f t="shared" si="30"/>
        <v>0.48199999999999998</v>
      </c>
    </row>
    <row r="61" spans="1:13" x14ac:dyDescent="0.25">
      <c r="B61" s="212" t="str">
        <f>"Объем реализации на "&amp;E61&amp;" шаге = "&amp;'666'!G$398&amp;"*1,1 ="</f>
        <v>Объем реализации на 5 шаге = 247500*1,1 =</v>
      </c>
      <c r="C61" s="201">
        <f>I$5</f>
        <v>272250</v>
      </c>
      <c r="E61" s="212">
        <v>5</v>
      </c>
      <c r="F61" s="212">
        <f t="shared" si="30"/>
        <v>0.40200000000000002</v>
      </c>
    </row>
    <row r="62" spans="1:13" x14ac:dyDescent="0.25">
      <c r="B62" s="212" t="str">
        <f>"Объем реализации на "&amp;E62&amp;" шаге = "&amp;'666'!H$398&amp;"*1,1 ="</f>
        <v>Объем реализации на 6 шаге = 275000*1,1 =</v>
      </c>
      <c r="C62" s="201">
        <f>J$5</f>
        <v>302500</v>
      </c>
      <c r="E62" s="212">
        <v>6</v>
      </c>
      <c r="F62" s="212">
        <f t="shared" si="30"/>
        <v>0.33500000000000002</v>
      </c>
    </row>
    <row r="63" spans="1:13" x14ac:dyDescent="0.25">
      <c r="B63" s="212" t="str">
        <f>"Объем реализации на "&amp;E63&amp;" шаге = "&amp;'666'!H$398&amp;"*1,1 ="</f>
        <v>Объем реализации на 7 шаге = 275000*1,1 =</v>
      </c>
      <c r="C63" s="201">
        <f>K$5</f>
        <v>302500</v>
      </c>
      <c r="E63" s="212">
        <v>7</v>
      </c>
      <c r="F63" s="212">
        <f t="shared" si="30"/>
        <v>0.27900000000000003</v>
      </c>
    </row>
    <row r="64" spans="1:13" x14ac:dyDescent="0.25">
      <c r="B64" s="212" t="str">
        <f>"Объем реализации на "&amp;E64&amp;" шаге = "&amp;'666'!H$398&amp;"*1,1 ="</f>
        <v>Объем реализации на 8 шаге = 275000*1,1 =</v>
      </c>
      <c r="C64" s="201">
        <f t="shared" ref="C64:C66" si="31">K$5</f>
        <v>302500</v>
      </c>
      <c r="E64" s="212">
        <v>8</v>
      </c>
      <c r="F64" s="212">
        <f t="shared" si="30"/>
        <v>0.23300000000000001</v>
      </c>
    </row>
    <row r="65" spans="2:6" x14ac:dyDescent="0.25">
      <c r="B65" s="212" t="str">
        <f>"Объем реализации на "&amp;E65&amp;" шаге = "&amp;'666'!H$398&amp;"*1,1 ="</f>
        <v>Объем реализации на 9 шаге = 275000*1,1 =</v>
      </c>
      <c r="C65" s="201">
        <f t="shared" si="31"/>
        <v>302500</v>
      </c>
      <c r="E65" s="212">
        <v>9</v>
      </c>
      <c r="F65" s="212">
        <f t="shared" si="30"/>
        <v>0.19400000000000001</v>
      </c>
    </row>
    <row r="66" spans="2:6" x14ac:dyDescent="0.25">
      <c r="B66" s="212" t="str">
        <f>"Объем реализации на "&amp;E66&amp;" шаге = "&amp;'666'!H$398&amp;"*1,1 ="</f>
        <v>Объем реализации на 10 шаге = 275000*1,1 =</v>
      </c>
      <c r="C66" s="201">
        <f t="shared" si="31"/>
        <v>302500</v>
      </c>
      <c r="E66" s="212">
        <v>10</v>
      </c>
      <c r="F66" s="212">
        <f t="shared" si="30"/>
        <v>0.16200000000000001</v>
      </c>
    </row>
    <row r="67" spans="2:6" ht="15.75" thickBot="1" x14ac:dyDescent="0.3">
      <c r="B67" s="174"/>
    </row>
    <row r="68" spans="2:6" ht="15.75" thickBot="1" x14ac:dyDescent="0.3">
      <c r="B68" s="222" t="s">
        <v>432</v>
      </c>
    </row>
    <row r="69" spans="2:6" x14ac:dyDescent="0.25">
      <c r="B69" s="212" t="str">
        <f>"Объем реализации на "&amp;E56&amp;" шаге = "</f>
        <v xml:space="preserve">Объем реализации на 0 шаге = </v>
      </c>
      <c r="C69" s="201">
        <v>0</v>
      </c>
    </row>
    <row r="70" spans="2:6" x14ac:dyDescent="0.25">
      <c r="B70" s="212" t="str">
        <f>"Объем реализации на "&amp;E57&amp;" шаге = "</f>
        <v xml:space="preserve">Объем реализации на 1 шаге = </v>
      </c>
      <c r="C70" s="201">
        <v>0</v>
      </c>
    </row>
    <row r="71" spans="2:6" x14ac:dyDescent="0.25">
      <c r="B71" s="212" t="str">
        <f>"Объем реализации на "&amp;E58&amp;" шаге = "&amp;'666'!D$398&amp;" * 0,9 = "</f>
        <v xml:space="preserve">Объем реализации на 2 шаге = 55000 * 0,9 = </v>
      </c>
      <c r="C71" s="201">
        <f>Q$5</f>
        <v>49500</v>
      </c>
    </row>
    <row r="72" spans="2:6" x14ac:dyDescent="0.25">
      <c r="B72" s="212" t="str">
        <f>"Объем реализации на "&amp;E59&amp;" шаге = "&amp;'666'!E$398&amp;" * 0,9 = "</f>
        <v xml:space="preserve">Объем реализации на 3 шаге = 110000 * 0,9 = </v>
      </c>
      <c r="C72" s="201">
        <f>R$5</f>
        <v>99000</v>
      </c>
    </row>
    <row r="73" spans="2:6" x14ac:dyDescent="0.25">
      <c r="B73" s="212" t="str">
        <f>"Объем реализации на "&amp;E60&amp;" шаге = "&amp;'666'!F$398&amp;" * 0,9 = "</f>
        <v xml:space="preserve">Объем реализации на 4 шаге = 192500 * 0,9 = </v>
      </c>
      <c r="C73" s="201">
        <f>S$5</f>
        <v>173250</v>
      </c>
    </row>
    <row r="74" spans="2:6" x14ac:dyDescent="0.25">
      <c r="B74" s="212" t="str">
        <f>"Объем реализации на "&amp;E61&amp;" шаге = "&amp;'666'!G$398&amp;" * 0,9 = "</f>
        <v xml:space="preserve">Объем реализации на 5 шаге = 247500 * 0,9 = </v>
      </c>
      <c r="C74" s="201">
        <f>T$5</f>
        <v>222750</v>
      </c>
    </row>
    <row r="75" spans="2:6" x14ac:dyDescent="0.25">
      <c r="B75" s="212" t="str">
        <f>"Объем реализации на "&amp;E62&amp;" шаге = "&amp;'666'!H$398&amp;" * 0,9 = "</f>
        <v xml:space="preserve">Объем реализации на 6 шаге = 275000 * 0,9 = </v>
      </c>
      <c r="C75" s="201">
        <f>U$5</f>
        <v>247500</v>
      </c>
    </row>
    <row r="76" spans="2:6" x14ac:dyDescent="0.25">
      <c r="B76" s="212" t="str">
        <f>"Объем реализации на "&amp;E63&amp;" шаге = "&amp;'666'!H$398&amp;" * 0,9 = "</f>
        <v xml:space="preserve">Объем реализации на 7 шаге = 275000 * 0,9 = </v>
      </c>
      <c r="C76" s="201">
        <f>V$5</f>
        <v>247500</v>
      </c>
    </row>
    <row r="77" spans="2:6" x14ac:dyDescent="0.25">
      <c r="B77" s="212" t="str">
        <f>"Объем реализации на "&amp;E64&amp;" шаге = "&amp;'666'!H$398&amp;" * 0,9 = "</f>
        <v xml:space="preserve">Объем реализации на 8 шаге = 275000 * 0,9 = </v>
      </c>
      <c r="C77" s="201">
        <f t="shared" ref="C77:C79" si="32">V$5</f>
        <v>247500</v>
      </c>
    </row>
    <row r="78" spans="2:6" x14ac:dyDescent="0.25">
      <c r="B78" s="212" t="str">
        <f>"Объем реализации на "&amp;E65&amp;" шаге = "&amp;'666'!H$398&amp;" * 0,9 = "</f>
        <v xml:space="preserve">Объем реализации на 9 шаге = 275000 * 0,9 = </v>
      </c>
      <c r="C78" s="201">
        <f t="shared" si="32"/>
        <v>247500</v>
      </c>
    </row>
    <row r="79" spans="2:6" x14ac:dyDescent="0.25">
      <c r="B79" s="212" t="str">
        <f>"Объем реализации на "&amp;E66&amp;" шаге = "&amp;'666'!H$398&amp;" * 0,9 = "</f>
        <v xml:space="preserve">Объем реализации на 10 шаге = 275000 * 0,9 = </v>
      </c>
      <c r="C79" s="201">
        <f t="shared" si="32"/>
        <v>247500</v>
      </c>
    </row>
    <row r="80" spans="2:6" ht="15.75" thickBot="1" x14ac:dyDescent="0.3">
      <c r="B80" s="174"/>
    </row>
    <row r="81" spans="2:3" ht="15.75" thickBot="1" x14ac:dyDescent="0.3">
      <c r="B81" s="222" t="s">
        <v>394</v>
      </c>
    </row>
    <row r="82" spans="2:3" x14ac:dyDescent="0.25">
      <c r="B82" s="174" t="str">
        <f>"Выручка с НДС на "&amp;E56&amp;" шаге = Объем реализации * Цена единицы НДС = "</f>
        <v xml:space="preserve">Выручка с НДС на 0 шаге = Объем реализации * Цена единицы НДС = </v>
      </c>
      <c r="C82" s="174">
        <f>C56*F$6</f>
        <v>0</v>
      </c>
    </row>
    <row r="83" spans="2:3" x14ac:dyDescent="0.25">
      <c r="B83" s="212" t="str">
        <f>"Выручка с НДС на "&amp;E57&amp;" шаге = Объем реализации * Цена единицы НДС = "</f>
        <v xml:space="preserve">Выручка с НДС на 1 шаге = Объем реализации * Цена единицы НДС = </v>
      </c>
      <c r="C83" s="212">
        <f t="shared" ref="C83:C92" si="33">C57*F$6</f>
        <v>0</v>
      </c>
    </row>
    <row r="84" spans="2:3" x14ac:dyDescent="0.25">
      <c r="B84" s="212" t="str">
        <f>"Выручка с НДС на "&amp;E58&amp;" шаге = Объем реализации * Цена единицы НДС = "&amp;C58&amp;" * "&amp;F$6&amp;" ="</f>
        <v>Выручка с НДС на 2 шаге = Объем реализации * Цена единицы НДС = 60500 * 997,08 =</v>
      </c>
      <c r="C84" s="212">
        <f t="shared" si="33"/>
        <v>60323340</v>
      </c>
    </row>
    <row r="85" spans="2:3" x14ac:dyDescent="0.25">
      <c r="B85" s="212" t="str">
        <f>"Выручка с НДС на "&amp;E59&amp;" шаге = Объем реализации * Цена единицы НДС = "&amp;C59&amp;" * "&amp;F$6&amp;" ="</f>
        <v>Выручка с НДС на 3 шаге = Объем реализации * Цена единицы НДС = 121000 * 997,08 =</v>
      </c>
      <c r="C85" s="212">
        <f t="shared" si="33"/>
        <v>120646680</v>
      </c>
    </row>
    <row r="86" spans="2:3" x14ac:dyDescent="0.25">
      <c r="B86" s="212" t="str">
        <f>"Выручка с НДС на "&amp;E60&amp;" шаге = Объем реализации * Цена единицы НДС = "&amp;C60&amp;" * "&amp;F$6&amp;" ="</f>
        <v>Выручка с НДС на 4 шаге = Объем реализации * Цена единицы НДС = 211750 * 997,08 =</v>
      </c>
      <c r="C86" s="212">
        <f t="shared" si="33"/>
        <v>211131690</v>
      </c>
    </row>
    <row r="87" spans="2:3" x14ac:dyDescent="0.25">
      <c r="B87" s="212" t="str">
        <f>"Выручка с НДС на "&amp;E61&amp;" шаге = Объем реализации * Цена единицы НДС = "&amp;C61&amp;" * "&amp;F$6&amp;" ="</f>
        <v>Выручка с НДС на 5 шаге = Объем реализации * Цена единицы НДС = 272250 * 997,08 =</v>
      </c>
      <c r="C87" s="212">
        <f t="shared" si="33"/>
        <v>271455030</v>
      </c>
    </row>
    <row r="88" spans="2:3" x14ac:dyDescent="0.25">
      <c r="B88" s="212" t="str">
        <f>"Выручка с НДС на "&amp;E62&amp;" шаге = Объем реализации * Цена единицы НДС = "&amp;C62&amp;" * "&amp;F$6&amp;" ="</f>
        <v>Выручка с НДС на 6 шаге = Объем реализации * Цена единицы НДС = 302500 * 997,08 =</v>
      </c>
      <c r="C88" s="212">
        <f t="shared" si="33"/>
        <v>301616700</v>
      </c>
    </row>
    <row r="89" spans="2:3" x14ac:dyDescent="0.25">
      <c r="B89" s="212" t="str">
        <f>"Выручка с НДС на "&amp;E63&amp;" шаге = Объем реализации * Цена единицы НДС = "&amp;C63&amp;" * "&amp;F$6&amp;" ="</f>
        <v>Выручка с НДС на 7 шаге = Объем реализации * Цена единицы НДС = 302500 * 997,08 =</v>
      </c>
      <c r="C89" s="212">
        <f t="shared" si="33"/>
        <v>301616700</v>
      </c>
    </row>
    <row r="90" spans="2:3" x14ac:dyDescent="0.25">
      <c r="B90" s="212" t="str">
        <f>"Выручка с НДС на "&amp;E64&amp;" шаге = Объем реализации * Цена единицы НДС = "&amp;C64&amp;" * "&amp;F$6&amp;" ="</f>
        <v>Выручка с НДС на 8 шаге = Объем реализации * Цена единицы НДС = 302500 * 997,08 =</v>
      </c>
      <c r="C90" s="212">
        <f t="shared" si="33"/>
        <v>301616700</v>
      </c>
    </row>
    <row r="91" spans="2:3" x14ac:dyDescent="0.25">
      <c r="B91" s="212" t="str">
        <f>"Выручка с НДС на "&amp;E65&amp;" шаге = Объем реализации * Цена единицы НДС = "&amp;C65&amp;" * "&amp;F$6&amp;" ="</f>
        <v>Выручка с НДС на 9 шаге = Объем реализации * Цена единицы НДС = 302500 * 997,08 =</v>
      </c>
      <c r="C91" s="212">
        <f t="shared" si="33"/>
        <v>301616700</v>
      </c>
    </row>
    <row r="92" spans="2:3" x14ac:dyDescent="0.25">
      <c r="B92" s="212" t="str">
        <f>"Выручка с НДС на "&amp;E66&amp;" шаге = Объем реализации * Цена единицы НДС = "&amp;C66&amp;" * "&amp;F$6&amp;" ="</f>
        <v>Выручка с НДС на 10 шаге = Объем реализации * Цена единицы НДС = 302500 * 997,08 =</v>
      </c>
      <c r="C92" s="212">
        <f t="shared" si="33"/>
        <v>301616700</v>
      </c>
    </row>
    <row r="93" spans="2:3" ht="15.75" thickBot="1" x14ac:dyDescent="0.3">
      <c r="B93" s="212"/>
    </row>
    <row r="94" spans="2:3" ht="15.75" thickBot="1" x14ac:dyDescent="0.3">
      <c r="B94" s="221" t="s">
        <v>395</v>
      </c>
    </row>
    <row r="95" spans="2:3" x14ac:dyDescent="0.25">
      <c r="B95" s="212" t="str">
        <f>"Выручка с НДС на "&amp;E56&amp;" шаге = Объем реализации * Цена единицы НДС = "</f>
        <v xml:space="preserve">Выручка с НДС на 0 шаге = Объем реализации * Цена единицы НДС = </v>
      </c>
      <c r="C95" s="174">
        <f>C69*F$6</f>
        <v>0</v>
      </c>
    </row>
    <row r="96" spans="2:3" x14ac:dyDescent="0.25">
      <c r="B96" s="212" t="str">
        <f>"Выручка с НДС на "&amp;E57&amp;" шаге = Объем реализации * Цена единицы НДС = "</f>
        <v xml:space="preserve">Выручка с НДС на 1 шаге = Объем реализации * Цена единицы НДС = </v>
      </c>
      <c r="C96" s="212">
        <f t="shared" ref="C96:C105" si="34">C70*F$6</f>
        <v>0</v>
      </c>
    </row>
    <row r="97" spans="2:3" x14ac:dyDescent="0.25">
      <c r="B97" s="212" t="str">
        <f>"Выручка с НДС на "&amp;E58&amp;" шаге = Объем реализации * Цена единицы НДС = "&amp;C71&amp;" * "&amp;F$6&amp;" ="</f>
        <v>Выручка с НДС на 2 шаге = Объем реализации * Цена единицы НДС = 49500 * 997,08 =</v>
      </c>
      <c r="C97" s="212">
        <f t="shared" si="34"/>
        <v>49355460</v>
      </c>
    </row>
    <row r="98" spans="2:3" x14ac:dyDescent="0.25">
      <c r="B98" s="212" t="str">
        <f>"Выручка с НДС на "&amp;E59&amp;" шаге = Объем реализации * Цена единицы НДС = "&amp;C72&amp;" * "&amp;F$6&amp;" ="</f>
        <v>Выручка с НДС на 3 шаге = Объем реализации * Цена единицы НДС = 99000 * 997,08 =</v>
      </c>
      <c r="C98" s="212">
        <f t="shared" si="34"/>
        <v>98710920</v>
      </c>
    </row>
    <row r="99" spans="2:3" x14ac:dyDescent="0.25">
      <c r="B99" s="212" t="str">
        <f>"Выручка с НДС на "&amp;E60&amp;" шаге = Объем реализации * Цена единицы НДС = "&amp;C73&amp;" * "&amp;F$6&amp;" ="</f>
        <v>Выручка с НДС на 4 шаге = Объем реализации * Цена единицы НДС = 173250 * 997,08 =</v>
      </c>
      <c r="C99" s="212">
        <f t="shared" si="34"/>
        <v>172744110</v>
      </c>
    </row>
    <row r="100" spans="2:3" x14ac:dyDescent="0.25">
      <c r="B100" s="212" t="str">
        <f>"Выручка с НДС на "&amp;E61&amp;" шаге = Объем реализации * Цена единицы НДС = "&amp;C74&amp;" * "&amp;F$6&amp;" ="</f>
        <v>Выручка с НДС на 5 шаге = Объем реализации * Цена единицы НДС = 222750 * 997,08 =</v>
      </c>
      <c r="C100" s="212">
        <f t="shared" si="34"/>
        <v>222099569.99999997</v>
      </c>
    </row>
    <row r="101" spans="2:3" x14ac:dyDescent="0.25">
      <c r="B101" s="212" t="str">
        <f>"Выручка с НДС на "&amp;E62&amp;" шаге = Объем реализации * Цена единицы НДС = "&amp;C75&amp;" * "&amp;F$6&amp;" ="</f>
        <v>Выручка с НДС на 6 шаге = Объем реализации * Цена единицы НДС = 247500 * 997,08 =</v>
      </c>
      <c r="C101" s="212">
        <f t="shared" si="34"/>
        <v>246777299.99999997</v>
      </c>
    </row>
    <row r="102" spans="2:3" x14ac:dyDescent="0.25">
      <c r="B102" s="212" t="str">
        <f>"Выручка с НДС на "&amp;E63&amp;" шаге = Объем реализации * Цена единицы НДС = "&amp;C76&amp;" * "&amp;F$6&amp;" ="</f>
        <v>Выручка с НДС на 7 шаге = Объем реализации * Цена единицы НДС = 247500 * 997,08 =</v>
      </c>
      <c r="C102" s="212">
        <f t="shared" si="34"/>
        <v>246777299.99999997</v>
      </c>
    </row>
    <row r="103" spans="2:3" x14ac:dyDescent="0.25">
      <c r="B103" s="212" t="str">
        <f>"Выручка с НДС на "&amp;E64&amp;" шаге = Объем реализации * Цена единицы НДС = "&amp;C77&amp;" * "&amp;F$6&amp;" ="</f>
        <v>Выручка с НДС на 8 шаге = Объем реализации * Цена единицы НДС = 247500 * 997,08 =</v>
      </c>
      <c r="C103" s="212">
        <f t="shared" si="34"/>
        <v>246777299.99999997</v>
      </c>
    </row>
    <row r="104" spans="2:3" x14ac:dyDescent="0.25">
      <c r="B104" s="212" t="str">
        <f>"Выручка с НДС на "&amp;E65&amp;" шаге = Объем реализации * Цена единицы НДС = "&amp;C78&amp;" * "&amp;F$6&amp;" ="</f>
        <v>Выручка с НДС на 9 шаге = Объем реализации * Цена единицы НДС = 247500 * 997,08 =</v>
      </c>
      <c r="C104" s="212">
        <f t="shared" si="34"/>
        <v>246777299.99999997</v>
      </c>
    </row>
    <row r="105" spans="2:3" x14ac:dyDescent="0.25">
      <c r="B105" s="212" t="str">
        <f>"Выручка с НДС на "&amp;E66&amp;" шаге = Объем реализации * Цена единицы НДС = "&amp;C79&amp;" * "&amp;F$6&amp;" ="</f>
        <v>Выручка с НДС на 10 шаге = Объем реализации * Цена единицы НДС = 247500 * 997,08 =</v>
      </c>
      <c r="C105" s="212">
        <f t="shared" si="34"/>
        <v>246777299.99999997</v>
      </c>
    </row>
    <row r="106" spans="2:3" ht="15.75" thickBot="1" x14ac:dyDescent="0.3"/>
    <row r="107" spans="2:3" ht="15.75" thickBot="1" x14ac:dyDescent="0.3">
      <c r="B107" s="221" t="s">
        <v>394</v>
      </c>
    </row>
    <row r="108" spans="2:3" x14ac:dyDescent="0.25">
      <c r="B108" s="218" t="str">
        <f>"НДС в выручке на "&amp;E56&amp;" шаге = (Выручка с НДС / 120) * 20 = "</f>
        <v xml:space="preserve">НДС в выручке на 0 шаге = (Выручка с НДС / 120) * 20 = </v>
      </c>
      <c r="C108" s="174">
        <f>(C82/120)*20</f>
        <v>0</v>
      </c>
    </row>
    <row r="109" spans="2:3" x14ac:dyDescent="0.25">
      <c r="B109" s="218" t="str">
        <f>"НДС в выручке на "&amp;E57&amp;" шаге = (Выручка с НДС / 120) * 20 = "</f>
        <v xml:space="preserve">НДС в выручке на 1 шаге = (Выручка с НДС / 120) * 20 = </v>
      </c>
      <c r="C109" s="212">
        <f t="shared" ref="C109:C118" si="35">(C83/120)*20</f>
        <v>0</v>
      </c>
    </row>
    <row r="110" spans="2:3" x14ac:dyDescent="0.25">
      <c r="B110" s="218" t="str">
        <f>"НДС в выручке на "&amp;E58&amp;" шаге = (Выручка с НДС / 120) * 20 = "</f>
        <v xml:space="preserve">НДС в выручке на 2 шаге = (Выручка с НДС / 120) * 20 = </v>
      </c>
      <c r="C110" s="212">
        <f t="shared" si="35"/>
        <v>10053890</v>
      </c>
    </row>
    <row r="111" spans="2:3" x14ac:dyDescent="0.25">
      <c r="B111" s="218" t="str">
        <f>"НДС в выручке на "&amp;E59&amp;" шаге = (Выручка с НДС / 120) * 20 = "</f>
        <v xml:space="preserve">НДС в выручке на 3 шаге = (Выручка с НДС / 120) * 20 = </v>
      </c>
      <c r="C111" s="212">
        <f t="shared" si="35"/>
        <v>20107780</v>
      </c>
    </row>
    <row r="112" spans="2:3" x14ac:dyDescent="0.25">
      <c r="B112" s="218" t="str">
        <f>"НДС в выручке на "&amp;E60&amp;" шаге = (Выручка с НДС / 120) * 20 = "</f>
        <v xml:space="preserve">НДС в выручке на 4 шаге = (Выручка с НДС / 120) * 20 = </v>
      </c>
      <c r="C112" s="212">
        <f t="shared" si="35"/>
        <v>35188615</v>
      </c>
    </row>
    <row r="113" spans="2:3" x14ac:dyDescent="0.25">
      <c r="B113" s="218" t="str">
        <f>"НДС в выручке на "&amp;E61&amp;" шаге = (Выручка с НДС / 120) * 20 = "</f>
        <v xml:space="preserve">НДС в выручке на 5 шаге = (Выручка с НДС / 120) * 20 = </v>
      </c>
      <c r="C113" s="212">
        <f t="shared" si="35"/>
        <v>45242505</v>
      </c>
    </row>
    <row r="114" spans="2:3" x14ac:dyDescent="0.25">
      <c r="B114" s="218" t="str">
        <f>"НДС в выручке на "&amp;E62&amp;" шаге = (Выручка с НДС / 120) * 20 = "</f>
        <v xml:space="preserve">НДС в выручке на 6 шаге = (Выручка с НДС / 120) * 20 = </v>
      </c>
      <c r="C114" s="212">
        <f t="shared" si="35"/>
        <v>50269450</v>
      </c>
    </row>
    <row r="115" spans="2:3" x14ac:dyDescent="0.25">
      <c r="B115" s="218" t="str">
        <f>"НДС в выручке на "&amp;E63&amp;" шаге = (Выручка с НДС / 120) * 20 = "</f>
        <v xml:space="preserve">НДС в выручке на 7 шаге = (Выручка с НДС / 120) * 20 = </v>
      </c>
      <c r="C115" s="212">
        <f t="shared" si="35"/>
        <v>50269450</v>
      </c>
    </row>
    <row r="116" spans="2:3" x14ac:dyDescent="0.25">
      <c r="B116" s="218" t="str">
        <f>"НДС в выручке на "&amp;E64&amp;" шаге = (Выручка с НДС / 120) * 20 = "</f>
        <v xml:space="preserve">НДС в выручке на 8 шаге = (Выручка с НДС / 120) * 20 = </v>
      </c>
      <c r="C116" s="212">
        <f t="shared" si="35"/>
        <v>50269450</v>
      </c>
    </row>
    <row r="117" spans="2:3" x14ac:dyDescent="0.25">
      <c r="B117" s="218" t="str">
        <f>"НДС в выручке на "&amp;E65&amp;" шаге = (Выручка с НДС / 120) * 20 = "</f>
        <v xml:space="preserve">НДС в выручке на 9 шаге = (Выручка с НДС / 120) * 20 = </v>
      </c>
      <c r="C117" s="212">
        <f t="shared" si="35"/>
        <v>50269450</v>
      </c>
    </row>
    <row r="118" spans="2:3" x14ac:dyDescent="0.25">
      <c r="B118" s="218" t="str">
        <f>"НДС в выручке на "&amp;E66&amp;" шаге = (Выручка с НДС / 120) * 20 = "</f>
        <v xml:space="preserve">НДС в выручке на 10 шаге = (Выручка с НДС / 120) * 20 = </v>
      </c>
      <c r="C118" s="212">
        <f t="shared" si="35"/>
        <v>50269450</v>
      </c>
    </row>
    <row r="119" spans="2:3" ht="15.75" thickBot="1" x14ac:dyDescent="0.3">
      <c r="B119" s="219"/>
    </row>
    <row r="120" spans="2:3" ht="15.75" thickBot="1" x14ac:dyDescent="0.3">
      <c r="B120" s="220" t="s">
        <v>395</v>
      </c>
    </row>
    <row r="121" spans="2:3" x14ac:dyDescent="0.25">
      <c r="B121" s="218" t="str">
        <f>"НДС в выручке на "&amp;E56&amp;" шаге = (Выручка с НДС / 120) * 20 = "</f>
        <v xml:space="preserve">НДС в выручке на 0 шаге = (Выручка с НДС / 120) * 20 = </v>
      </c>
      <c r="C121" s="212">
        <f>(C95/120)*20</f>
        <v>0</v>
      </c>
    </row>
    <row r="122" spans="2:3" x14ac:dyDescent="0.25">
      <c r="B122" s="218" t="str">
        <f>"НДС в выручке на "&amp;E57&amp;" шаге = (Выручка с НДС / 120) * 20 = "</f>
        <v xml:space="preserve">НДС в выручке на 1 шаге = (Выручка с НДС / 120) * 20 = </v>
      </c>
      <c r="C122" s="212">
        <f t="shared" ref="C122:C131" si="36">(C96/120)*20</f>
        <v>0</v>
      </c>
    </row>
    <row r="123" spans="2:3" x14ac:dyDescent="0.25">
      <c r="B123" s="218" t="str">
        <f>"НДС в выручке на "&amp;E58&amp;" шаге = (Выручка с НДС / 120) * 20 = "</f>
        <v xml:space="preserve">НДС в выручке на 2 шаге = (Выручка с НДС / 120) * 20 = </v>
      </c>
      <c r="C123" s="212">
        <f t="shared" si="36"/>
        <v>8225910</v>
      </c>
    </row>
    <row r="124" spans="2:3" x14ac:dyDescent="0.25">
      <c r="B124" s="218" t="str">
        <f>"НДС в выручке на "&amp;E59&amp;" шаге = (Выручка с НДС / 120) * 20 = "</f>
        <v xml:space="preserve">НДС в выручке на 3 шаге = (Выручка с НДС / 120) * 20 = </v>
      </c>
      <c r="C124" s="212">
        <f t="shared" si="36"/>
        <v>16451820</v>
      </c>
    </row>
    <row r="125" spans="2:3" x14ac:dyDescent="0.25">
      <c r="B125" s="218" t="str">
        <f>"НДС в выручке на "&amp;E60&amp;" шаге = (Выручка с НДС / 120) * 20 = "</f>
        <v xml:space="preserve">НДС в выручке на 4 шаге = (Выручка с НДС / 120) * 20 = </v>
      </c>
      <c r="C125" s="212">
        <f t="shared" si="36"/>
        <v>28790685</v>
      </c>
    </row>
    <row r="126" spans="2:3" x14ac:dyDescent="0.25">
      <c r="B126" s="218" t="str">
        <f>"НДС в выручке на "&amp;E61&amp;" шаге = (Выручка с НДС / 120) * 20 = "</f>
        <v xml:space="preserve">НДС в выручке на 5 шаге = (Выручка с НДС / 120) * 20 = </v>
      </c>
      <c r="C126" s="212">
        <f t="shared" si="36"/>
        <v>37016594.999999993</v>
      </c>
    </row>
    <row r="127" spans="2:3" x14ac:dyDescent="0.25">
      <c r="B127" s="218" t="str">
        <f>"НДС в выручке на "&amp;E62&amp;" шаге = (Выручка с НДС / 120) * 20 = "</f>
        <v xml:space="preserve">НДС в выручке на 6 шаге = (Выручка с НДС / 120) * 20 = </v>
      </c>
      <c r="C127" s="212">
        <f t="shared" si="36"/>
        <v>41129549.999999993</v>
      </c>
    </row>
    <row r="128" spans="2:3" x14ac:dyDescent="0.25">
      <c r="B128" s="218" t="str">
        <f>"НДС в выручке на "&amp;E63&amp;" шаге = (Выручка с НДС / 120) * 20 = "</f>
        <v xml:space="preserve">НДС в выручке на 7 шаге = (Выручка с НДС / 120) * 20 = </v>
      </c>
      <c r="C128" s="212">
        <f t="shared" si="36"/>
        <v>41129549.999999993</v>
      </c>
    </row>
    <row r="129" spans="2:3" x14ac:dyDescent="0.25">
      <c r="B129" s="218" t="str">
        <f>"НДС в выручке на "&amp;E64&amp;" шаге = (Выручка с НДС / 120) * 20 = "</f>
        <v xml:space="preserve">НДС в выручке на 8 шаге = (Выручка с НДС / 120) * 20 = </v>
      </c>
      <c r="C129" s="212">
        <f t="shared" si="36"/>
        <v>41129549.999999993</v>
      </c>
    </row>
    <row r="130" spans="2:3" x14ac:dyDescent="0.25">
      <c r="B130" s="218" t="str">
        <f>"НДС в выручке на "&amp;E65&amp;" шаге = (Выручка с НДС / 120) * 20 = "</f>
        <v xml:space="preserve">НДС в выручке на 9 шаге = (Выручка с НДС / 120) * 20 = </v>
      </c>
      <c r="C130" s="212">
        <f t="shared" si="36"/>
        <v>41129549.999999993</v>
      </c>
    </row>
    <row r="131" spans="2:3" x14ac:dyDescent="0.25">
      <c r="B131" s="218" t="str">
        <f>"НДС в выручке на "&amp;E66&amp;" шаге = (Выручка с НДС / 120) * 20 = "</f>
        <v xml:space="preserve">НДС в выручке на 10 шаге = (Выручка с НДС / 120) * 20 = </v>
      </c>
      <c r="C131" s="212">
        <f t="shared" si="36"/>
        <v>41129549.999999993</v>
      </c>
    </row>
    <row r="132" spans="2:3" ht="15.75" thickBot="1" x14ac:dyDescent="0.3">
      <c r="B132" s="219"/>
    </row>
    <row r="133" spans="2:3" ht="15.75" thickBot="1" x14ac:dyDescent="0.3">
      <c r="B133" s="221" t="s">
        <v>394</v>
      </c>
    </row>
    <row r="134" spans="2:3" x14ac:dyDescent="0.25">
      <c r="B134" s="219" t="str">
        <f>"Выручка без НДС на "&amp;E56&amp;" шаге = Выручка с НДС - НДС в выручке = "</f>
        <v xml:space="preserve">Выручка без НДС на 0 шаге = Выручка с НДС - НДС в выручке = </v>
      </c>
      <c r="C134" s="212">
        <f t="shared" ref="C134:C144" si="37">C82-C108</f>
        <v>0</v>
      </c>
    </row>
    <row r="135" spans="2:3" x14ac:dyDescent="0.25">
      <c r="B135" s="219" t="str">
        <f>"Выручка без НДС на "&amp;E57&amp;" шаге = Выручка с НДС - НДС в выручке = "</f>
        <v xml:space="preserve">Выручка без НДС на 1 шаге = Выручка с НДС - НДС в выручке = </v>
      </c>
      <c r="C135" s="212">
        <f t="shared" si="37"/>
        <v>0</v>
      </c>
    </row>
    <row r="136" spans="2:3" x14ac:dyDescent="0.25">
      <c r="B136" s="219" t="str">
        <f>"Выручка без НДС на "&amp;E58&amp;" шаге = Выручка с НДС - НДС в выручке = "</f>
        <v xml:space="preserve">Выручка без НДС на 2 шаге = Выручка с НДС - НДС в выручке = </v>
      </c>
      <c r="C136" s="212">
        <f>C84-C110</f>
        <v>50269450</v>
      </c>
    </row>
    <row r="137" spans="2:3" x14ac:dyDescent="0.25">
      <c r="B137" s="219" t="str">
        <f>"Выручка без НДС на "&amp;E59&amp;" шаге = Выручка с НДС - НДС в выручке = "</f>
        <v xml:space="preserve">Выручка без НДС на 3 шаге = Выручка с НДС - НДС в выручке = </v>
      </c>
      <c r="C137" s="212">
        <f t="shared" si="37"/>
        <v>100538900</v>
      </c>
    </row>
    <row r="138" spans="2:3" x14ac:dyDescent="0.25">
      <c r="B138" s="219" t="str">
        <f>"Выручка без НДС на "&amp;E60&amp;" шаге = Выручка с НДС - НДС в выручке = "</f>
        <v xml:space="preserve">Выручка без НДС на 4 шаге = Выручка с НДС - НДС в выручке = </v>
      </c>
      <c r="C138" s="212">
        <f t="shared" si="37"/>
        <v>175943075</v>
      </c>
    </row>
    <row r="139" spans="2:3" x14ac:dyDescent="0.25">
      <c r="B139" s="219" t="str">
        <f>"Выручка без НДС на "&amp;E61&amp;" шаге = Выручка с НДС - НДС в выручке = "</f>
        <v xml:space="preserve">Выручка без НДС на 5 шаге = Выручка с НДС - НДС в выручке = </v>
      </c>
      <c r="C139" s="212">
        <f t="shared" si="37"/>
        <v>226212525</v>
      </c>
    </row>
    <row r="140" spans="2:3" x14ac:dyDescent="0.25">
      <c r="B140" s="219" t="str">
        <f>"Выручка без НДС на "&amp;E62&amp;" шаге = Выручка с НДС - НДС в выручке = "</f>
        <v xml:space="preserve">Выручка без НДС на 6 шаге = Выручка с НДС - НДС в выручке = </v>
      </c>
      <c r="C140" s="212">
        <f t="shared" si="37"/>
        <v>251347250</v>
      </c>
    </row>
    <row r="141" spans="2:3" x14ac:dyDescent="0.25">
      <c r="B141" s="219" t="str">
        <f>"Выручка без НДС на "&amp;E63&amp;" шаге = Выручка с НДС - НДС в выручке = "</f>
        <v xml:space="preserve">Выручка без НДС на 7 шаге = Выручка с НДС - НДС в выручке = </v>
      </c>
      <c r="C141" s="212">
        <f t="shared" si="37"/>
        <v>251347250</v>
      </c>
    </row>
    <row r="142" spans="2:3" x14ac:dyDescent="0.25">
      <c r="B142" s="219" t="str">
        <f>"Выручка без НДС на "&amp;E64&amp;" шаге = Выручка с НДС - НДС в выручке = "</f>
        <v xml:space="preserve">Выручка без НДС на 8 шаге = Выручка с НДС - НДС в выручке = </v>
      </c>
      <c r="C142" s="212">
        <f t="shared" si="37"/>
        <v>251347250</v>
      </c>
    </row>
    <row r="143" spans="2:3" x14ac:dyDescent="0.25">
      <c r="B143" s="219" t="str">
        <f>"Выручка без НДС на "&amp;E65&amp;" шаге = Выручка с НДС - НДС в выручке = "</f>
        <v xml:space="preserve">Выручка без НДС на 9 шаге = Выручка с НДС - НДС в выручке = </v>
      </c>
      <c r="C143" s="212">
        <f t="shared" si="37"/>
        <v>251347250</v>
      </c>
    </row>
    <row r="144" spans="2:3" x14ac:dyDescent="0.25">
      <c r="B144" s="219" t="str">
        <f>"Выручка без НДС на "&amp;E66&amp;" шаге = Выручка с НДС - НДС в выручке = "</f>
        <v xml:space="preserve">Выручка без НДС на 10 шаге = Выручка с НДС - НДС в выручке = </v>
      </c>
      <c r="C144" s="212">
        <f t="shared" si="37"/>
        <v>251347250</v>
      </c>
    </row>
    <row r="145" spans="1:3" ht="15.75" thickBot="1" x14ac:dyDescent="0.3">
      <c r="B145" s="219"/>
    </row>
    <row r="146" spans="1:3" ht="15.75" thickBot="1" x14ac:dyDescent="0.3">
      <c r="B146" s="220" t="s">
        <v>395</v>
      </c>
    </row>
    <row r="147" spans="1:3" x14ac:dyDescent="0.25">
      <c r="B147" s="219" t="str">
        <f>"Выручка без НДС на "&amp;E56&amp;" шаге = Выручка с НДС - НДС в выручке = "</f>
        <v xml:space="preserve">Выручка без НДС на 0 шаге = Выручка с НДС - НДС в выручке = </v>
      </c>
      <c r="C147" s="212">
        <f t="shared" ref="C147:C157" si="38">C95-C121</f>
        <v>0</v>
      </c>
    </row>
    <row r="148" spans="1:3" x14ac:dyDescent="0.25">
      <c r="B148" s="219" t="str">
        <f>"Выручка без НДС на "&amp;E57&amp;" шаге = Выручка с НДС - НДС в выручке = "</f>
        <v xml:space="preserve">Выручка без НДС на 1 шаге = Выручка с НДС - НДС в выручке = </v>
      </c>
      <c r="C148" s="212">
        <f>C96-C122</f>
        <v>0</v>
      </c>
    </row>
    <row r="149" spans="1:3" x14ac:dyDescent="0.25">
      <c r="B149" s="219" t="str">
        <f>"Выручка без НДС на "&amp;E58&amp;" шаге = Выручка с НДС - НДС в выручке = "</f>
        <v xml:space="preserve">Выручка без НДС на 2 шаге = Выручка с НДС - НДС в выручке = </v>
      </c>
      <c r="C149" s="212">
        <f>C97-C123</f>
        <v>41129550</v>
      </c>
    </row>
    <row r="150" spans="1:3" x14ac:dyDescent="0.25">
      <c r="B150" s="219" t="str">
        <f>"Выручка без НДС на "&amp;E59&amp;" шаге = Выручка с НДС - НДС в выручке = "</f>
        <v xml:space="preserve">Выручка без НДС на 3 шаге = Выручка с НДС - НДС в выручке = </v>
      </c>
      <c r="C150" s="212">
        <f t="shared" si="38"/>
        <v>82259100</v>
      </c>
    </row>
    <row r="151" spans="1:3" x14ac:dyDescent="0.25">
      <c r="B151" s="219" t="str">
        <f>"Выручка без НДС на "&amp;E60&amp;" шаге = Выручка с НДС - НДС в выручке = "</f>
        <v xml:space="preserve">Выручка без НДС на 4 шаге = Выручка с НДС - НДС в выручке = </v>
      </c>
      <c r="C151" s="212">
        <f t="shared" si="38"/>
        <v>143953425</v>
      </c>
    </row>
    <row r="152" spans="1:3" x14ac:dyDescent="0.25">
      <c r="B152" s="219" t="str">
        <f>"Выручка без НДС на "&amp;E61&amp;" шаге = Выручка с НДС - НДС в выручке = "</f>
        <v xml:space="preserve">Выручка без НДС на 5 шаге = Выручка с НДС - НДС в выручке = </v>
      </c>
      <c r="C152" s="212">
        <f t="shared" si="38"/>
        <v>185082974.99999997</v>
      </c>
    </row>
    <row r="153" spans="1:3" x14ac:dyDescent="0.25">
      <c r="B153" s="219" t="str">
        <f>"Выручка без НДС на "&amp;E62&amp;" шаге = Выручка с НДС - НДС в выручке = "</f>
        <v xml:space="preserve">Выручка без НДС на 6 шаге = Выручка с НДС - НДС в выручке = </v>
      </c>
      <c r="C153" s="212">
        <f t="shared" si="38"/>
        <v>205647749.99999997</v>
      </c>
    </row>
    <row r="154" spans="1:3" x14ac:dyDescent="0.25">
      <c r="B154" s="219" t="str">
        <f>"Выручка без НДС на "&amp;E63&amp;" шаге = Выручка с НДС - НДС в выручке = "</f>
        <v xml:space="preserve">Выручка без НДС на 7 шаге = Выручка с НДС - НДС в выручке = </v>
      </c>
      <c r="C154" s="212">
        <f t="shared" si="38"/>
        <v>205647749.99999997</v>
      </c>
    </row>
    <row r="155" spans="1:3" x14ac:dyDescent="0.25">
      <c r="B155" s="219" t="str">
        <f>"Выручка без НДС на "&amp;E64&amp;" шаге = Выручка с НДС - НДС в выручке = "</f>
        <v xml:space="preserve">Выручка без НДС на 8 шаге = Выручка с НДС - НДС в выручке = </v>
      </c>
      <c r="C155" s="212">
        <f t="shared" si="38"/>
        <v>205647749.99999997</v>
      </c>
    </row>
    <row r="156" spans="1:3" x14ac:dyDescent="0.25">
      <c r="B156" s="219" t="str">
        <f>"Выручка без НДС на "&amp;E65&amp;" шаге = Выручка с НДС - НДС в выручке = "</f>
        <v xml:space="preserve">Выручка без НДС на 9 шаге = Выручка с НДС - НДС в выручке = </v>
      </c>
      <c r="C156" s="212">
        <f t="shared" si="38"/>
        <v>205647749.99999997</v>
      </c>
    </row>
    <row r="157" spans="1:3" x14ac:dyDescent="0.25">
      <c r="B157" s="219" t="str">
        <f>"Выручка без НДС на "&amp;E66&amp;" шаге = Выручка с НДС - НДС в выручке = "</f>
        <v xml:space="preserve">Выручка без НДС на 10 шаге = Выручка с НДС - НДС в выручке = </v>
      </c>
      <c r="C157" s="212">
        <f t="shared" si="38"/>
        <v>205647749.99999997</v>
      </c>
    </row>
    <row r="158" spans="1:3" ht="15.75" thickBot="1" x14ac:dyDescent="0.3">
      <c r="B158" s="219"/>
    </row>
    <row r="159" spans="1:3" ht="15.75" thickBot="1" x14ac:dyDescent="0.3">
      <c r="B159" s="221" t="s">
        <v>394</v>
      </c>
    </row>
    <row r="160" spans="1:3" x14ac:dyDescent="0.25">
      <c r="A160" s="270" t="str">
        <f>"Затраты на материалы на "&amp;E56&amp;" шаге = Затраты на материалы * Объем реализации = "&amp;'666'!C$342&amp;"*"&amp;C56&amp;"="</f>
        <v>Затраты на материалы на 0 шаге = Затраты на материалы * Объем реализации = 354,88*0=</v>
      </c>
      <c r="B160" s="270"/>
      <c r="C160" s="201">
        <f>'666'!C$342*C56</f>
        <v>0</v>
      </c>
    </row>
    <row r="161" spans="1:3" x14ac:dyDescent="0.25">
      <c r="A161" s="270" t="str">
        <f>"Затраты на материалы на "&amp;E57&amp;" шаге = Затраты на материалы * Объем реализации = "&amp;'666'!C$342&amp;"*"&amp;C57&amp;"="</f>
        <v>Затраты на материалы на 1 шаге = Затраты на материалы * Объем реализации = 354,88*0=</v>
      </c>
      <c r="B161" s="270"/>
      <c r="C161" s="201">
        <f>'666'!C$342*C57</f>
        <v>0</v>
      </c>
    </row>
    <row r="162" spans="1:3" x14ac:dyDescent="0.25">
      <c r="A162" s="270" t="str">
        <f>"Затраты на материалы на "&amp;E58&amp;" шаге = Затраты на материалы * Объем реализации = "&amp;'666'!C$342&amp;"*"&amp;C58&amp;"="</f>
        <v>Затраты на материалы на 2 шаге = Затраты на материалы * Объем реализации = 354,88*60500=</v>
      </c>
      <c r="B162" s="270"/>
      <c r="C162" s="201">
        <f>'666'!C$342*C58</f>
        <v>21470240.000000004</v>
      </c>
    </row>
    <row r="163" spans="1:3" x14ac:dyDescent="0.25">
      <c r="A163" s="270" t="str">
        <f>"Затраты на материалы на "&amp;E59&amp;" шаге = Затраты на материалы * Объем реализации = "&amp;'666'!C$342&amp;"*"&amp;C59&amp;"="</f>
        <v>Затраты на материалы на 3 шаге = Затраты на материалы * Объем реализации = 354,88*121000=</v>
      </c>
      <c r="B163" s="270"/>
      <c r="C163" s="201">
        <f>'666'!C$342*C59</f>
        <v>42940480.000000007</v>
      </c>
    </row>
    <row r="164" spans="1:3" x14ac:dyDescent="0.25">
      <c r="A164" s="270" t="str">
        <f>"Затраты на материалы на "&amp;E60&amp;" шаге = Затраты на материалы * Объем реализации = "&amp;'666'!C$342&amp;"*"&amp;C60&amp;"="</f>
        <v>Затраты на материалы на 4 шаге = Затраты на материалы * Объем реализации = 354,88*211750=</v>
      </c>
      <c r="B164" s="270"/>
      <c r="C164" s="201">
        <f>'666'!C$342*C60</f>
        <v>75145840.000000015</v>
      </c>
    </row>
    <row r="165" spans="1:3" x14ac:dyDescent="0.25">
      <c r="A165" s="270" t="str">
        <f>"Затраты на материалы на "&amp;E61&amp;" шаге = Затраты на материалы * Объем реализации = "&amp;'666'!C$342&amp;"*"&amp;C61&amp;"="</f>
        <v>Затраты на материалы на 5 шаге = Затраты на материалы * Объем реализации = 354,88*272250=</v>
      </c>
      <c r="B165" s="270"/>
      <c r="C165" s="201">
        <f>'666'!C$342*C61</f>
        <v>96616080</v>
      </c>
    </row>
    <row r="166" spans="1:3" x14ac:dyDescent="0.25">
      <c r="A166" s="270" t="str">
        <f>"Затраты на материалы на "&amp;E62&amp;" шаге = Затраты на материалы * Объем реализации = "&amp;'666'!C$342&amp;"*"&amp;C62&amp;"="</f>
        <v>Затраты на материалы на 6 шаге = Затраты на материалы * Объем реализации = 354,88*302500=</v>
      </c>
      <c r="B166" s="270"/>
      <c r="C166" s="201">
        <f>'666'!C$342*C62</f>
        <v>107351200</v>
      </c>
    </row>
    <row r="167" spans="1:3" x14ac:dyDescent="0.25">
      <c r="A167" s="270" t="str">
        <f>"Затраты на материалы на "&amp;E63&amp;" шаге = Затраты на материалы * Объем реализации = "&amp;'666'!C$342&amp;"*"&amp;C63&amp;"="</f>
        <v>Затраты на материалы на 7 шаге = Затраты на материалы * Объем реализации = 354,88*302500=</v>
      </c>
      <c r="B167" s="270"/>
      <c r="C167" s="201">
        <f>'666'!C$342*C63</f>
        <v>107351200</v>
      </c>
    </row>
    <row r="168" spans="1:3" x14ac:dyDescent="0.25">
      <c r="A168" s="270" t="str">
        <f>"Затраты на материалы на "&amp;E64&amp;" шаге = Затраты на материалы * Объем реализации = "&amp;'666'!C$342&amp;"*"&amp;C64&amp;"="</f>
        <v>Затраты на материалы на 8 шаге = Затраты на материалы * Объем реализации = 354,88*302500=</v>
      </c>
      <c r="B168" s="270"/>
      <c r="C168" s="201">
        <f>'666'!C$342*C64</f>
        <v>107351200</v>
      </c>
    </row>
    <row r="169" spans="1:3" x14ac:dyDescent="0.25">
      <c r="A169" s="270" t="str">
        <f>"Затраты на материалы на "&amp;E65&amp;" шаге = Затраты на материалы * Объем реализации = "&amp;'666'!C$342&amp;"*"&amp;C65&amp;"="</f>
        <v>Затраты на материалы на 9 шаге = Затраты на материалы * Объем реализации = 354,88*302500=</v>
      </c>
      <c r="B169" s="270"/>
      <c r="C169" s="201">
        <f>'666'!C$342*C65</f>
        <v>107351200</v>
      </c>
    </row>
    <row r="170" spans="1:3" x14ac:dyDescent="0.25">
      <c r="A170" s="270" t="str">
        <f>"Затраты на материалы на "&amp;E66&amp;" шаге = Затраты на материалы * Объем реализации = "&amp;'666'!C$342&amp;"*"&amp;C66&amp;"="</f>
        <v>Затраты на материалы на 10 шаге = Затраты на материалы * Объем реализации = 354,88*302500=</v>
      </c>
      <c r="B170" s="270"/>
      <c r="C170" s="201">
        <f>'666'!C$342*C66</f>
        <v>107351200</v>
      </c>
    </row>
    <row r="171" spans="1:3" ht="15.75" thickBot="1" x14ac:dyDescent="0.3">
      <c r="B171" s="219"/>
    </row>
    <row r="172" spans="1:3" ht="15.75" thickBot="1" x14ac:dyDescent="0.3">
      <c r="B172" s="220" t="s">
        <v>395</v>
      </c>
    </row>
    <row r="173" spans="1:3" x14ac:dyDescent="0.25">
      <c r="A173" s="270" t="str">
        <f>"Затраты на материалы на "&amp;E56&amp;" шаге = Затраты на материалы * Объем реализации = "&amp;'666'!C$342&amp;"*"&amp;C69&amp;"="</f>
        <v>Затраты на материалы на 0 шаге = Затраты на материалы * Объем реализации = 354,88*0=</v>
      </c>
      <c r="B173" s="270"/>
      <c r="C173" s="201">
        <f>'666'!C$342*C69</f>
        <v>0</v>
      </c>
    </row>
    <row r="174" spans="1:3" x14ac:dyDescent="0.25">
      <c r="A174" s="270" t="str">
        <f>"Затраты на материалы на "&amp;E57&amp;" шаге = Затраты на материалы * Объем реализации = "&amp;'666'!C$342&amp;"*"&amp;C70&amp;"="</f>
        <v>Затраты на материалы на 1 шаге = Затраты на материалы * Объем реализации = 354,88*0=</v>
      </c>
      <c r="B174" s="270"/>
      <c r="C174" s="201">
        <f>'666'!C$342*C70</f>
        <v>0</v>
      </c>
    </row>
    <row r="175" spans="1:3" x14ac:dyDescent="0.25">
      <c r="A175" s="270" t="str">
        <f>"Затраты на материалы на "&amp;E58&amp;" шаге = Затраты на материалы * Объем реализации = "&amp;'666'!C$342&amp;"*"&amp;C71&amp;"="</f>
        <v>Затраты на материалы на 2 шаге = Затраты на материалы * Объем реализации = 354,88*49500=</v>
      </c>
      <c r="B175" s="270"/>
      <c r="C175" s="201">
        <f>'666'!C$342*C71</f>
        <v>17566560</v>
      </c>
    </row>
    <row r="176" spans="1:3" x14ac:dyDescent="0.25">
      <c r="A176" s="270" t="str">
        <f>"Затраты на материалы на "&amp;E59&amp;" шаге = Затраты на материалы * Объем реализации = "&amp;'666'!C$342&amp;"*"&amp;C72&amp;"="</f>
        <v>Затраты на материалы на 3 шаге = Затраты на материалы * Объем реализации = 354,88*99000=</v>
      </c>
      <c r="B176" s="270"/>
      <c r="C176" s="201">
        <f>'666'!C$342*C72</f>
        <v>35133120</v>
      </c>
    </row>
    <row r="177" spans="1:3" x14ac:dyDescent="0.25">
      <c r="A177" s="270" t="str">
        <f>"Затраты на материалы на "&amp;E60&amp;" шаге = Затраты на материалы * Объем реализации = "&amp;'666'!C$342&amp;"*"&amp;C73&amp;"="</f>
        <v>Затраты на материалы на 4 шаге = Затраты на материалы * Объем реализации = 354,88*173250=</v>
      </c>
      <c r="B177" s="270"/>
      <c r="C177" s="201">
        <f>'666'!C$342*C73</f>
        <v>61482960</v>
      </c>
    </row>
    <row r="178" spans="1:3" x14ac:dyDescent="0.25">
      <c r="A178" s="270" t="str">
        <f>"Затраты на материалы на "&amp;E61&amp;" шаге = Затраты на материалы * Объем реализации = "&amp;'666'!C$342&amp;"*"&amp;C74&amp;"="</f>
        <v>Затраты на материалы на 5 шаге = Затраты на материалы * Объем реализации = 354,88*222750=</v>
      </c>
      <c r="B178" s="270"/>
      <c r="C178" s="201">
        <f>'666'!C$342*C74</f>
        <v>79049520</v>
      </c>
    </row>
    <row r="179" spans="1:3" x14ac:dyDescent="0.25">
      <c r="A179" s="270" t="str">
        <f>"Затраты на материалы на "&amp;E62&amp;" шаге = Затраты на материалы * Объем реализации = "&amp;'666'!C$342&amp;"*"&amp;C75&amp;"="</f>
        <v>Затраты на материалы на 6 шаге = Затраты на материалы * Объем реализации = 354,88*247500=</v>
      </c>
      <c r="B179" s="270"/>
      <c r="C179" s="201">
        <f>'666'!C$342*C75</f>
        <v>87832800</v>
      </c>
    </row>
    <row r="180" spans="1:3" x14ac:dyDescent="0.25">
      <c r="A180" s="270" t="str">
        <f>"Затраты на материалы на "&amp;E63&amp;" шаге = Затраты на материалы * Объем реализации = "&amp;'666'!C$342&amp;"*"&amp;C76&amp;"="</f>
        <v>Затраты на материалы на 7 шаге = Затраты на материалы * Объем реализации = 354,88*247500=</v>
      </c>
      <c r="B180" s="270"/>
      <c r="C180" s="201">
        <f>'666'!C$342*C76</f>
        <v>87832800</v>
      </c>
    </row>
    <row r="181" spans="1:3" x14ac:dyDescent="0.25">
      <c r="A181" s="270" t="str">
        <f>"Затраты на материалы на "&amp;E64&amp;" шаге = Затраты на материалы * Объем реализации = "&amp;'666'!C$342&amp;"*"&amp;C77&amp;"="</f>
        <v>Затраты на материалы на 8 шаге = Затраты на материалы * Объем реализации = 354,88*247500=</v>
      </c>
      <c r="B181" s="270"/>
      <c r="C181" s="201">
        <f>'666'!C$342*C77</f>
        <v>87832800</v>
      </c>
    </row>
    <row r="182" spans="1:3" x14ac:dyDescent="0.25">
      <c r="A182" s="270" t="str">
        <f>"Затраты на материалы на "&amp;E65&amp;" шаге = Затраты на материалы * Объем реализации = "&amp;'666'!C$342&amp;"*"&amp;C78&amp;"="</f>
        <v>Затраты на материалы на 9 шаге = Затраты на материалы * Объем реализации = 354,88*247500=</v>
      </c>
      <c r="B182" s="270"/>
      <c r="C182" s="201">
        <f>'666'!C$342*C78</f>
        <v>87832800</v>
      </c>
    </row>
    <row r="183" spans="1:3" x14ac:dyDescent="0.25">
      <c r="A183" s="270" t="str">
        <f>"Затраты на материалы на "&amp;E66&amp;" шаге = Затраты на материалы * Объем реализации = "&amp;'666'!C$342&amp;"*"&amp;C79&amp;"="</f>
        <v>Затраты на материалы на 10 шаге = Затраты на материалы * Объем реализации = 354,88*247500=</v>
      </c>
      <c r="B183" s="270"/>
      <c r="C183" s="201">
        <f>'666'!C$342*C79</f>
        <v>87832800</v>
      </c>
    </row>
    <row r="184" spans="1:3" ht="15.75" thickBot="1" x14ac:dyDescent="0.3">
      <c r="B184" s="219"/>
    </row>
    <row r="185" spans="1:3" ht="15.75" thickBot="1" x14ac:dyDescent="0.3">
      <c r="B185" s="221" t="s">
        <v>394</v>
      </c>
    </row>
    <row r="186" spans="1:3" x14ac:dyDescent="0.25">
      <c r="A186" s="270" t="str">
        <f>"Затраты на элктроэнергию на "&amp;E56&amp;" шаге = Затраты на элктроэнергию * Объем реализации = "&amp;'666'!C$343&amp;" * "&amp;C56&amp;" = "</f>
        <v xml:space="preserve">Затраты на элктроэнергию на 0 шаге = Затраты на элктроэнергию * Объем реализации = 13,69 * 0 = </v>
      </c>
      <c r="B186" s="270"/>
      <c r="C186" s="201">
        <f>'666'!C$343*C56</f>
        <v>0</v>
      </c>
    </row>
    <row r="187" spans="1:3" x14ac:dyDescent="0.25">
      <c r="A187" s="270" t="str">
        <f>"Затраты на элктроэнергию на "&amp;E57&amp;" шаге = Затраты на элктроэнергию * Объем реализации = "&amp;'666'!C$343&amp;" * "&amp;C57&amp;" = "</f>
        <v xml:space="preserve">Затраты на элктроэнергию на 1 шаге = Затраты на элктроэнергию * Объем реализации = 13,69 * 0 = </v>
      </c>
      <c r="B187" s="270"/>
      <c r="C187" s="201">
        <f>'666'!C$343*C57</f>
        <v>0</v>
      </c>
    </row>
    <row r="188" spans="1:3" x14ac:dyDescent="0.25">
      <c r="A188" s="270" t="str">
        <f>"Затраты на элктроэнергию на "&amp;E58&amp;" шаге = Затраты на элктроэнергию * Объем реализации = "&amp;'666'!C$343&amp;" * "&amp;C58&amp;" = "</f>
        <v xml:space="preserve">Затраты на элктроэнергию на 2 шаге = Затраты на элктроэнергию * Объем реализации = 13,69 * 60500 = </v>
      </c>
      <c r="B188" s="270"/>
      <c r="C188" s="201">
        <f>'666'!C$343*C58</f>
        <v>828245.00000000012</v>
      </c>
    </row>
    <row r="189" spans="1:3" x14ac:dyDescent="0.25">
      <c r="A189" s="270" t="str">
        <f>"Затраты на элктроэнергию на "&amp;E59&amp;" шаге = Затраты на элктроэнергию * Объем реализации = "&amp;'666'!C$343&amp;" * "&amp;C59&amp;" = "</f>
        <v xml:space="preserve">Затраты на элктроэнергию на 3 шаге = Затраты на элктроэнергию * Объем реализации = 13,69 * 121000 = </v>
      </c>
      <c r="B189" s="270"/>
      <c r="C189" s="201">
        <f>'666'!C$343*C59</f>
        <v>1656490.0000000002</v>
      </c>
    </row>
    <row r="190" spans="1:3" x14ac:dyDescent="0.25">
      <c r="A190" s="270" t="str">
        <f>"Затраты на элктроэнергию на "&amp;E60&amp;" шаге = Затраты на элктроэнергию * Объем реализации = "&amp;'666'!C$343&amp;" * "&amp;C60&amp;" = "</f>
        <v xml:space="preserve">Затраты на элктроэнергию на 4 шаге = Затраты на элктроэнергию * Объем реализации = 13,69 * 211750 = </v>
      </c>
      <c r="B190" s="270"/>
      <c r="C190" s="201">
        <f>'666'!C$343*C60</f>
        <v>2898857.5000000005</v>
      </c>
    </row>
    <row r="191" spans="1:3" x14ac:dyDescent="0.25">
      <c r="A191" s="270" t="str">
        <f>"Затраты на элктроэнергию на "&amp;E61&amp;" шаге = Затраты на элктроэнергию * Объем реализации = "&amp;'666'!C$343&amp;" * "&amp;C61&amp;" = "</f>
        <v xml:space="preserve">Затраты на элктроэнергию на 5 шаге = Затраты на элктроэнергию * Объем реализации = 13,69 * 272250 = </v>
      </c>
      <c r="B191" s="270"/>
      <c r="C191" s="201">
        <f>'666'!C$343*C61</f>
        <v>3727102.5</v>
      </c>
    </row>
    <row r="192" spans="1:3" x14ac:dyDescent="0.25">
      <c r="A192" s="270" t="str">
        <f>"Затраты на элктроэнергию на "&amp;E62&amp;" шаге = Затраты на элктроэнергию * Объем реализации = "&amp;'666'!C$343&amp;" * "&amp;C62&amp;" = "</f>
        <v xml:space="preserve">Затраты на элктроэнергию на 6 шаге = Затраты на элктроэнергию * Объем реализации = 13,69 * 302500 = </v>
      </c>
      <c r="B192" s="270"/>
      <c r="C192" s="201">
        <f>'666'!C$343*C62</f>
        <v>4141225</v>
      </c>
    </row>
    <row r="193" spans="1:3" x14ac:dyDescent="0.25">
      <c r="A193" s="270" t="str">
        <f>"Затраты на элктроэнергию на "&amp;E63&amp;" шаге = Затраты на элктроэнергию * Объем реализации = "&amp;'666'!C$343&amp;" * "&amp;C63&amp;" = "</f>
        <v xml:space="preserve">Затраты на элктроэнергию на 7 шаге = Затраты на элктроэнергию * Объем реализации = 13,69 * 302500 = </v>
      </c>
      <c r="B193" s="270"/>
      <c r="C193" s="201">
        <f>'666'!C$343*C63</f>
        <v>4141225</v>
      </c>
    </row>
    <row r="194" spans="1:3" x14ac:dyDescent="0.25">
      <c r="A194" s="270" t="str">
        <f>"Затраты на элктроэнергию на "&amp;E64&amp;" шаге = Затраты на элктроэнергию * Объем реализации = "&amp;'666'!C$343&amp;" * "&amp;C64&amp;" = "</f>
        <v xml:space="preserve">Затраты на элктроэнергию на 8 шаге = Затраты на элктроэнергию * Объем реализации = 13,69 * 302500 = </v>
      </c>
      <c r="B194" s="270"/>
      <c r="C194" s="201">
        <f>'666'!C$343*C64</f>
        <v>4141225</v>
      </c>
    </row>
    <row r="195" spans="1:3" x14ac:dyDescent="0.25">
      <c r="A195" s="270" t="str">
        <f>"Затраты на элктроэнергию на "&amp;E65&amp;" шаге = Затраты на элктроэнергию * Объем реализации = "&amp;'666'!C$343&amp;" * "&amp;C65&amp;" = "</f>
        <v xml:space="preserve">Затраты на элктроэнергию на 9 шаге = Затраты на элктроэнергию * Объем реализации = 13,69 * 302500 = </v>
      </c>
      <c r="B195" s="270"/>
      <c r="C195" s="201">
        <f>'666'!C$343*C65</f>
        <v>4141225</v>
      </c>
    </row>
    <row r="196" spans="1:3" x14ac:dyDescent="0.25">
      <c r="A196" s="270" t="str">
        <f>"Затраты на элктроэнергию на "&amp;E66&amp;" шаге = Затраты на элктроэнергию * Объем реализации = "&amp;'666'!C$343&amp;" * "&amp;C66&amp;" = "</f>
        <v xml:space="preserve">Затраты на элктроэнергию на 10 шаге = Затраты на элктроэнергию * Объем реализации = 13,69 * 302500 = </v>
      </c>
      <c r="B196" s="270"/>
      <c r="C196" s="201">
        <f>'666'!C$343*C66</f>
        <v>4141225</v>
      </c>
    </row>
    <row r="197" spans="1:3" ht="15.75" thickBot="1" x14ac:dyDescent="0.3">
      <c r="B197" s="219"/>
    </row>
    <row r="198" spans="1:3" ht="15.75" thickBot="1" x14ac:dyDescent="0.3">
      <c r="B198" s="220" t="s">
        <v>395</v>
      </c>
    </row>
    <row r="199" spans="1:3" x14ac:dyDescent="0.25">
      <c r="A199" s="270" t="str">
        <f>"Затраты на элктроэнергию на "&amp;E56&amp;" шаге = Затраты на элктроэнергию * Объем реализации = "&amp;'666'!C$343&amp;" * "&amp;C69&amp;" = "</f>
        <v xml:space="preserve">Затраты на элктроэнергию на 0 шаге = Затраты на элктроэнергию * Объем реализации = 13,69 * 0 = </v>
      </c>
      <c r="B199" s="270"/>
      <c r="C199" s="201">
        <f>'666'!C$343*C69</f>
        <v>0</v>
      </c>
    </row>
    <row r="200" spans="1:3" x14ac:dyDescent="0.25">
      <c r="A200" s="270" t="str">
        <f>"Затраты на элктроэнергию на "&amp;E57&amp;" шаге = Затраты на элктроэнергию * Объем реализации = "&amp;'666'!C$343&amp;" * "&amp;C70&amp;" = "</f>
        <v xml:space="preserve">Затраты на элктроэнергию на 1 шаге = Затраты на элктроэнергию * Объем реализации = 13,69 * 0 = </v>
      </c>
      <c r="B200" s="270"/>
      <c r="C200" s="201">
        <f>'666'!C$343*C70</f>
        <v>0</v>
      </c>
    </row>
    <row r="201" spans="1:3" x14ac:dyDescent="0.25">
      <c r="A201" s="270" t="str">
        <f>"Затраты на элктроэнергию на "&amp;E58&amp;" шаге = Затраты на элктроэнергию * Объем реализации = "&amp;'666'!C$343&amp;" * "&amp;C71&amp;" = "</f>
        <v xml:space="preserve">Затраты на элктроэнергию на 2 шаге = Затраты на элктроэнергию * Объем реализации = 13,69 * 49500 = </v>
      </c>
      <c r="B201" s="270"/>
      <c r="C201" s="201">
        <f>'666'!C$343*C71</f>
        <v>677655</v>
      </c>
    </row>
    <row r="202" spans="1:3" x14ac:dyDescent="0.25">
      <c r="A202" s="270" t="str">
        <f>"Затраты на элктроэнергию на "&amp;E59&amp;" шаге = Затраты на элктроэнергию * Объем реализации = "&amp;'666'!C$343&amp;" * "&amp;C72&amp;" = "</f>
        <v xml:space="preserve">Затраты на элктроэнергию на 3 шаге = Затраты на элктроэнергию * Объем реализации = 13,69 * 99000 = </v>
      </c>
      <c r="B202" s="270"/>
      <c r="C202" s="201">
        <f>'666'!C$343*C72</f>
        <v>1355310</v>
      </c>
    </row>
    <row r="203" spans="1:3" x14ac:dyDescent="0.25">
      <c r="A203" s="270" t="str">
        <f>"Затраты на элктроэнергию на "&amp;E60&amp;" шаге = Затраты на элктроэнергию * Объем реализации = "&amp;'666'!C$343&amp;" * "&amp;C73&amp;" = "</f>
        <v xml:space="preserve">Затраты на элктроэнергию на 4 шаге = Затраты на элктроэнергию * Объем реализации = 13,69 * 173250 = </v>
      </c>
      <c r="B203" s="270"/>
      <c r="C203" s="201">
        <f>'666'!C$343*C73</f>
        <v>2371792.5</v>
      </c>
    </row>
    <row r="204" spans="1:3" x14ac:dyDescent="0.25">
      <c r="A204" s="270" t="str">
        <f>"Затраты на элктроэнергию на "&amp;E61&amp;" шаге = Затраты на элктроэнергию * Объем реализации = "&amp;'666'!C$343&amp;" * "&amp;C74&amp;" = "</f>
        <v xml:space="preserve">Затраты на элктроэнергию на 5 шаге = Затраты на элктроэнергию * Объем реализации = 13,69 * 222750 = </v>
      </c>
      <c r="B204" s="270"/>
      <c r="C204" s="201">
        <f>'666'!C$343*C74</f>
        <v>3049447.5</v>
      </c>
    </row>
    <row r="205" spans="1:3" x14ac:dyDescent="0.25">
      <c r="A205" s="270" t="str">
        <f>"Затраты на элктроэнергию на "&amp;E62&amp;" шаге = Затраты на элктроэнергию * Объем реализации = "&amp;'666'!C$343&amp;" * "&amp;C75&amp;" = "</f>
        <v xml:space="preserve">Затраты на элктроэнергию на 6 шаге = Затраты на элктроэнергию * Объем реализации = 13,69 * 247500 = </v>
      </c>
      <c r="B205" s="270"/>
      <c r="C205" s="201">
        <f>'666'!C$343*C75</f>
        <v>3388275</v>
      </c>
    </row>
    <row r="206" spans="1:3" x14ac:dyDescent="0.25">
      <c r="A206" s="270" t="str">
        <f>"Затраты на элктроэнергию на "&amp;E63&amp;" шаге = Затраты на элктроэнергию * Объем реализации = "&amp;'666'!C$343&amp;" * "&amp;C76&amp;" = "</f>
        <v xml:space="preserve">Затраты на элктроэнергию на 7 шаге = Затраты на элктроэнергию * Объем реализации = 13,69 * 247500 = </v>
      </c>
      <c r="B206" s="270"/>
      <c r="C206" s="201">
        <f>'666'!C$343*C76</f>
        <v>3388275</v>
      </c>
    </row>
    <row r="207" spans="1:3" x14ac:dyDescent="0.25">
      <c r="A207" s="270" t="str">
        <f>"Затраты на элктроэнергию на "&amp;E64&amp;" шаге = Затраты на элктроэнергию * Объем реализации = "&amp;'666'!C$343&amp;" * "&amp;C77&amp;" = "</f>
        <v xml:space="preserve">Затраты на элктроэнергию на 8 шаге = Затраты на элктроэнергию * Объем реализации = 13,69 * 247500 = </v>
      </c>
      <c r="B207" s="270"/>
      <c r="C207" s="201">
        <f>'666'!C$343*C77</f>
        <v>3388275</v>
      </c>
    </row>
    <row r="208" spans="1:3" x14ac:dyDescent="0.25">
      <c r="A208" s="270" t="str">
        <f>"Затраты на элктроэнергию на "&amp;E65&amp;" шаге = Затраты на элктроэнергию * Объем реализации = "&amp;'666'!C$343&amp;" * "&amp;C78&amp;" = "</f>
        <v xml:space="preserve">Затраты на элктроэнергию на 9 шаге = Затраты на элктроэнергию * Объем реализации = 13,69 * 247500 = </v>
      </c>
      <c r="B208" s="270"/>
      <c r="C208" s="201">
        <f>'666'!C$343*C78</f>
        <v>3388275</v>
      </c>
    </row>
    <row r="209" spans="1:3" x14ac:dyDescent="0.25">
      <c r="A209" s="270" t="str">
        <f>"Затраты на элктроэнергию на "&amp;E66&amp;" шаге = Затраты на элктроэнергию * Объем реализации = "&amp;'666'!C$343&amp;" * "&amp;C79&amp;" = "</f>
        <v xml:space="preserve">Затраты на элктроэнергию на 10 шаге = Затраты на элктроэнергию * Объем реализации = 13,69 * 247500 = </v>
      </c>
      <c r="B209" s="270"/>
      <c r="C209" s="201">
        <f>'666'!C$343*C79</f>
        <v>3388275</v>
      </c>
    </row>
    <row r="210" spans="1:3" ht="15.75" thickBot="1" x14ac:dyDescent="0.3">
      <c r="B210" s="219"/>
    </row>
    <row r="211" spans="1:3" ht="15.75" thickBot="1" x14ac:dyDescent="0.3">
      <c r="B211" s="221" t="s">
        <v>394</v>
      </c>
    </row>
    <row r="212" spans="1:3" x14ac:dyDescent="0.25">
      <c r="A212" s="270" t="str">
        <f>"Оплату труда производственного труда на "&amp;E56&amp;" шаге =  "&amp;'666'!A$345&amp;" * Объем реализации = "&amp;'666'!C$345&amp;" * "&amp;C56&amp;" ="</f>
        <v>Оплату труда производственного труда на 0 шаге =  Оплата труда с начислением на изделие * Объем реализации = 54,46 * 0 =</v>
      </c>
      <c r="B212" s="270"/>
      <c r="C212" s="201">
        <f>'666'!C$345*C56</f>
        <v>0</v>
      </c>
    </row>
    <row r="213" spans="1:3" x14ac:dyDescent="0.25">
      <c r="A213" s="270" t="str">
        <f>"Оплату труда производственного труда на "&amp;E57&amp;" шаге =  "&amp;'666'!A$345&amp;" * Объем реализации = "&amp;'666'!C$345&amp;" * "&amp;C57&amp;" ="</f>
        <v>Оплату труда производственного труда на 1 шаге =  Оплата труда с начислением на изделие * Объем реализации = 54,46 * 0 =</v>
      </c>
      <c r="B213" s="270"/>
      <c r="C213" s="201">
        <f>'666'!C$345*C57</f>
        <v>0</v>
      </c>
    </row>
    <row r="214" spans="1:3" x14ac:dyDescent="0.25">
      <c r="A214" s="270" t="str">
        <f>"Оплату труда производственного труда на "&amp;E58&amp;" шаге =  "&amp;'666'!A$345&amp;" * Объем реализации = "&amp;'666'!C$345&amp;" * "&amp;C58&amp;" ="</f>
        <v>Оплату труда производственного труда на 2 шаге =  Оплата труда с начислением на изделие * Объем реализации = 54,46 * 60500 =</v>
      </c>
      <c r="B214" s="270"/>
      <c r="C214" s="201">
        <f>'666'!C$345*C58</f>
        <v>3294830.0000000005</v>
      </c>
    </row>
    <row r="215" spans="1:3" x14ac:dyDescent="0.25">
      <c r="A215" s="270" t="str">
        <f>"Оплату труда производственного труда на "&amp;E59&amp;" шаге =  "&amp;'666'!A$345&amp;" * Объем реализации = "&amp;'666'!C$345&amp;" * "&amp;C59&amp;" ="</f>
        <v>Оплату труда производственного труда на 3 шаге =  Оплата труда с начислением на изделие * Объем реализации = 54,46 * 121000 =</v>
      </c>
      <c r="B215" s="270"/>
      <c r="C215" s="201">
        <f>'666'!C$345*C59</f>
        <v>6589660.0000000009</v>
      </c>
    </row>
    <row r="216" spans="1:3" x14ac:dyDescent="0.25">
      <c r="A216" s="270" t="str">
        <f>"Оплату труда производственного труда на "&amp;E60&amp;" шаге =  "&amp;'666'!A$345&amp;" * Объем реализации = "&amp;'666'!C$345&amp;" * "&amp;C60&amp;" ="</f>
        <v>Оплату труда производственного труда на 4 шаге =  Оплата труда с начислением на изделие * Объем реализации = 54,46 * 211750 =</v>
      </c>
      <c r="B216" s="270"/>
      <c r="C216" s="201">
        <f>'666'!C$345*C60</f>
        <v>11531905.000000002</v>
      </c>
    </row>
    <row r="217" spans="1:3" x14ac:dyDescent="0.25">
      <c r="A217" s="270" t="str">
        <f>"Оплату труда производственного труда на "&amp;E61&amp;" шаге =  "&amp;'666'!A$345&amp;" * Объем реализации = "&amp;'666'!C$345&amp;" * "&amp;C61&amp;" ="</f>
        <v>Оплату труда производственного труда на 5 шаге =  Оплата труда с начислением на изделие * Объем реализации = 54,46 * 272250 =</v>
      </c>
      <c r="B217" s="270"/>
      <c r="C217" s="201">
        <f>'666'!C$345*C61</f>
        <v>14826735</v>
      </c>
    </row>
    <row r="218" spans="1:3" x14ac:dyDescent="0.25">
      <c r="A218" s="270" t="str">
        <f>"Оплату труда производственного труда на "&amp;E62&amp;" шаге =  "&amp;'666'!A$345&amp;" * Объем реализации = "&amp;'666'!C$345&amp;" * "&amp;C62&amp;" ="</f>
        <v>Оплату труда производственного труда на 6 шаге =  Оплата труда с начислением на изделие * Объем реализации = 54,46 * 302500 =</v>
      </c>
      <c r="B218" s="270"/>
      <c r="C218" s="201">
        <f>'666'!C$345*C62</f>
        <v>16474150</v>
      </c>
    </row>
    <row r="219" spans="1:3" x14ac:dyDescent="0.25">
      <c r="A219" s="270" t="str">
        <f>"Оплату труда производственного труда на "&amp;E63&amp;" шаге =  "&amp;'666'!A$345&amp;" * Объем реализации = "&amp;'666'!C$345&amp;" * "&amp;C63&amp;" ="</f>
        <v>Оплату труда производственного труда на 7 шаге =  Оплата труда с начислением на изделие * Объем реализации = 54,46 * 302500 =</v>
      </c>
      <c r="B219" s="270"/>
      <c r="C219" s="201">
        <f>'666'!C$345*C63</f>
        <v>16474150</v>
      </c>
    </row>
    <row r="220" spans="1:3" x14ac:dyDescent="0.25">
      <c r="A220" s="270" t="str">
        <f>"Оплату труда производственного труда на "&amp;E64&amp;" шаге =  "&amp;'666'!A$345&amp;" * Объем реализации = "&amp;'666'!C$345&amp;" * "&amp;C64&amp;" ="</f>
        <v>Оплату труда производственного труда на 8 шаге =  Оплата труда с начислением на изделие * Объем реализации = 54,46 * 302500 =</v>
      </c>
      <c r="B220" s="270"/>
      <c r="C220" s="201">
        <f>'666'!C$345*C64</f>
        <v>16474150</v>
      </c>
    </row>
    <row r="221" spans="1:3" x14ac:dyDescent="0.25">
      <c r="A221" s="270" t="str">
        <f>"Оплату труда производственного труда на "&amp;E65&amp;" шаге =  "&amp;'666'!A$345&amp;" * Объем реализации = "&amp;'666'!C$345&amp;" * "&amp;C65&amp;" ="</f>
        <v>Оплату труда производственного труда на 9 шаге =  Оплата труда с начислением на изделие * Объем реализации = 54,46 * 302500 =</v>
      </c>
      <c r="B221" s="270"/>
      <c r="C221" s="201">
        <f>'666'!C$345*C65</f>
        <v>16474150</v>
      </c>
    </row>
    <row r="222" spans="1:3" x14ac:dyDescent="0.25">
      <c r="A222" s="270" t="str">
        <f>"Оплату труда производственного труда на "&amp;E66&amp;" шаге =  "&amp;'666'!A$345&amp;" * Объем реализации = "&amp;'666'!C$345&amp;" * "&amp;C66&amp;" ="</f>
        <v>Оплату труда производственного труда на 10 шаге =  Оплата труда с начислением на изделие * Объем реализации = 54,46 * 302500 =</v>
      </c>
      <c r="B222" s="270"/>
      <c r="C222" s="201">
        <f>'666'!C$345*C66</f>
        <v>16474150</v>
      </c>
    </row>
    <row r="223" spans="1:3" ht="15.75" thickBot="1" x14ac:dyDescent="0.3">
      <c r="B223" s="219"/>
    </row>
    <row r="224" spans="1:3" ht="15.75" thickBot="1" x14ac:dyDescent="0.3">
      <c r="B224" s="220" t="s">
        <v>395</v>
      </c>
    </row>
    <row r="225" spans="1:3" x14ac:dyDescent="0.25">
      <c r="A225" s="270" t="str">
        <f>"Оплату труда производственного труда на "&amp;E56&amp;" шаге =  "&amp;'666'!A$345&amp;" * Объем реализации = "&amp;'666'!C$345&amp;" * "&amp;C69&amp;" ="</f>
        <v>Оплату труда производственного труда на 0 шаге =  Оплата труда с начислением на изделие * Объем реализации = 54,46 * 0 =</v>
      </c>
      <c r="B225" s="270"/>
      <c r="C225" s="201">
        <f>'666'!C$345*C69</f>
        <v>0</v>
      </c>
    </row>
    <row r="226" spans="1:3" x14ac:dyDescent="0.25">
      <c r="A226" s="270" t="str">
        <f>"Оплату труда производственного труда на "&amp;E57&amp;" шаге =  "&amp;'666'!A$345&amp;" * Объем реализации = "&amp;'666'!C$345&amp;" * "&amp;C70&amp;" ="</f>
        <v>Оплату труда производственного труда на 1 шаге =  Оплата труда с начислением на изделие * Объем реализации = 54,46 * 0 =</v>
      </c>
      <c r="B226" s="270"/>
      <c r="C226" s="201">
        <f>'666'!C$345*C70</f>
        <v>0</v>
      </c>
    </row>
    <row r="227" spans="1:3" x14ac:dyDescent="0.25">
      <c r="A227" s="270" t="str">
        <f>"Оплату труда производственного труда на "&amp;E58&amp;" шаге =  "&amp;'666'!A$345&amp;" * Объем реализации = "&amp;'666'!C$345&amp;" * "&amp;C71&amp;" ="</f>
        <v>Оплату труда производственного труда на 2 шаге =  Оплата труда с начислением на изделие * Объем реализации = 54,46 * 49500 =</v>
      </c>
      <c r="B227" s="270"/>
      <c r="C227" s="201">
        <f>'666'!C$345*C71</f>
        <v>2695770</v>
      </c>
    </row>
    <row r="228" spans="1:3" x14ac:dyDescent="0.25">
      <c r="A228" s="270" t="str">
        <f>"Оплату труда производственного труда на "&amp;E59&amp;" шаге =  "&amp;'666'!A$345&amp;" * Объем реализации = "&amp;'666'!C$345&amp;" * "&amp;C72&amp;" ="</f>
        <v>Оплату труда производственного труда на 3 шаге =  Оплата труда с начислением на изделие * Объем реализации = 54,46 * 99000 =</v>
      </c>
      <c r="B228" s="270"/>
      <c r="C228" s="201">
        <f>'666'!C$345*C72</f>
        <v>5391540</v>
      </c>
    </row>
    <row r="229" spans="1:3" x14ac:dyDescent="0.25">
      <c r="A229" s="270" t="str">
        <f>"Оплату труда производственного труда на "&amp;E60&amp;" шаге =  "&amp;'666'!A$345&amp;" * Объем реализации = "&amp;'666'!C$345&amp;" * "&amp;C73&amp;" ="</f>
        <v>Оплату труда производственного труда на 4 шаге =  Оплата труда с начислением на изделие * Объем реализации = 54,46 * 173250 =</v>
      </c>
      <c r="B229" s="270"/>
      <c r="C229" s="201">
        <f>'666'!C$345*C73</f>
        <v>9435195</v>
      </c>
    </row>
    <row r="230" spans="1:3" x14ac:dyDescent="0.25">
      <c r="A230" s="270" t="str">
        <f>"Оплату труда производственного труда на "&amp;E61&amp;" шаге =  "&amp;'666'!A$345&amp;" * Объем реализации = "&amp;'666'!C$345&amp;" * "&amp;C74&amp;" ="</f>
        <v>Оплату труда производственного труда на 5 шаге =  Оплата труда с начислением на изделие * Объем реализации = 54,46 * 222750 =</v>
      </c>
      <c r="B230" s="270"/>
      <c r="C230" s="201">
        <f>'666'!C$345*C74</f>
        <v>12130965</v>
      </c>
    </row>
    <row r="231" spans="1:3" x14ac:dyDescent="0.25">
      <c r="A231" s="270" t="str">
        <f>"Оплату труда производственного труда на "&amp;E62&amp;" шаге =  "&amp;'666'!A$345&amp;" * Объем реализации = "&amp;'666'!C$345&amp;" * "&amp;C75&amp;" ="</f>
        <v>Оплату труда производственного труда на 6 шаге =  Оплата труда с начислением на изделие * Объем реализации = 54,46 * 247500 =</v>
      </c>
      <c r="B231" s="270"/>
      <c r="C231" s="201">
        <f>'666'!C$345*C75</f>
        <v>13478850</v>
      </c>
    </row>
    <row r="232" spans="1:3" x14ac:dyDescent="0.25">
      <c r="A232" s="270" t="str">
        <f>"Оплату труда производственного труда на "&amp;E63&amp;" шаге =  "&amp;'666'!A$345&amp;" * Объем реализации = "&amp;'666'!C$345&amp;" * "&amp;C76&amp;" ="</f>
        <v>Оплату труда производственного труда на 7 шаге =  Оплата труда с начислением на изделие * Объем реализации = 54,46 * 247500 =</v>
      </c>
      <c r="B232" s="270"/>
      <c r="C232" s="201">
        <f>'666'!C$345*C76</f>
        <v>13478850</v>
      </c>
    </row>
    <row r="233" spans="1:3" x14ac:dyDescent="0.25">
      <c r="A233" s="270" t="str">
        <f>"Оплату труда производственного труда на "&amp;E64&amp;" шаге =  "&amp;'666'!A$345&amp;" * Объем реализации = "&amp;'666'!C$345&amp;" * "&amp;C77&amp;" ="</f>
        <v>Оплату труда производственного труда на 8 шаге =  Оплата труда с начислением на изделие * Объем реализации = 54,46 * 247500 =</v>
      </c>
      <c r="B233" s="270"/>
      <c r="C233" s="201">
        <f>'666'!C$345*C77</f>
        <v>13478850</v>
      </c>
    </row>
    <row r="234" spans="1:3" x14ac:dyDescent="0.25">
      <c r="A234" s="270" t="str">
        <f>"Оплату труда производственного труда на "&amp;E65&amp;" шаге =  "&amp;'666'!A$345&amp;" * Объем реализации = "&amp;'666'!C$345&amp;" * "&amp;C78&amp;" ="</f>
        <v>Оплату труда производственного труда на 9 шаге =  Оплата труда с начислением на изделие * Объем реализации = 54,46 * 247500 =</v>
      </c>
      <c r="B234" s="270"/>
      <c r="C234" s="201">
        <f>'666'!C$345*C78</f>
        <v>13478850</v>
      </c>
    </row>
    <row r="235" spans="1:3" x14ac:dyDescent="0.25">
      <c r="A235" s="270" t="str">
        <f>"Оплату труда производственного труда на "&amp;E66&amp;" шаге =  "&amp;'666'!A$345&amp;" * Объем реализации = "&amp;'666'!C$345&amp;" * "&amp;C79&amp;" ="</f>
        <v>Оплату труда производственного труда на 10 шаге =  Оплата труда с начислением на изделие * Объем реализации = 54,46 * 247500 =</v>
      </c>
      <c r="B235" s="270"/>
      <c r="C235" s="201">
        <f>'666'!C$345*C79</f>
        <v>13478850</v>
      </c>
    </row>
    <row r="236" spans="1:3" ht="15.75" thickBot="1" x14ac:dyDescent="0.3">
      <c r="B236" s="219"/>
    </row>
    <row r="237" spans="1:3" ht="15.75" thickBot="1" x14ac:dyDescent="0.3">
      <c r="B237" s="221" t="s">
        <v>394</v>
      </c>
    </row>
    <row r="238" spans="1:3" x14ac:dyDescent="0.25">
      <c r="B238" s="219" t="str">
        <f>"Итого переменных издержек на "&amp;E56&amp;"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38" s="201">
        <f>C160+C186+C212</f>
        <v>0</v>
      </c>
    </row>
    <row r="239" spans="1:3" x14ac:dyDescent="0.25">
      <c r="B239" s="219" t="str">
        <f>"Итого переменных издержек на "&amp;E57&amp;"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39" s="201">
        <f t="shared" ref="C239:C248" si="39">C161+C187+C213</f>
        <v>0</v>
      </c>
    </row>
    <row r="240" spans="1:3" x14ac:dyDescent="0.25">
      <c r="B240" s="219" t="str">
        <f>"Итого переменных издержек на "&amp;E58&amp;"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40" s="201">
        <f t="shared" si="39"/>
        <v>25593315.000000004</v>
      </c>
    </row>
    <row r="241" spans="2:3" x14ac:dyDescent="0.25">
      <c r="B241" s="219" t="str">
        <f>"Итого переменных издержек на "&amp;E59&amp;"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41" s="201">
        <f t="shared" si="39"/>
        <v>51186630.000000007</v>
      </c>
    </row>
    <row r="242" spans="2:3" x14ac:dyDescent="0.25">
      <c r="B242" s="219" t="str">
        <f>"Итого переменных издержек на "&amp;E60&amp;"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42" s="201">
        <f t="shared" si="39"/>
        <v>89576602.500000015</v>
      </c>
    </row>
    <row r="243" spans="2:3" x14ac:dyDescent="0.25">
      <c r="B243" s="219" t="str">
        <f>"Итого переменных издержек на "&amp;E61&amp;"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43" s="201">
        <f t="shared" si="39"/>
        <v>115169917.5</v>
      </c>
    </row>
    <row r="244" spans="2:3" x14ac:dyDescent="0.25">
      <c r="B244" s="219" t="str">
        <f>"Итого переменных издержек на "&amp;E62&amp;"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44" s="201">
        <f t="shared" si="39"/>
        <v>127966575</v>
      </c>
    </row>
    <row r="245" spans="2:3" x14ac:dyDescent="0.25">
      <c r="B245" s="219" t="str">
        <f>"Итого переменных издержек на "&amp;E63&amp;"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45" s="201">
        <f t="shared" si="39"/>
        <v>127966575</v>
      </c>
    </row>
    <row r="246" spans="2:3" x14ac:dyDescent="0.25">
      <c r="B246" s="219" t="str">
        <f>"Итого переменных издержек на "&amp;E64&amp;"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46" s="201">
        <f t="shared" si="39"/>
        <v>127966575</v>
      </c>
    </row>
    <row r="247" spans="2:3" x14ac:dyDescent="0.25">
      <c r="B247" s="219" t="str">
        <f>"Итого переменных издержек на "&amp;E65&amp;"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47" s="201">
        <f t="shared" si="39"/>
        <v>127966575</v>
      </c>
    </row>
    <row r="248" spans="2:3" x14ac:dyDescent="0.25">
      <c r="B248" s="219" t="str">
        <f>"Итого переменных издержек на "&amp;E66&amp;"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48" s="201">
        <f t="shared" si="39"/>
        <v>127966575</v>
      </c>
    </row>
    <row r="249" spans="2:3" ht="15.75" thickBot="1" x14ac:dyDescent="0.3">
      <c r="B249" s="219"/>
    </row>
    <row r="250" spans="2:3" ht="15.75" thickBot="1" x14ac:dyDescent="0.3">
      <c r="B250" s="220" t="s">
        <v>395</v>
      </c>
    </row>
    <row r="251" spans="2:3" x14ac:dyDescent="0.25">
      <c r="B251" s="219" t="str">
        <f>"Итого переменных издержек на "&amp;E56&amp;"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51" s="201">
        <f>C173+C199+C225</f>
        <v>0</v>
      </c>
    </row>
    <row r="252" spans="2:3" x14ac:dyDescent="0.25">
      <c r="B252" s="219" t="str">
        <f>"Итого переменных издержек на "&amp;E57&amp;"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52" s="201">
        <f t="shared" ref="C252:C261" si="40">C174+C200+C226</f>
        <v>0</v>
      </c>
    </row>
    <row r="253" spans="2:3" x14ac:dyDescent="0.25">
      <c r="B253" s="219" t="str">
        <f>"Итого переменных издержек на "&amp;E58&amp;"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53" s="201">
        <f t="shared" si="40"/>
        <v>20939985</v>
      </c>
    </row>
    <row r="254" spans="2:3" x14ac:dyDescent="0.25">
      <c r="B254" s="219" t="str">
        <f>"Итого переменных издержек на "&amp;E59&amp;"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54" s="201">
        <f t="shared" si="40"/>
        <v>41879970</v>
      </c>
    </row>
    <row r="255" spans="2:3" x14ac:dyDescent="0.25">
      <c r="B255" s="219" t="str">
        <f>"Итого переменных издержек на "&amp;E60&amp;"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55" s="201">
        <f t="shared" si="40"/>
        <v>73289947.5</v>
      </c>
    </row>
    <row r="256" spans="2:3" x14ac:dyDescent="0.25">
      <c r="B256" s="219" t="str">
        <f>"Итого переменных издержек на "&amp;E61&amp;"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56" s="201">
        <f t="shared" si="40"/>
        <v>94229932.5</v>
      </c>
    </row>
    <row r="257" spans="2:3" x14ac:dyDescent="0.25">
      <c r="B257" s="219" t="str">
        <f>"Итого переменных издержек на "&amp;E62&amp;"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57" s="201">
        <f t="shared" si="40"/>
        <v>104699925</v>
      </c>
    </row>
    <row r="258" spans="2:3" x14ac:dyDescent="0.25">
      <c r="B258" s="219" t="str">
        <f>"Итого переменных издержек на "&amp;E63&amp;"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58" s="201">
        <f t="shared" si="40"/>
        <v>104699925</v>
      </c>
    </row>
    <row r="259" spans="2:3" x14ac:dyDescent="0.25">
      <c r="B259" s="219" t="str">
        <f>"Итого переменных издержек на "&amp;E64&amp;"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59" s="201">
        <f t="shared" si="40"/>
        <v>104699925</v>
      </c>
    </row>
    <row r="260" spans="2:3" x14ac:dyDescent="0.25">
      <c r="B260" s="219" t="str">
        <f>"Итого переменных издержек на "&amp;E65&amp;"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60" s="201">
        <f t="shared" si="40"/>
        <v>104699925</v>
      </c>
    </row>
    <row r="261" spans="2:3" x14ac:dyDescent="0.25">
      <c r="B261" s="219" t="str">
        <f>"Итого переменных издержек на "&amp;E66&amp;"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61" s="201">
        <f t="shared" si="40"/>
        <v>104699925</v>
      </c>
    </row>
    <row r="262" spans="2:3" ht="15.75" thickBot="1" x14ac:dyDescent="0.3">
      <c r="B262" s="219"/>
    </row>
    <row r="263" spans="2:3" ht="15.75" thickBot="1" x14ac:dyDescent="0.3">
      <c r="B263" s="221" t="s">
        <v>394</v>
      </c>
    </row>
    <row r="264" spans="2:3" x14ac:dyDescent="0.25">
      <c r="B264" s="219" t="str">
        <f>"Прибыль налогообложения на "&amp;E56&amp;"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64" s="201">
        <f>C134-(C251+D$23+D$24)</f>
        <v>0</v>
      </c>
    </row>
    <row r="265" spans="2:3" x14ac:dyDescent="0.25">
      <c r="B265" s="219" t="str">
        <f>"Прибыль налогообложения на "&amp;E57&amp;"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65" s="201">
        <f>C135-(C252+E$23+E$24)</f>
        <v>0</v>
      </c>
    </row>
    <row r="266" spans="2:3" x14ac:dyDescent="0.25">
      <c r="B266" s="219" t="str">
        <f>"Прибыль налогообложения на "&amp;E58&amp;"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66" s="201">
        <f>C136-(C240+F$23+F$24)</f>
        <v>-15991316.428648978</v>
      </c>
    </row>
    <row r="267" spans="2:3" x14ac:dyDescent="0.25">
      <c r="B267" s="219" t="str">
        <f>"Прибыль налогообложения на "&amp;E59&amp;"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67" s="201">
        <f>C137-(C241+F$23+F$24)</f>
        <v>8684818.5713510066</v>
      </c>
    </row>
    <row r="268" spans="2:3" x14ac:dyDescent="0.25">
      <c r="B268" s="219" t="str">
        <f>"Прибыль налогообложения на "&amp;E60&amp;"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68" s="201">
        <f t="shared" ref="C268:C274" si="41">C138-(C242+F$23+F$24)</f>
        <v>45699021.071351007</v>
      </c>
    </row>
    <row r="269" spans="2:3" x14ac:dyDescent="0.25">
      <c r="B269" s="219" t="str">
        <f>"Прибыль налогообложения на "&amp;E61&amp;"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69" s="201">
        <f t="shared" si="41"/>
        <v>70375156.071350992</v>
      </c>
    </row>
    <row r="270" spans="2:3" x14ac:dyDescent="0.25">
      <c r="B270" s="219" t="str">
        <f>"Прибыль налогообложения на "&amp;E62&amp;"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70" s="201">
        <f t="shared" si="41"/>
        <v>82713223.571350992</v>
      </c>
    </row>
    <row r="271" spans="2:3" x14ac:dyDescent="0.25">
      <c r="B271" s="219" t="str">
        <f>"Прибыль налогообложения на "&amp;E63&amp;"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71" s="201">
        <f t="shared" si="41"/>
        <v>82713223.571350992</v>
      </c>
    </row>
    <row r="272" spans="2:3" x14ac:dyDescent="0.25">
      <c r="B272" s="219" t="str">
        <f>"Прибыль налогообложения на "&amp;E64&amp;"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72" s="201">
        <f t="shared" si="41"/>
        <v>82713223.571350992</v>
      </c>
    </row>
    <row r="273" spans="2:3" x14ac:dyDescent="0.25">
      <c r="B273" s="219" t="str">
        <f>"Прибыль налогообложения на "&amp;E65&amp;"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73" s="201">
        <f t="shared" si="41"/>
        <v>82713223.571350992</v>
      </c>
    </row>
    <row r="274" spans="2:3" x14ac:dyDescent="0.25">
      <c r="B274" s="219" t="str">
        <f>"Прибыль налогообложения на "&amp;E66&amp;"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74" s="201">
        <f t="shared" si="41"/>
        <v>82713223.571350992</v>
      </c>
    </row>
    <row r="275" spans="2:3" ht="15.75" thickBot="1" x14ac:dyDescent="0.3">
      <c r="B275" s="219"/>
    </row>
    <row r="276" spans="2:3" ht="15.75" thickBot="1" x14ac:dyDescent="0.3">
      <c r="B276" s="220" t="s">
        <v>395</v>
      </c>
    </row>
    <row r="277" spans="2:3" x14ac:dyDescent="0.25">
      <c r="B277" s="219" t="str">
        <f>"Прибыль налогообложения на "&amp;E56&amp;"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77" s="201">
        <f>C147-(C264+D$23+D$24)</f>
        <v>0</v>
      </c>
    </row>
    <row r="278" spans="2:3" x14ac:dyDescent="0.25">
      <c r="B278" s="219" t="str">
        <f>"Прибыль налогообложения на "&amp;E57&amp;"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78" s="201">
        <f>C148-(C265+E$23+E$24)</f>
        <v>0</v>
      </c>
    </row>
    <row r="279" spans="2:3" x14ac:dyDescent="0.25">
      <c r="B279" s="219" t="str">
        <f>"Прибыль налогообложения на "&amp;E58&amp;"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79" s="201">
        <f>C149-(C253+F$23+F$24)</f>
        <v>-20477886.428648978</v>
      </c>
    </row>
    <row r="280" spans="2:3" x14ac:dyDescent="0.25">
      <c r="B280" s="219" t="str">
        <f>"Прибыль налогообложения на "&amp;E59&amp;"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80" s="201">
        <f>C150-(C254+F$23+F$24)</f>
        <v>-288321.42864897847</v>
      </c>
    </row>
    <row r="281" spans="2:3" x14ac:dyDescent="0.25">
      <c r="B281" s="219" t="str">
        <f>"Прибыль налогообложения на "&amp;E60&amp;"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81" s="201">
        <f t="shared" ref="C281:C287" si="42">C151-(C255+F$23+F$24)</f>
        <v>29996026.071351022</v>
      </c>
    </row>
    <row r="282" spans="2:3" x14ac:dyDescent="0.25">
      <c r="B282" s="219" t="str">
        <f>"Прибыль налогообложения на "&amp;E61&amp;"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82" s="201">
        <f t="shared" si="42"/>
        <v>50185591.071350992</v>
      </c>
    </row>
    <row r="283" spans="2:3" x14ac:dyDescent="0.25">
      <c r="B283" s="219" t="str">
        <f>"Прибыль налогообложения на "&amp;E62&amp;"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83" s="201">
        <f t="shared" si="42"/>
        <v>60280373.571350962</v>
      </c>
    </row>
    <row r="284" spans="2:3" x14ac:dyDescent="0.25">
      <c r="B284" s="219" t="str">
        <f>"Прибыль налогообложения на "&amp;E63&amp;"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84" s="201">
        <f t="shared" si="42"/>
        <v>60280373.571350962</v>
      </c>
    </row>
    <row r="285" spans="2:3" x14ac:dyDescent="0.25">
      <c r="B285" s="219" t="str">
        <f>"Прибыль налогообложения на "&amp;E64&amp;"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85" s="201">
        <f t="shared" si="42"/>
        <v>60280373.571350962</v>
      </c>
    </row>
    <row r="286" spans="2:3" x14ac:dyDescent="0.25">
      <c r="B286" s="219" t="str">
        <f>"Прибыль налогообложения на "&amp;E65&amp;"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86" s="201">
        <f t="shared" si="42"/>
        <v>60280373.571350962</v>
      </c>
    </row>
    <row r="287" spans="2:3" x14ac:dyDescent="0.25">
      <c r="B287" s="219" t="str">
        <f>"Прибыль налогообложения на "&amp;E66&amp;"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87" s="201">
        <f t="shared" si="42"/>
        <v>60280373.571350962</v>
      </c>
    </row>
    <row r="288" spans="2:3" ht="15.75" thickBot="1" x14ac:dyDescent="0.3">
      <c r="B288" s="219"/>
    </row>
    <row r="289" spans="2:3" ht="15.75" thickBot="1" x14ac:dyDescent="0.3">
      <c r="B289" s="221" t="s">
        <v>394</v>
      </c>
    </row>
    <row r="290" spans="2:3" x14ac:dyDescent="0.25">
      <c r="B290" s="219" t="str">
        <f>"Налоги и сборы на "&amp;E56&amp;" шаге = 20% * Прибыль налогообложения = 20% * "&amp;ROUND(C277,2)&amp;" ="</f>
        <v>Налоги и сборы на 0 шаге = 20% * Прибыль налогообложения = 20% * 0 =</v>
      </c>
      <c r="C290" s="201">
        <f>20%*C277</f>
        <v>0</v>
      </c>
    </row>
    <row r="291" spans="2:3" x14ac:dyDescent="0.25">
      <c r="B291" s="219" t="str">
        <f>"Налоги и сборы на "&amp;E57&amp;" шаге = 20% * Прибыль налогообложения = 20% * "&amp;ROUND(C278,2)&amp;" ="</f>
        <v>Налоги и сборы на 1 шаге = 20% * Прибыль налогообложения = 20% * 0 =</v>
      </c>
      <c r="C291" s="201">
        <f t="shared" ref="C291" si="43">20%*C278</f>
        <v>0</v>
      </c>
    </row>
    <row r="292" spans="2:3" x14ac:dyDescent="0.25">
      <c r="B292" s="219" t="str">
        <f>"Налоги и сборы на "&amp;E58&amp;" шаге = 20% * Прибыль налогообложения = 20% * 0 ="</f>
        <v>Налоги и сборы на 2 шаге = 20% * Прибыль налогообложения = 20% * 0 =</v>
      </c>
      <c r="C292" s="201">
        <v>0</v>
      </c>
    </row>
    <row r="293" spans="2:3" x14ac:dyDescent="0.25">
      <c r="B293" s="219" t="str">
        <f>"Налоги и сборы на "&amp;E59&amp;" шаге = 20% * Прибыль налогообложения = 20% * 0 ="</f>
        <v>Налоги и сборы на 3 шаге = 20% * Прибыль налогообложения = 20% * 0 =</v>
      </c>
      <c r="C293" s="201">
        <f>C267*20%</f>
        <v>1736963.7142702015</v>
      </c>
    </row>
    <row r="294" spans="2:3" x14ac:dyDescent="0.25">
      <c r="B294" s="219" t="str">
        <f>"Налоги и сборы на "&amp;E60&amp;" шаге = 20% * Прибыль налогообложения = 20% * "&amp;ROUND(C281,2)&amp;" ="</f>
        <v>Налоги и сборы на 4 шаге = 20% * Прибыль налогообложения = 20% * 29996026,07 =</v>
      </c>
      <c r="C294" s="201">
        <f t="shared" ref="C294:C300" si="44">C268*20%</f>
        <v>9139804.2142702024</v>
      </c>
    </row>
    <row r="295" spans="2:3" x14ac:dyDescent="0.25">
      <c r="B295" s="219" t="str">
        <f>"Налоги и сборы на "&amp;E61&amp;" шаге = 20% * Прибыль налогообложения = 20% * "&amp;ROUND(C282,2)&amp;" ="</f>
        <v>Налоги и сборы на 5 шаге = 20% * Прибыль налогообложения = 20% * 50185591,07 =</v>
      </c>
      <c r="C295" s="201">
        <f t="shared" si="44"/>
        <v>14075031.214270199</v>
      </c>
    </row>
    <row r="296" spans="2:3" x14ac:dyDescent="0.25">
      <c r="B296" s="219" t="str">
        <f>"Налоги и сборы на "&amp;E62&amp;" шаге = 20% * Прибыль налогообложения = 20% * "&amp;ROUND(C283,2)&amp;" ="</f>
        <v>Налоги и сборы на 6 шаге = 20% * Прибыль налогообложения = 20% * 60280373,57 =</v>
      </c>
      <c r="C296" s="201">
        <f t="shared" si="44"/>
        <v>16542644.714270199</v>
      </c>
    </row>
    <row r="297" spans="2:3" x14ac:dyDescent="0.25">
      <c r="B297" s="219" t="str">
        <f>"Налоги и сборы на "&amp;E63&amp;" шаге = 20% * Прибыль налогообложения = 20% * "&amp;ROUND(C284,2)&amp;" ="</f>
        <v>Налоги и сборы на 7 шаге = 20% * Прибыль налогообложения = 20% * 60280373,57 =</v>
      </c>
      <c r="C297" s="201">
        <f t="shared" si="44"/>
        <v>16542644.714270199</v>
      </c>
    </row>
    <row r="298" spans="2:3" x14ac:dyDescent="0.25">
      <c r="B298" s="219" t="str">
        <f>"Налоги и сборы на "&amp;E64&amp;" шаге = 20% * Прибыль налогообложения = 20% * "&amp;ROUND(C285,2)&amp;" ="</f>
        <v>Налоги и сборы на 8 шаге = 20% * Прибыль налогообложения = 20% * 60280373,57 =</v>
      </c>
      <c r="C298" s="201">
        <f t="shared" si="44"/>
        <v>16542644.714270199</v>
      </c>
    </row>
    <row r="299" spans="2:3" x14ac:dyDescent="0.25">
      <c r="B299" s="219" t="str">
        <f>"Налоги и сборы на "&amp;E65&amp;" шаге = 20% * Прибыль налогообложения = 20% * "&amp;ROUND(C286,2)&amp;" ="</f>
        <v>Налоги и сборы на 9 шаге = 20% * Прибыль налогообложения = 20% * 60280373,57 =</v>
      </c>
      <c r="C299" s="201">
        <f t="shared" si="44"/>
        <v>16542644.714270199</v>
      </c>
    </row>
    <row r="300" spans="2:3" x14ac:dyDescent="0.25">
      <c r="B300" s="219" t="str">
        <f>"Налоги и сборы на "&amp;E66&amp;" шаге = 20% * Прибыль налогообложения = 20% * "&amp;ROUND(C287,2)&amp;" ="</f>
        <v>Налоги и сборы на 10 шаге = 20% * Прибыль налогообложения = 20% * 60280373,57 =</v>
      </c>
      <c r="C300" s="201">
        <f t="shared" si="44"/>
        <v>16542644.714270199</v>
      </c>
    </row>
    <row r="301" spans="2:3" ht="15.75" thickBot="1" x14ac:dyDescent="0.3">
      <c r="B301" s="219"/>
    </row>
    <row r="302" spans="2:3" ht="15.75" thickBot="1" x14ac:dyDescent="0.3">
      <c r="B302" s="220" t="s">
        <v>395</v>
      </c>
    </row>
    <row r="303" spans="2:3" x14ac:dyDescent="0.25">
      <c r="B303" s="219" t="str">
        <f>"Налоги и сборы на "&amp;E56&amp;" шаге = 20% * Прибыль налогообложения = 20% * "&amp;ROUND(C290,2)&amp;" ="</f>
        <v>Налоги и сборы на 0 шаге = 20% * Прибыль налогообложения = 20% * 0 =</v>
      </c>
      <c r="C303" s="201">
        <f>20%*C290</f>
        <v>0</v>
      </c>
    </row>
    <row r="304" spans="2:3" x14ac:dyDescent="0.25">
      <c r="B304" s="219" t="str">
        <f>"Налоги и сборы на "&amp;E57&amp;" шаге = 20% * Прибыль налогообложения = 20% * "&amp;ROUND(C291,2)&amp;" ="</f>
        <v>Налоги и сборы на 1 шаге = 20% * Прибыль налогообложения = 20% * 0 =</v>
      </c>
      <c r="C304" s="201">
        <f t="shared" ref="C304" si="45">20%*C291</f>
        <v>0</v>
      </c>
    </row>
    <row r="305" spans="2:3" x14ac:dyDescent="0.25">
      <c r="B305" s="219" t="str">
        <f>"Налоги и сборы на "&amp;E58&amp;" шаге = 20% * Прибыль налогообложения = 20% * "&amp;ROUND(C292,2)&amp;" ="</f>
        <v>Налоги и сборы на 2 шаге = 20% * Прибыль налогообложения = 20% * 0 =</v>
      </c>
      <c r="C305" s="201">
        <v>0</v>
      </c>
    </row>
    <row r="306" spans="2:3" x14ac:dyDescent="0.25">
      <c r="B306" s="219" t="str">
        <f>"Налоги и сборы на "&amp;E59&amp;" шаге = 20% * Прибыль налогообложения = 20% * "&amp;ROUND(C293,2)&amp;" ="</f>
        <v>Налоги и сборы на 3 шаге = 20% * Прибыль налогообложения = 20% * 1736963,71 =</v>
      </c>
      <c r="C306" s="201">
        <v>0</v>
      </c>
    </row>
    <row r="307" spans="2:3" x14ac:dyDescent="0.25">
      <c r="B307" s="219" t="str">
        <f>"Налоги и сборы на "&amp;E60&amp;" шаге = 20% * Прибыль налогообложения = 20% * "&amp;ROUND(C294,2)&amp;" ="</f>
        <v>Налоги и сборы на 4 шаге = 20% * Прибыль налогообложения = 20% * 9139804,21 =</v>
      </c>
      <c r="C307" s="201">
        <f t="shared" ref="C307:C313" si="46">20%*C281</f>
        <v>5999205.2142702043</v>
      </c>
    </row>
    <row r="308" spans="2:3" x14ac:dyDescent="0.25">
      <c r="B308" s="219" t="str">
        <f>"Налоги и сборы на "&amp;E61&amp;" шаге = 20% * Прибыль налогообложения = 20% * "&amp;ROUND(C295,2)&amp;" ="</f>
        <v>Налоги и сборы на 5 шаге = 20% * Прибыль налогообложения = 20% * 14075031,21 =</v>
      </c>
      <c r="C308" s="201">
        <f t="shared" si="46"/>
        <v>10037118.214270199</v>
      </c>
    </row>
    <row r="309" spans="2:3" x14ac:dyDescent="0.25">
      <c r="B309" s="219" t="str">
        <f>"Налоги и сборы на "&amp;E62&amp;" шаге = 20% * Прибыль налогообложения = 20% * "&amp;ROUND(C296,2)&amp;" ="</f>
        <v>Налоги и сборы на 6 шаге = 20% * Прибыль налогообложения = 20% * 16542644,71 =</v>
      </c>
      <c r="C309" s="201">
        <f t="shared" si="46"/>
        <v>12056074.714270193</v>
      </c>
    </row>
    <row r="310" spans="2:3" x14ac:dyDescent="0.25">
      <c r="B310" s="219" t="str">
        <f>"Налоги и сборы на "&amp;E63&amp;" шаге = 20% * Прибыль налогообложения = 20% * "&amp;ROUND(C297,2)&amp;" ="</f>
        <v>Налоги и сборы на 7 шаге = 20% * Прибыль налогообложения = 20% * 16542644,71 =</v>
      </c>
      <c r="C310" s="201">
        <f t="shared" si="46"/>
        <v>12056074.714270193</v>
      </c>
    </row>
    <row r="311" spans="2:3" x14ac:dyDescent="0.25">
      <c r="B311" s="219" t="str">
        <f>"Налоги и сборы на "&amp;E64&amp;" шаге = 20% * Прибыль налогообложения = 20% * "&amp;ROUND(C298,2)&amp;" ="</f>
        <v>Налоги и сборы на 8 шаге = 20% * Прибыль налогообложения = 20% * 16542644,71 =</v>
      </c>
      <c r="C311" s="201">
        <f t="shared" si="46"/>
        <v>12056074.714270193</v>
      </c>
    </row>
    <row r="312" spans="2:3" x14ac:dyDescent="0.25">
      <c r="B312" s="219" t="str">
        <f>"Налоги и сборы на "&amp;E65&amp;" шаге = 20% * Прибыль налогообложения = 20% * "&amp;ROUND(C299,2)&amp;" ="</f>
        <v>Налоги и сборы на 9 шаге = 20% * Прибыль налогообложения = 20% * 16542644,71 =</v>
      </c>
      <c r="C312" s="201">
        <f t="shared" si="46"/>
        <v>12056074.714270193</v>
      </c>
    </row>
    <row r="313" spans="2:3" x14ac:dyDescent="0.25">
      <c r="B313" s="219" t="str">
        <f>"Налоги и сборы на "&amp;E66&amp;" шаге = 20% * Прибыль налогообложения = 20% * "&amp;ROUND(C300,2)&amp;" ="</f>
        <v>Налоги и сборы на 10 шаге = 20% * Прибыль налогообложения = 20% * 16542644,71 =</v>
      </c>
      <c r="C313" s="201">
        <f t="shared" si="46"/>
        <v>12056074.714270193</v>
      </c>
    </row>
    <row r="314" spans="2:3" ht="15.75" thickBot="1" x14ac:dyDescent="0.3">
      <c r="B314" s="219"/>
    </row>
    <row r="315" spans="2:3" ht="15.75" thickBot="1" x14ac:dyDescent="0.3">
      <c r="B315" s="221" t="s">
        <v>394</v>
      </c>
    </row>
    <row r="316" spans="2:3" x14ac:dyDescent="0.25">
      <c r="B316" s="219" t="str">
        <f>"Чистая прибыль на "&amp;E56&amp;" шаге = Прибыль налогооблажения - Налоги и сборы = "&amp;ROUND(C264,2)&amp;" - "&amp;ROUND(C290,2)&amp;" = "</f>
        <v xml:space="preserve">Чистая прибыль на 0 шаге = Прибыль налогооблажения - Налоги и сборы = 0 - 0 = </v>
      </c>
      <c r="C316" s="201">
        <f>C264-C290</f>
        <v>0</v>
      </c>
    </row>
    <row r="317" spans="2:3" x14ac:dyDescent="0.25">
      <c r="B317" s="219" t="str">
        <f>"Чистая прибыль на "&amp;E57&amp;" шаге = Прибыль налогооблажения - Налоги и сборы = "&amp;ROUND(C265,2)&amp;" - "&amp;ROUND(C291,2)&amp;" = "</f>
        <v xml:space="preserve">Чистая прибыль на 1 шаге = Прибыль налогооблажения - Налоги и сборы = 0 - 0 = </v>
      </c>
      <c r="C317" s="201">
        <f t="shared" ref="C317:C326" si="47">C265-C291</f>
        <v>0</v>
      </c>
    </row>
    <row r="318" spans="2:3" x14ac:dyDescent="0.25">
      <c r="B318" s="219" t="str">
        <f>"Чистая прибыль на "&amp;E58&amp;" шаге = Прибыль налогооблажения - Налоги и сборы = "&amp;ROUND(C266,2)&amp;" - "&amp;ROUND(C292,2)&amp;" = "</f>
        <v xml:space="preserve">Чистая прибыль на 2 шаге = Прибыль налогооблажения - Налоги и сборы = -15991316,43 - 0 = </v>
      </c>
      <c r="C318" s="201">
        <f t="shared" si="47"/>
        <v>-15991316.428648978</v>
      </c>
    </row>
    <row r="319" spans="2:3" x14ac:dyDescent="0.25">
      <c r="B319" s="219" t="str">
        <f>"Чистая прибыль на "&amp;E59&amp;" шаге = Прибыль налогооблажения - Налоги и сборы = "&amp;ROUND(C267,2)&amp;" - "&amp;ROUND(C293,2)&amp;" = "</f>
        <v xml:space="preserve">Чистая прибыль на 3 шаге = Прибыль налогооблажения - Налоги и сборы = 8684818,57 - 1736963,71 = </v>
      </c>
      <c r="C319" s="201">
        <f t="shared" si="47"/>
        <v>6947854.8570808051</v>
      </c>
    </row>
    <row r="320" spans="2:3" x14ac:dyDescent="0.25">
      <c r="B320" s="219" t="str">
        <f>"Чистая прибыль на "&amp;E60&amp;" шаге = Прибыль налогооблажения - Налоги и сборы = "&amp;ROUND(C268,2)&amp;" - "&amp;ROUND(C294,2)&amp;" = "</f>
        <v xml:space="preserve">Чистая прибыль на 4 шаге = Прибыль налогооблажения - Налоги и сборы = 45699021,07 - 9139804,21 = </v>
      </c>
      <c r="C320" s="201">
        <f t="shared" si="47"/>
        <v>36559216.857080802</v>
      </c>
    </row>
    <row r="321" spans="2:3" x14ac:dyDescent="0.25">
      <c r="B321" s="219" t="str">
        <f>"Чистая прибыль на "&amp;E61&amp;" шаге = Прибыль налогооблажения - Налоги и сборы = "&amp;ROUND(C269,2)&amp;" - "&amp;ROUND(C295,2)&amp;" = "</f>
        <v xml:space="preserve">Чистая прибыль на 5 шаге = Прибыль налогооблажения - Налоги и сборы = 70375156,07 - 14075031,21 = </v>
      </c>
      <c r="C321" s="201">
        <f t="shared" si="47"/>
        <v>56300124.857080795</v>
      </c>
    </row>
    <row r="322" spans="2:3" x14ac:dyDescent="0.25">
      <c r="B322" s="219" t="str">
        <f>"Чистая прибыль на "&amp;E62&amp;" шаге = Прибыль налогооблажения - Налоги и сборы = "&amp;ROUND(C270,2)&amp;" - "&amp;ROUND(C296,2)&amp;" = "</f>
        <v xml:space="preserve">Чистая прибыль на 6 шаге = Прибыль налогооблажения - Налоги и сборы = 82713223,57 - 16542644,71 = </v>
      </c>
      <c r="C322" s="201">
        <f t="shared" si="47"/>
        <v>66170578.857080795</v>
      </c>
    </row>
    <row r="323" spans="2:3" x14ac:dyDescent="0.25">
      <c r="B323" s="219" t="str">
        <f>"Чистая прибыль на "&amp;E63&amp;" шаге = Прибыль налогооблажения - Налоги и сборы = "&amp;ROUND(C271,2)&amp;" - "&amp;ROUND(C297,2)&amp;" = "</f>
        <v xml:space="preserve">Чистая прибыль на 7 шаге = Прибыль налогооблажения - Налоги и сборы = 82713223,57 - 16542644,71 = </v>
      </c>
      <c r="C323" s="201">
        <f t="shared" si="47"/>
        <v>66170578.857080795</v>
      </c>
    </row>
    <row r="324" spans="2:3" x14ac:dyDescent="0.25">
      <c r="B324" s="219" t="str">
        <f>"Чистая прибыль на "&amp;E64&amp;" шаге = Прибыль налогооблажения - Налоги и сборы = "&amp;ROUND(C272,2)&amp;" - "&amp;ROUND(C298,2)&amp;" = "</f>
        <v xml:space="preserve">Чистая прибыль на 8 шаге = Прибыль налогооблажения - Налоги и сборы = 82713223,57 - 16542644,71 = </v>
      </c>
      <c r="C324" s="201">
        <f t="shared" si="47"/>
        <v>66170578.857080795</v>
      </c>
    </row>
    <row r="325" spans="2:3" x14ac:dyDescent="0.25">
      <c r="B325" s="219" t="str">
        <f>"Чистая прибыль на "&amp;E65&amp;" шаге = Прибыль налогооблажения - Налоги и сборы = "&amp;ROUND(C273,2)&amp;" - "&amp;ROUND(C299,2)&amp;" = "</f>
        <v xml:space="preserve">Чистая прибыль на 9 шаге = Прибыль налогооблажения - Налоги и сборы = 82713223,57 - 16542644,71 = </v>
      </c>
      <c r="C325" s="201">
        <f t="shared" si="47"/>
        <v>66170578.857080795</v>
      </c>
    </row>
    <row r="326" spans="2:3" x14ac:dyDescent="0.25">
      <c r="B326" s="219" t="str">
        <f>"Чистая прибыль на "&amp;E66&amp;" шаге = Прибыль налогооблажения - Налоги и сборы = "&amp;ROUND(C274,2)&amp;" - "&amp;ROUND(C300,2)&amp;" = "</f>
        <v xml:space="preserve">Чистая прибыль на 10 шаге = Прибыль налогооблажения - Налоги и сборы = 82713223,57 - 16542644,71 = </v>
      </c>
      <c r="C326" s="201">
        <f t="shared" si="47"/>
        <v>66170578.857080795</v>
      </c>
    </row>
    <row r="327" spans="2:3" ht="15.75" thickBot="1" x14ac:dyDescent="0.3">
      <c r="B327" s="219"/>
    </row>
    <row r="328" spans="2:3" ht="15.75" thickBot="1" x14ac:dyDescent="0.3">
      <c r="B328" s="220" t="s">
        <v>395</v>
      </c>
    </row>
    <row r="329" spans="2:3" x14ac:dyDescent="0.25">
      <c r="B329" s="219" t="str">
        <f>"Чистая прибыль на "&amp;E56&amp;" шаге = Прибыль налогооблажения - Налоги и сборы = "&amp;ROUND(C277,2)&amp;" - "&amp;ROUND(C303,2)&amp;" = "</f>
        <v xml:space="preserve">Чистая прибыль на 0 шаге = Прибыль налогооблажения - Налоги и сборы = 0 - 0 = </v>
      </c>
      <c r="C329" s="201">
        <f>C277-C303</f>
        <v>0</v>
      </c>
    </row>
    <row r="330" spans="2:3" x14ac:dyDescent="0.25">
      <c r="B330" s="219" t="str">
        <f>"Чистая прибыль на "&amp;E57&amp;" шаге = Прибыль налогооблажения - Налоги и сборы = "&amp;ROUND(C278,2)&amp;" - "&amp;ROUND(C304,2)&amp;" = "</f>
        <v xml:space="preserve">Чистая прибыль на 1 шаге = Прибыль налогооблажения - Налоги и сборы = 0 - 0 = </v>
      </c>
      <c r="C330" s="201">
        <f t="shared" ref="C330:C339" si="48">C278-C304</f>
        <v>0</v>
      </c>
    </row>
    <row r="331" spans="2:3" x14ac:dyDescent="0.25">
      <c r="B331" s="219" t="str">
        <f>"Чистая прибыль на "&amp;E58&amp;" шаге = Прибыль налогооблажения - Налоги и сборы = "&amp;ROUND(C279,2)&amp;" - "&amp;ROUND(C305,2)&amp;" = "</f>
        <v xml:space="preserve">Чистая прибыль на 2 шаге = Прибыль налогооблажения - Налоги и сборы = -20477886,43 - 0 = </v>
      </c>
      <c r="C331" s="201">
        <f t="shared" si="48"/>
        <v>-20477886.428648978</v>
      </c>
    </row>
    <row r="332" spans="2:3" x14ac:dyDescent="0.25">
      <c r="B332" s="219" t="str">
        <f>"Чистая прибыль на "&amp;E59&amp;" шаге = Прибыль налогооблажения - Налоги и сборы = "&amp;ROUND(C280,2)&amp;" - "&amp;ROUND(C306,2)&amp;" = "</f>
        <v xml:space="preserve">Чистая прибыль на 3 шаге = Прибыль налогооблажения - Налоги и сборы = -288321,43 - 0 = </v>
      </c>
      <c r="C332" s="201">
        <f t="shared" si="48"/>
        <v>-288321.42864897847</v>
      </c>
    </row>
    <row r="333" spans="2:3" x14ac:dyDescent="0.25">
      <c r="B333" s="219" t="str">
        <f>"Чистая прибыль на "&amp;E60&amp;" шаге = Прибыль налогооблажения - Налоги и сборы = "&amp;ROUND(C281,2)&amp;" - "&amp;ROUND(C307,2)&amp;" = "</f>
        <v xml:space="preserve">Чистая прибыль на 4 шаге = Прибыль налогооблажения - Налоги и сборы = 29996026,07 - 5999205,21 = </v>
      </c>
      <c r="C333" s="201">
        <f t="shared" si="48"/>
        <v>23996820.857080817</v>
      </c>
    </row>
    <row r="334" spans="2:3" x14ac:dyDescent="0.25">
      <c r="B334" s="219" t="str">
        <f>"Чистая прибыль на "&amp;E61&amp;" шаге = Прибыль налогооблажения - Налоги и сборы = "&amp;ROUND(C282,2)&amp;" - "&amp;ROUND(C308,2)&amp;" = "</f>
        <v xml:space="preserve">Чистая прибыль на 5 шаге = Прибыль налогооблажения - Налоги и сборы = 50185591,07 - 10037118,21 = </v>
      </c>
      <c r="C334" s="201">
        <f t="shared" si="48"/>
        <v>40148472.857080795</v>
      </c>
    </row>
    <row r="335" spans="2:3" x14ac:dyDescent="0.25">
      <c r="B335" s="219" t="str">
        <f>"Чистая прибыль на "&amp;E62&amp;" шаге = Прибыль налогооблажения - Налоги и сборы = "&amp;ROUND(C283,2)&amp;" - "&amp;ROUND(C309,2)&amp;" = "</f>
        <v xml:space="preserve">Чистая прибыль на 6 шаге = Прибыль налогооблажения - Налоги и сборы = 60280373,57 - 12056074,71 = </v>
      </c>
      <c r="C335" s="201">
        <f t="shared" si="48"/>
        <v>48224298.857080773</v>
      </c>
    </row>
    <row r="336" spans="2:3" x14ac:dyDescent="0.25">
      <c r="B336" s="219" t="str">
        <f>"Чистая прибыль на "&amp;E63&amp;" шаге = Прибыль налогооблажения - Налоги и сборы = "&amp;ROUND(C284,2)&amp;" - "&amp;ROUND(C310,2)&amp;" = "</f>
        <v xml:space="preserve">Чистая прибыль на 7 шаге = Прибыль налогооблажения - Налоги и сборы = 60280373,57 - 12056074,71 = </v>
      </c>
      <c r="C336" s="201">
        <f t="shared" si="48"/>
        <v>48224298.857080773</v>
      </c>
    </row>
    <row r="337" spans="2:3" x14ac:dyDescent="0.25">
      <c r="B337" s="219" t="str">
        <f>"Чистая прибыль на "&amp;E64&amp;" шаге = Прибыль налогооблажения - Налоги и сборы = "&amp;ROUND(C285,2)&amp;" - "&amp;ROUND(C311,2)&amp;" = "</f>
        <v xml:space="preserve">Чистая прибыль на 8 шаге = Прибыль налогооблажения - Налоги и сборы = 60280373,57 - 12056074,71 = </v>
      </c>
      <c r="C337" s="201">
        <f t="shared" si="48"/>
        <v>48224298.857080773</v>
      </c>
    </row>
    <row r="338" spans="2:3" x14ac:dyDescent="0.25">
      <c r="B338" s="219" t="str">
        <f>"Чистая прибыль на "&amp;E65&amp;" шаге = Прибыль налогооблажения - Налоги и сборы = "&amp;ROUND(C286,2)&amp;" - "&amp;ROUND(C312,2)&amp;" = "</f>
        <v xml:space="preserve">Чистая прибыль на 9 шаге = Прибыль налогооблажения - Налоги и сборы = 60280373,57 - 12056074,71 = </v>
      </c>
      <c r="C338" s="201">
        <f t="shared" si="48"/>
        <v>48224298.857080773</v>
      </c>
    </row>
    <row r="339" spans="2:3" x14ac:dyDescent="0.25">
      <c r="B339" s="219" t="str">
        <f>"Чистая прибыль на "&amp;E66&amp;" шаге = Прибыль налогооблажения - Налоги и сборы = "&amp;ROUND(C287,2)&amp;" - "&amp;ROUND(C313,2)&amp;" = "</f>
        <v xml:space="preserve">Чистая прибыль на 10 шаге = Прибыль налогооблажения - Налоги и сборы = 60280373,57 - 12056074,71 = </v>
      </c>
      <c r="C339" s="201">
        <f t="shared" si="48"/>
        <v>48224298.857080773</v>
      </c>
    </row>
    <row r="340" spans="2:3" ht="15.75" thickBot="1" x14ac:dyDescent="0.3">
      <c r="B340" s="219"/>
    </row>
    <row r="341" spans="2:3" ht="15.75" thickBot="1" x14ac:dyDescent="0.3">
      <c r="B341" s="221" t="s">
        <v>394</v>
      </c>
    </row>
    <row r="342" spans="2:3" x14ac:dyDescent="0.25">
      <c r="B342" s="219" t="str">
        <f>"Денежный поток от ОД на "&amp;E56&amp;" шаге = Чистая прибыль + Амортизация = "&amp;C329&amp;" + 0 = "</f>
        <v xml:space="preserve">Денежный поток от ОД на 0 шаге = Чистая прибыль + Амортизация = 0 + 0 = </v>
      </c>
      <c r="C342" s="201">
        <v>0</v>
      </c>
    </row>
    <row r="343" spans="2:3" x14ac:dyDescent="0.25">
      <c r="B343" s="219" t="str">
        <f>"Денежный поток от ОД на "&amp;E57&amp;" шаге = Чистая прибыль + Амортизация = "&amp;C330&amp;" + 0 = "</f>
        <v xml:space="preserve">Денежный поток от ОД на 1 шаге = Чистая прибыль + Амортизация = 0 + 0 = </v>
      </c>
      <c r="C343" s="201">
        <v>0</v>
      </c>
    </row>
    <row r="344" spans="2:3" x14ac:dyDescent="0.25">
      <c r="B344" s="219" t="str">
        <f>"Денежный поток от ОД на "&amp;E58&amp;" шаге = Чистая прибыль + Амортизация = "&amp;ROUND(C331,2)&amp;" + "&amp;F$24&amp;" = "</f>
        <v xml:space="preserve">Денежный поток от ОД на 2 шаге = Чистая прибыль + Амортизация = -20477886,43 + 1866646,8 = </v>
      </c>
      <c r="C344" s="201">
        <f>C318+F$24</f>
        <v>-14124669.628648978</v>
      </c>
    </row>
    <row r="345" spans="2:3" x14ac:dyDescent="0.25">
      <c r="B345" s="219" t="str">
        <f>"Денежный поток от ОД на "&amp;E59&amp;" шаге = Чистая прибыль + Амортизация = "&amp;ROUND(C332,2)&amp;" + "&amp;F$24&amp;" = "</f>
        <v xml:space="preserve">Денежный поток от ОД на 3 шаге = Чистая прибыль + Амортизация = -288321,43 + 1866646,8 = </v>
      </c>
      <c r="C345" s="201">
        <f t="shared" ref="C345:C352" si="49">C319+F$24</f>
        <v>8814501.6570808049</v>
      </c>
    </row>
    <row r="346" spans="2:3" x14ac:dyDescent="0.25">
      <c r="B346" s="219" t="str">
        <f>"Денежный поток от ОД на "&amp;E60&amp;" шаге = Чистая прибыль + Амортизация = "&amp;ROUND(C333,2)&amp;" + "&amp;F$24&amp;" = "</f>
        <v xml:space="preserve">Денежный поток от ОД на 4 шаге = Чистая прибыль + Амортизация = 23996820,86 + 1866646,8 = </v>
      </c>
      <c r="C346" s="201">
        <f t="shared" si="49"/>
        <v>38425863.657080799</v>
      </c>
    </row>
    <row r="347" spans="2:3" x14ac:dyDescent="0.25">
      <c r="B347" s="219" t="str">
        <f>"Денежный поток от ОД на "&amp;E61&amp;" шаге = Чистая прибыль + Амортизация = "&amp;ROUND(C334,2)&amp;" + "&amp;F$24&amp;" = "</f>
        <v xml:space="preserve">Денежный поток от ОД на 5 шаге = Чистая прибыль + Амортизация = 40148472,86 + 1866646,8 = </v>
      </c>
      <c r="C347" s="201">
        <f t="shared" si="49"/>
        <v>58166771.657080792</v>
      </c>
    </row>
    <row r="348" spans="2:3" x14ac:dyDescent="0.25">
      <c r="B348" s="219" t="str">
        <f>"Денежный поток от ОД на "&amp;E62&amp;" шаге = Чистая прибыль + Амортизация = "&amp;ROUND(C335,2)&amp;" + "&amp;F$24&amp;" = "</f>
        <v xml:space="preserve">Денежный поток от ОД на 6 шаге = Чистая прибыль + Амортизация = 48224298,86 + 1866646,8 = </v>
      </c>
      <c r="C348" s="201">
        <f t="shared" si="49"/>
        <v>68037225.657080799</v>
      </c>
    </row>
    <row r="349" spans="2:3" x14ac:dyDescent="0.25">
      <c r="B349" s="219" t="str">
        <f>"Денежный поток от ОД на "&amp;E63&amp;" шаге = Чистая прибыль + Амортизация = "&amp;ROUND(C336,2)&amp;" + "&amp;F$24&amp;" = "</f>
        <v xml:space="preserve">Денежный поток от ОД на 7 шаге = Чистая прибыль + Амортизация = 48224298,86 + 1866646,8 = </v>
      </c>
      <c r="C349" s="201">
        <f t="shared" si="49"/>
        <v>68037225.657080799</v>
      </c>
    </row>
    <row r="350" spans="2:3" x14ac:dyDescent="0.25">
      <c r="B350" s="219" t="str">
        <f>"Денежный поток от ОД на "&amp;E64&amp;" шаге = Чистая прибыль + Амортизация = "&amp;ROUND(C337,2)&amp;" + "&amp;F$24&amp;" = "</f>
        <v xml:space="preserve">Денежный поток от ОД на 8 шаге = Чистая прибыль + Амортизация = 48224298,86 + 1866646,8 = </v>
      </c>
      <c r="C350" s="201">
        <f t="shared" si="49"/>
        <v>68037225.657080799</v>
      </c>
    </row>
    <row r="351" spans="2:3" x14ac:dyDescent="0.25">
      <c r="B351" s="219" t="str">
        <f>"Денежный поток от ОД на "&amp;E65&amp;" шаге = Чистая прибыль + Амортизация = "&amp;ROUND(C338,2)&amp;" + "&amp;F$24&amp;" = "</f>
        <v xml:space="preserve">Денежный поток от ОД на 9 шаге = Чистая прибыль + Амортизация = 48224298,86 + 1866646,8 = </v>
      </c>
      <c r="C351" s="201">
        <f t="shared" si="49"/>
        <v>68037225.657080799</v>
      </c>
    </row>
    <row r="352" spans="2:3" x14ac:dyDescent="0.25">
      <c r="B352" s="219" t="str">
        <f>"Денежный поток от ОД на "&amp;E66&amp;" шаге = Чистая прибыль + Амортизация = "&amp;ROUND(C339,2)&amp;" + "&amp;F$24&amp;" = "</f>
        <v xml:space="preserve">Денежный поток от ОД на 10 шаге = Чистая прибыль + Амортизация = 48224298,86 + 1866646,8 = </v>
      </c>
      <c r="C352" s="201">
        <f t="shared" si="49"/>
        <v>68037225.657080799</v>
      </c>
    </row>
    <row r="353" spans="2:3" ht="15.75" thickBot="1" x14ac:dyDescent="0.3">
      <c r="B353" s="219"/>
    </row>
    <row r="354" spans="2:3" ht="15.75" thickBot="1" x14ac:dyDescent="0.3">
      <c r="B354" s="220" t="s">
        <v>395</v>
      </c>
    </row>
    <row r="355" spans="2:3" x14ac:dyDescent="0.25">
      <c r="B355" s="219" t="str">
        <f>"Денежный поток от ОД на "&amp;E56&amp;" шаге = Чистая прибыль + Амортизация = "&amp;C342&amp;" + 0 = "</f>
        <v xml:space="preserve">Денежный поток от ОД на 0 шаге = Чистая прибыль + Амортизация = 0 + 0 = </v>
      </c>
      <c r="C355" s="201">
        <v>0</v>
      </c>
    </row>
    <row r="356" spans="2:3" x14ac:dyDescent="0.25">
      <c r="B356" s="219" t="str">
        <f>"Денежный поток от ОД на "&amp;E57&amp;" шаге = Чистая прибыль + Амортизация = "&amp;C343&amp;" + 0 = "</f>
        <v xml:space="preserve">Денежный поток от ОД на 1 шаге = Чистая прибыль + Амортизация = 0 + 0 = </v>
      </c>
      <c r="C356" s="201">
        <v>0</v>
      </c>
    </row>
    <row r="357" spans="2:3" x14ac:dyDescent="0.25">
      <c r="B357" s="219" t="str">
        <f>"Денежный поток от ОД на "&amp;E58&amp;" шаге = Чистая прибыль + Амортизация = "&amp;C344&amp;" + 0 = "</f>
        <v xml:space="preserve">Денежный поток от ОД на 2 шаге = Чистая прибыль + Амортизация = -14124669,628649 + 0 = </v>
      </c>
      <c r="C357" s="201">
        <f>C331+F$24</f>
        <v>-18611239.628648978</v>
      </c>
    </row>
    <row r="358" spans="2:3" x14ac:dyDescent="0.25">
      <c r="B358" s="219" t="str">
        <f>"Денежный поток от ОД на "&amp;E59&amp;" шаге = Чистая прибыль + Амортизация = "&amp;C345&amp;" + 0 = "</f>
        <v xml:space="preserve">Денежный поток от ОД на 3 шаге = Чистая прибыль + Амортизация = 8814501,6570808 + 0 = </v>
      </c>
      <c r="C358" s="201">
        <f t="shared" ref="C358:C365" si="50">C332+F$24</f>
        <v>1578325.3713510216</v>
      </c>
    </row>
    <row r="359" spans="2:3" x14ac:dyDescent="0.25">
      <c r="B359" s="219" t="str">
        <f>"Денежный поток от ОД на "&amp;E60&amp;" шаге = Чистая прибыль + Амортизация = "&amp;C346&amp;" + 0 = "</f>
        <v xml:space="preserve">Денежный поток от ОД на 4 шаге = Чистая прибыль + Амортизация = 38425863,6570808 + 0 = </v>
      </c>
      <c r="C359" s="201">
        <f t="shared" si="50"/>
        <v>25863467.657080818</v>
      </c>
    </row>
    <row r="360" spans="2:3" x14ac:dyDescent="0.25">
      <c r="B360" s="219" t="str">
        <f>"Денежный поток от ОД на "&amp;E61&amp;" шаге = Чистая прибыль + Амортизация = "&amp;C347&amp;" + 0 = "</f>
        <v xml:space="preserve">Денежный поток от ОД на 5 шаге = Чистая прибыль + Амортизация = 58166771,6570808 + 0 = </v>
      </c>
      <c r="C360" s="201">
        <f t="shared" si="50"/>
        <v>42015119.657080792</v>
      </c>
    </row>
    <row r="361" spans="2:3" x14ac:dyDescent="0.25">
      <c r="B361" s="219" t="str">
        <f>"Денежный поток от ОД на "&amp;E62&amp;" шаге = Чистая прибыль + Амортизация = "&amp;C348&amp;" + 0 = "</f>
        <v xml:space="preserve">Денежный поток от ОД на 6 шаге = Чистая прибыль + Амортизация = 68037225,6570808 + 0 = </v>
      </c>
      <c r="C361" s="201">
        <f t="shared" si="50"/>
        <v>50090945.65708077</v>
      </c>
    </row>
    <row r="362" spans="2:3" x14ac:dyDescent="0.25">
      <c r="B362" s="219" t="str">
        <f>"Денежный поток от ОД на "&amp;E63&amp;" шаге = Чистая прибыль + Амортизация = "&amp;C349&amp;" + 0 = "</f>
        <v xml:space="preserve">Денежный поток от ОД на 7 шаге = Чистая прибыль + Амортизация = 68037225,6570808 + 0 = </v>
      </c>
      <c r="C362" s="201">
        <f t="shared" si="50"/>
        <v>50090945.65708077</v>
      </c>
    </row>
    <row r="363" spans="2:3" x14ac:dyDescent="0.25">
      <c r="B363" s="219" t="str">
        <f>"Денежный поток от ОД на "&amp;E64&amp;" шаге = Чистая прибыль + Амортизация = "&amp;C350&amp;" + 0 = "</f>
        <v xml:space="preserve">Денежный поток от ОД на 8 шаге = Чистая прибыль + Амортизация = 68037225,6570808 + 0 = </v>
      </c>
      <c r="C363" s="201">
        <f t="shared" si="50"/>
        <v>50090945.65708077</v>
      </c>
    </row>
    <row r="364" spans="2:3" x14ac:dyDescent="0.25">
      <c r="B364" s="219" t="str">
        <f>"Денежный поток от ОД на "&amp;E65&amp;" шаге = Чистая прибыль + Амортизация = "&amp;C351&amp;" + 0 = "</f>
        <v xml:space="preserve">Денежный поток от ОД на 9 шаге = Чистая прибыль + Амортизация = 68037225,6570808 + 0 = </v>
      </c>
      <c r="C364" s="201">
        <f t="shared" si="50"/>
        <v>50090945.65708077</v>
      </c>
    </row>
    <row r="365" spans="2:3" x14ac:dyDescent="0.25">
      <c r="B365" s="219" t="str">
        <f>"Денежный поток от ОД на "&amp;E66&amp;" шаге = Чистая прибыль + Амортизация = "&amp;C352&amp;" + 0 = "</f>
        <v xml:space="preserve">Денежный поток от ОД на 10 шаге = Чистая прибыль + Амортизация = 68037225,6570808 + 0 = </v>
      </c>
      <c r="C365" s="201">
        <f t="shared" si="50"/>
        <v>50090945.65708077</v>
      </c>
    </row>
    <row r="366" spans="2:3" ht="15.75" thickBot="1" x14ac:dyDescent="0.3">
      <c r="B366" s="219"/>
    </row>
    <row r="367" spans="2:3" ht="15.75" thickBot="1" x14ac:dyDescent="0.3">
      <c r="B367" s="221" t="s">
        <v>394</v>
      </c>
    </row>
    <row r="368" spans="2:3" x14ac:dyDescent="0.25">
      <c r="B368" s="219" t="str">
        <f>"ДП проекта на "&amp;E56&amp;" шаге = "&amp;B$32&amp;" + "&amp;B$28&amp;" = "&amp;C342&amp;" + "&amp;D$32&amp;" ="</f>
        <v>ДП проекта на 0 шаге = денежный поток (ДП) от ИД + Денежный поток от ОД = 0 + -87599403 =</v>
      </c>
      <c r="C368" s="201">
        <f>D$30</f>
        <v>-87599403</v>
      </c>
    </row>
    <row r="369" spans="2:3" x14ac:dyDescent="0.25">
      <c r="B369" s="219" t="str">
        <f>"ДП проекта на "&amp;E57&amp;" шаге = "&amp;B$32&amp;" + "&amp;B$28&amp;" = "&amp;C343&amp;" + "&amp;E$32&amp;" ="</f>
        <v>ДП проекта на 1 шаге = денежный поток (ДП) от ИД + Денежный поток от ОД = 0 + -6396300 =</v>
      </c>
      <c r="C369" s="201">
        <f>E$30</f>
        <v>-6396300</v>
      </c>
    </row>
    <row r="370" spans="2:3" x14ac:dyDescent="0.25">
      <c r="B370" s="219" t="str">
        <f>"ДП проекта на "&amp;E58&amp;" шаге = "&amp;B$32&amp;" + "&amp;B$28&amp;" = "&amp;ROUND(C344,2)&amp;" + "&amp;F$32&amp;" ="</f>
        <v>ДП проекта на 2 шаге = денежный поток (ДП) от ИД + Денежный поток от ОД = -14124669,63 + 0 =</v>
      </c>
      <c r="C370" s="201">
        <f>C344</f>
        <v>-14124669.628648978</v>
      </c>
    </row>
    <row r="371" spans="2:3" x14ac:dyDescent="0.25">
      <c r="B371" s="219" t="str">
        <f>"ДП проекта на "&amp;E59&amp;" шаге = "&amp;B$32&amp;" + "&amp;B$28&amp;" = "&amp;ROUND(C345,2)&amp;" + "&amp;F$32&amp;" ="</f>
        <v>ДП проекта на 3 шаге = денежный поток (ДП) от ИД + Денежный поток от ОД = 8814501,66 + 0 =</v>
      </c>
      <c r="C371" s="201">
        <f t="shared" ref="C371:C378" si="51">C345</f>
        <v>8814501.6570808049</v>
      </c>
    </row>
    <row r="372" spans="2:3" x14ac:dyDescent="0.25">
      <c r="B372" s="219" t="str">
        <f>"ДП проекта на "&amp;E60&amp;" шаге = "&amp;B$32&amp;" + "&amp;B$28&amp;" = "&amp;ROUND(C346,2)&amp;" + "&amp;F$32&amp;" ="</f>
        <v>ДП проекта на 4 шаге = денежный поток (ДП) от ИД + Денежный поток от ОД = 38425863,66 + 0 =</v>
      </c>
      <c r="C372" s="201">
        <f t="shared" si="51"/>
        <v>38425863.657080799</v>
      </c>
    </row>
    <row r="373" spans="2:3" x14ac:dyDescent="0.25">
      <c r="B373" s="219" t="str">
        <f>"ДП проекта на "&amp;E61&amp;" шаге = "&amp;B$32&amp;" + "&amp;B$28&amp;" = "&amp;ROUND(C347,2)&amp;" + "&amp;F$32&amp;" ="</f>
        <v>ДП проекта на 5 шаге = денежный поток (ДП) от ИД + Денежный поток от ОД = 58166771,66 + 0 =</v>
      </c>
      <c r="C373" s="201">
        <f t="shared" si="51"/>
        <v>58166771.657080792</v>
      </c>
    </row>
    <row r="374" spans="2:3" x14ac:dyDescent="0.25">
      <c r="B374" s="219" t="str">
        <f>"ДП проекта на "&amp;E62&amp;" шаге = "&amp;B$32&amp;" + "&amp;B$28&amp;" = "&amp;ROUND(C348,2)&amp;" + "&amp;F$32&amp;" ="</f>
        <v>ДП проекта на 6 шаге = денежный поток (ДП) от ИД + Денежный поток от ОД = 68037225,66 + 0 =</v>
      </c>
      <c r="C374" s="201">
        <f t="shared" si="51"/>
        <v>68037225.657080799</v>
      </c>
    </row>
    <row r="375" spans="2:3" x14ac:dyDescent="0.25">
      <c r="B375" s="219" t="str">
        <f>"ДП проекта на "&amp;E63&amp;" шаге = "&amp;B$32&amp;" + "&amp;B$28&amp;" = "&amp;ROUND(C349,2)&amp;" + "&amp;F$32&amp;" ="</f>
        <v>ДП проекта на 7 шаге = денежный поток (ДП) от ИД + Денежный поток от ОД = 68037225,66 + 0 =</v>
      </c>
      <c r="C375" s="201">
        <f t="shared" si="51"/>
        <v>68037225.657080799</v>
      </c>
    </row>
    <row r="376" spans="2:3" x14ac:dyDescent="0.25">
      <c r="B376" s="219" t="str">
        <f>"ДП проекта на "&amp;E64&amp;" шаге = "&amp;B$32&amp;" + "&amp;B$28&amp;" = "&amp;ROUND(C350,2)&amp;" + "&amp;F$32&amp;" ="</f>
        <v>ДП проекта на 8 шаге = денежный поток (ДП) от ИД + Денежный поток от ОД = 68037225,66 + 0 =</v>
      </c>
      <c r="C376" s="201">
        <f t="shared" si="51"/>
        <v>68037225.657080799</v>
      </c>
    </row>
    <row r="377" spans="2:3" x14ac:dyDescent="0.25">
      <c r="B377" s="219" t="str">
        <f>"ДП проекта на "&amp;E65&amp;" шаге = "&amp;B$32&amp;" + "&amp;B$28&amp;" = "&amp;ROUND(C351,2)&amp;" + "&amp;F$32&amp;" ="</f>
        <v>ДП проекта на 9 шаге = денежный поток (ДП) от ИД + Денежный поток от ОД = 68037225,66 + 0 =</v>
      </c>
      <c r="C377" s="201">
        <f t="shared" si="51"/>
        <v>68037225.657080799</v>
      </c>
    </row>
    <row r="378" spans="2:3" x14ac:dyDescent="0.25">
      <c r="B378" s="219" t="str">
        <f>"ДП проекта на "&amp;E66&amp;" шаге = "&amp;B$32&amp;" + "&amp;B$28&amp;" = "&amp;ROUND(C352,2)&amp;" + "&amp;F$32&amp;" ="</f>
        <v>ДП проекта на 10 шаге = денежный поток (ДП) от ИД + Денежный поток от ОД = 68037225,66 + 0 =</v>
      </c>
      <c r="C378" s="201">
        <f t="shared" si="51"/>
        <v>68037225.657080799</v>
      </c>
    </row>
    <row r="379" spans="2:3" ht="15.75" thickBot="1" x14ac:dyDescent="0.3">
      <c r="B379" s="219"/>
    </row>
    <row r="380" spans="2:3" ht="15.75" thickBot="1" x14ac:dyDescent="0.3">
      <c r="B380" s="220" t="s">
        <v>395</v>
      </c>
    </row>
    <row r="381" spans="2:3" x14ac:dyDescent="0.25">
      <c r="B381" s="219" t="str">
        <f>"ДП проекта на "&amp;E56&amp;" шаге = "&amp;B$32&amp;" + "&amp;B$28&amp;" = "&amp;C355&amp;" + "&amp;D$32&amp;" ="</f>
        <v>ДП проекта на 0 шаге = денежный поток (ДП) от ИД + Денежный поток от ОД = 0 + -87599403 =</v>
      </c>
      <c r="C381" s="201">
        <f>D$30</f>
        <v>-87599403</v>
      </c>
    </row>
    <row r="382" spans="2:3" x14ac:dyDescent="0.25">
      <c r="B382" s="219" t="str">
        <f>"ДП проекта на "&amp;E57&amp;" шаге = "&amp;B$32&amp;" + "&amp;B$28&amp;" = "&amp;C356&amp;" + "&amp;D$32&amp;" ="</f>
        <v>ДП проекта на 1 шаге = денежный поток (ДП) от ИД + Денежный поток от ОД = 0 + -87599403 =</v>
      </c>
      <c r="C382" s="201">
        <f>E$30</f>
        <v>-6396300</v>
      </c>
    </row>
    <row r="383" spans="2:3" x14ac:dyDescent="0.25">
      <c r="B383" s="219" t="str">
        <f>"ДП проекта на "&amp;E58&amp;" шаге = "&amp;B$32&amp;" + "&amp;B$28&amp;" = "&amp;C357&amp;" + "&amp;D$32&amp;" ="</f>
        <v>ДП проекта на 2 шаге = денежный поток (ДП) от ИД + Денежный поток от ОД = -18611239,628649 + -87599403 =</v>
      </c>
      <c r="C383" s="201">
        <f>C357</f>
        <v>-18611239.628648978</v>
      </c>
    </row>
    <row r="384" spans="2:3" x14ac:dyDescent="0.25">
      <c r="B384" s="219" t="str">
        <f>"ДП проекта на "&amp;E59&amp;" шаге = "&amp;B$32&amp;" + "&amp;B$28&amp;" = "&amp;C358&amp;" + "&amp;D$32&amp;" ="</f>
        <v>ДП проекта на 3 шаге = денежный поток (ДП) от ИД + Денежный поток от ОД = 1578325,37135102 + -87599403 =</v>
      </c>
      <c r="C384" s="201">
        <f t="shared" ref="C384:C391" si="52">C358</f>
        <v>1578325.3713510216</v>
      </c>
    </row>
    <row r="385" spans="2:3" x14ac:dyDescent="0.25">
      <c r="B385" s="219" t="str">
        <f>"ДП проекта на "&amp;E60&amp;" шаге = "&amp;B$32&amp;" + "&amp;B$28&amp;" = "&amp;C359&amp;" + "&amp;D$32&amp;" ="</f>
        <v>ДП проекта на 4 шаге = денежный поток (ДП) от ИД + Денежный поток от ОД = 25863467,6570808 + -87599403 =</v>
      </c>
      <c r="C385" s="201">
        <f t="shared" si="52"/>
        <v>25863467.657080818</v>
      </c>
    </row>
    <row r="386" spans="2:3" x14ac:dyDescent="0.25">
      <c r="B386" s="219" t="str">
        <f>"ДП проекта на "&amp;E61&amp;" шаге = "&amp;B$32&amp;" + "&amp;B$28&amp;" = "&amp;C360&amp;" + "&amp;D$32&amp;" ="</f>
        <v>ДП проекта на 5 шаге = денежный поток (ДП) от ИД + Денежный поток от ОД = 42015119,6570808 + -87599403 =</v>
      </c>
      <c r="C386" s="201">
        <f t="shared" si="52"/>
        <v>42015119.657080792</v>
      </c>
    </row>
    <row r="387" spans="2:3" x14ac:dyDescent="0.25">
      <c r="B387" s="219" t="str">
        <f>"ДП проекта на "&amp;E62&amp;" шаге = "&amp;B$32&amp;" + "&amp;B$28&amp;" = "&amp;C361&amp;" + "&amp;D$32&amp;" ="</f>
        <v>ДП проекта на 6 шаге = денежный поток (ДП) от ИД + Денежный поток от ОД = 50090945,6570808 + -87599403 =</v>
      </c>
      <c r="C387" s="201">
        <f t="shared" si="52"/>
        <v>50090945.65708077</v>
      </c>
    </row>
    <row r="388" spans="2:3" x14ac:dyDescent="0.25">
      <c r="B388" s="219" t="str">
        <f>"ДП проекта на "&amp;E63&amp;" шаге = "&amp;B$32&amp;" + "&amp;B$28&amp;" = "&amp;C362&amp;" + "&amp;D$32&amp;" ="</f>
        <v>ДП проекта на 7 шаге = денежный поток (ДП) от ИД + Денежный поток от ОД = 50090945,6570808 + -87599403 =</v>
      </c>
      <c r="C388" s="201">
        <f t="shared" si="52"/>
        <v>50090945.65708077</v>
      </c>
    </row>
    <row r="389" spans="2:3" x14ac:dyDescent="0.25">
      <c r="B389" s="219" t="str">
        <f>"ДП проекта на "&amp;E64&amp;" шаге = "&amp;B$32&amp;" + "&amp;B$28&amp;" = "&amp;C363&amp;" + "&amp;D$32&amp;" ="</f>
        <v>ДП проекта на 8 шаге = денежный поток (ДП) от ИД + Денежный поток от ОД = 50090945,6570808 + -87599403 =</v>
      </c>
      <c r="C389" s="201">
        <f t="shared" si="52"/>
        <v>50090945.65708077</v>
      </c>
    </row>
    <row r="390" spans="2:3" x14ac:dyDescent="0.25">
      <c r="B390" s="219" t="str">
        <f>"ДП проекта на "&amp;E65&amp;" шаге = "&amp;B$32&amp;" + "&amp;B$28&amp;" = "&amp;C364&amp;" + "&amp;D$32&amp;" ="</f>
        <v>ДП проекта на 9 шаге = денежный поток (ДП) от ИД + Денежный поток от ОД = 50090945,6570808 + -87599403 =</v>
      </c>
      <c r="C390" s="201">
        <f t="shared" si="52"/>
        <v>50090945.65708077</v>
      </c>
    </row>
    <row r="391" spans="2:3" x14ac:dyDescent="0.25">
      <c r="B391" s="219" t="str">
        <f>"ДП проекта на "&amp;E66&amp;" шаге = "&amp;B$32&amp;" + "&amp;B$28&amp;" = "&amp;C365&amp;" + "&amp;D$32&amp;" ="</f>
        <v>ДП проекта на 10 шаге = денежный поток (ДП) от ИД + Денежный поток от ОД = 50090945,6570808 + -87599403 =</v>
      </c>
      <c r="C391" s="201">
        <f t="shared" si="52"/>
        <v>50090945.65708077</v>
      </c>
    </row>
    <row r="392" spans="2:3" ht="15.75" thickBot="1" x14ac:dyDescent="0.3"/>
    <row r="393" spans="2:3" ht="15.75" thickBot="1" x14ac:dyDescent="0.3">
      <c r="B393" s="221" t="s">
        <v>394</v>
      </c>
    </row>
    <row r="394" spans="2:3" x14ac:dyDescent="0.25">
      <c r="B394" s="218" t="str">
        <f>B$36&amp;" на "&amp;E56&amp;" шаге = Коэффициент дисконтирования * ДП проекта = "&amp;F56&amp;" * "&amp;ROUND(C368,2)&amp;" ="</f>
        <v>Дисконтированный ДП на 0 шаге = Коэффициент дисконтирования * ДП проекта = 1 * -87599403 =</v>
      </c>
      <c r="C394" s="201">
        <f>C368*F56</f>
        <v>-87599403</v>
      </c>
    </row>
    <row r="395" spans="2:3" x14ac:dyDescent="0.25">
      <c r="B395" s="218" t="str">
        <f>B$36&amp;" на "&amp;E57&amp;" шаге = Коэффициент дисконтирования * ДП проекта = "&amp;F57&amp;" * "&amp;ROUND(C369,2)&amp;" ="</f>
        <v>Дисконтированный ДП на 1 шаге = Коэффициент дисконтирования * ДП проекта = 0,833 * -6396300 =</v>
      </c>
      <c r="C395" s="201">
        <f>C369*F57</f>
        <v>-5328117.8999999994</v>
      </c>
    </row>
    <row r="396" spans="2:3" x14ac:dyDescent="0.25">
      <c r="B396" s="218" t="str">
        <f>B$36&amp;" на "&amp;E58&amp;" шаге = Коэффициент дисконтирования * ДП проекта = "&amp;F58&amp;" * "&amp;ROUND(C370,2)&amp;" ="</f>
        <v>Дисконтированный ДП на 2 шаге = Коэффициент дисконтирования * ДП проекта = 0,694 * -14124669,63 =</v>
      </c>
      <c r="C396" s="201">
        <f>C370*F58</f>
        <v>-9802520.7222823892</v>
      </c>
    </row>
    <row r="397" spans="2:3" x14ac:dyDescent="0.25">
      <c r="B397" s="218" t="str">
        <f>B$36&amp;" на "&amp;E59&amp;" шаге = Коэффициент дисконтирования * ДП проекта = "&amp;F59&amp;" * "&amp;ROUND(C371,2)&amp;" ="</f>
        <v>Дисконтированный ДП на 3 шаге = Коэффициент дисконтирования * ДП проекта = 0,579 * 8814501,66 =</v>
      </c>
      <c r="C397" s="201">
        <f>C371*F59</f>
        <v>5103596.4594497858</v>
      </c>
    </row>
    <row r="398" spans="2:3" x14ac:dyDescent="0.25">
      <c r="B398" s="218" t="str">
        <f>B$36&amp;" на "&amp;E60&amp;" шаге = Коэффициент дисконтирования * ДП проекта = "&amp;F60&amp;" * "&amp;ROUND(C372,2)&amp;" ="</f>
        <v>Дисконтированный ДП на 4 шаге = Коэффициент дисконтирования * ДП проекта = 0,482 * 38425863,66 =</v>
      </c>
      <c r="C398" s="201">
        <f>C372*F60</f>
        <v>18521266.282712944</v>
      </c>
    </row>
    <row r="399" spans="2:3" x14ac:dyDescent="0.25">
      <c r="B399" s="218" t="str">
        <f>B$36&amp;" на "&amp;E61&amp;" шаге = Коэффициент дисконтирования * ДП проекта = "&amp;F61&amp;" * "&amp;ROUND(C373,2)&amp;" ="</f>
        <v>Дисконтированный ДП на 5 шаге = Коэффициент дисконтирования * ДП проекта = 0,402 * 58166771,66 =</v>
      </c>
      <c r="C399" s="201">
        <f>C373*F61</f>
        <v>23383042.206146479</v>
      </c>
    </row>
    <row r="400" spans="2:3" x14ac:dyDescent="0.25">
      <c r="B400" s="218" t="str">
        <f>B$36&amp;" на "&amp;E62&amp;" шаге = Коэффициент дисконтирования * ДП проекта = "&amp;F62&amp;" * "&amp;ROUND(C374,2)&amp;" ="</f>
        <v>Дисконтированный ДП на 6 шаге = Коэффициент дисконтирования * ДП проекта = 0,335 * 68037225,66 =</v>
      </c>
      <c r="C400" s="201">
        <f>C374*F62</f>
        <v>22792470.595122069</v>
      </c>
    </row>
    <row r="401" spans="2:3" x14ac:dyDescent="0.25">
      <c r="B401" s="218" t="str">
        <f>B$36&amp;" на "&amp;E63&amp;" шаге = Коэффициент дисконтирования * ДП проекта = "&amp;F63&amp;" * "&amp;ROUND(C375,2)&amp;" ="</f>
        <v>Дисконтированный ДП на 7 шаге = Коэффициент дисконтирования * ДП проекта = 0,279 * 68037225,66 =</v>
      </c>
      <c r="C401" s="201">
        <f>C375*F63</f>
        <v>18982385.958325546</v>
      </c>
    </row>
    <row r="402" spans="2:3" x14ac:dyDescent="0.25">
      <c r="B402" s="218" t="str">
        <f>B$36&amp;" на "&amp;E64&amp;" шаге = Коэффициент дисконтирования * ДП проекта = "&amp;F64&amp;" * "&amp;ROUND(C376,2)&amp;" ="</f>
        <v>Дисконтированный ДП на 8 шаге = Коэффициент дисконтирования * ДП проекта = 0,233 * 68037225,66 =</v>
      </c>
      <c r="C402" s="201">
        <f>C376*F64</f>
        <v>15852673.578099826</v>
      </c>
    </row>
    <row r="403" spans="2:3" x14ac:dyDescent="0.25">
      <c r="B403" s="218" t="str">
        <f>B$36&amp;" на "&amp;E65&amp;" шаге = Коэффициент дисконтирования * ДП проекта = "&amp;F65&amp;" * "&amp;ROUND(C377,2)&amp;" ="</f>
        <v>Дисконтированный ДП на 9 шаге = Коэффициент дисконтирования * ДП проекта = 0,194 * 68037225,66 =</v>
      </c>
      <c r="C403" s="201">
        <f>C377*F65</f>
        <v>13199221.777473675</v>
      </c>
    </row>
    <row r="404" spans="2:3" x14ac:dyDescent="0.25">
      <c r="B404" s="218" t="str">
        <f>B$36&amp;" на "&amp;E66&amp;" шаге = Коэффициент дисконтирования * ДП проекта = "&amp;F66&amp;" * "&amp;ROUND(C378,2)&amp;" ="</f>
        <v>Дисконтированный ДП на 10 шаге = Коэффициент дисконтирования * ДП проекта = 0,162 * 68037225,66 =</v>
      </c>
      <c r="C404" s="201">
        <f>C378*F66</f>
        <v>11022030.556447091</v>
      </c>
    </row>
    <row r="405" spans="2:3" ht="15.75" thickBot="1" x14ac:dyDescent="0.3">
      <c r="B405" s="219"/>
    </row>
    <row r="406" spans="2:3" ht="15.75" thickBot="1" x14ac:dyDescent="0.3">
      <c r="B406" s="220" t="s">
        <v>395</v>
      </c>
    </row>
    <row r="407" spans="2:3" x14ac:dyDescent="0.25">
      <c r="B407" s="218" t="str">
        <f>B$36&amp;" на "&amp;E56&amp;" шаге = Коэффициент дисконтирования * ДП проекта = "&amp;F56&amp;" * "&amp;ROUND(C381,2)&amp;" ="</f>
        <v>Дисконтированный ДП на 0 шаге = Коэффициент дисконтирования * ДП проекта = 1 * -87599403 =</v>
      </c>
      <c r="C407" s="201">
        <f>C381*F56</f>
        <v>-87599403</v>
      </c>
    </row>
    <row r="408" spans="2:3" x14ac:dyDescent="0.25">
      <c r="B408" s="218" t="str">
        <f>B$36&amp;" на "&amp;E57&amp;" шаге = Коэффициент дисконтирования * ДП проекта = "&amp;F57&amp;" * "&amp;ROUND(C382,2)&amp;" ="</f>
        <v>Дисконтированный ДП на 1 шаге = Коэффициент дисконтирования * ДП проекта = 0,833 * -6396300 =</v>
      </c>
      <c r="C408" s="201">
        <f>C382*F57</f>
        <v>-5328117.8999999994</v>
      </c>
    </row>
    <row r="409" spans="2:3" x14ac:dyDescent="0.25">
      <c r="B409" s="218" t="str">
        <f>B$36&amp;" на "&amp;E58&amp;" шаге = Коэффициент дисконтирования * ДП проекта = "&amp;F58&amp;" * "&amp;ROUND(C383,2)&amp;" ="</f>
        <v>Дисконтированный ДП на 2 шаге = Коэффициент дисконтирования * ДП проекта = 0,694 * -18611239,63 =</v>
      </c>
      <c r="C409" s="201">
        <f>C383*F58</f>
        <v>-12916200.302282389</v>
      </c>
    </row>
    <row r="410" spans="2:3" x14ac:dyDescent="0.25">
      <c r="B410" s="218" t="str">
        <f>B$36&amp;" на "&amp;E59&amp;" шаге = Коэффициент дисконтирования * ДП проекта = "&amp;F59&amp;" * "&amp;ROUND(C384,2)&amp;" ="</f>
        <v>Дисконтированный ДП на 3 шаге = Коэффициент дисконтирования * ДП проекта = 0,579 * 1578325,37 =</v>
      </c>
      <c r="C410" s="201">
        <f>C384*F59</f>
        <v>913850.39001224143</v>
      </c>
    </row>
    <row r="411" spans="2:3" x14ac:dyDescent="0.25">
      <c r="B411" s="218" t="str">
        <f>B$36&amp;" на "&amp;E60&amp;" шаге = Коэффициент дисконтирования * ДП проекта = "&amp;F60&amp;" * "&amp;ROUND(C385,2)&amp;" ="</f>
        <v>Дисконтированный ДП на 4 шаге = Коэффициент дисконтирования * ДП проекта = 0,482 * 25863467,66 =</v>
      </c>
      <c r="C411" s="201">
        <f>C385*F60</f>
        <v>12466191.410712954</v>
      </c>
    </row>
    <row r="412" spans="2:3" x14ac:dyDescent="0.25">
      <c r="B412" s="218" t="str">
        <f>B$36&amp;" на "&amp;E61&amp;" шаге = Коэффициент дисконтирования * ДП проекта = "&amp;F61&amp;" * "&amp;ROUND(C386,2)&amp;" ="</f>
        <v>Дисконтированный ДП на 5 шаге = Коэффициент дисконтирования * ДП проекта = 0,402 * 42015119,66 =</v>
      </c>
      <c r="C412" s="201">
        <f>C386*F61</f>
        <v>16890078.10214648</v>
      </c>
    </row>
    <row r="413" spans="2:3" x14ac:dyDescent="0.25">
      <c r="B413" s="218" t="str">
        <f>B$36&amp;" на "&amp;E62&amp;" шаге = Коэффициент дисконтирования * ДП проекта = "&amp;F62&amp;" * "&amp;ROUND(C387,2)&amp;" ="</f>
        <v>Дисконтированный ДП на 6 шаге = Коэффициент дисконтирования * ДП проекта = 0,335 * 50090945,66 =</v>
      </c>
      <c r="C413" s="201">
        <f>C387*F62</f>
        <v>16780466.795122057</v>
      </c>
    </row>
    <row r="414" spans="2:3" x14ac:dyDescent="0.25">
      <c r="B414" s="218" t="str">
        <f>B$36&amp;" на "&amp;E63&amp;" шаге = Коэффициент дисконтирования * ДП проекта = "&amp;F63&amp;" * "&amp;ROUND(C388,2)&amp;" ="</f>
        <v>Дисконтированный ДП на 7 шаге = Коэффициент дисконтирования * ДП проекта = 0,279 * 50090945,66 =</v>
      </c>
      <c r="C414" s="201">
        <f>C388*F63</f>
        <v>13975373.838325536</v>
      </c>
    </row>
    <row r="415" spans="2:3" x14ac:dyDescent="0.25">
      <c r="B415" s="218" t="str">
        <f>B$36&amp;" на "&amp;E64&amp;" шаге = Коэффициент дисконтирования * ДП проекта = "&amp;F64&amp;" * "&amp;ROUND(C389,2)&amp;" ="</f>
        <v>Дисконтированный ДП на 8 шаге = Коэффициент дисконтирования * ДП проекта = 0,233 * 50090945,66 =</v>
      </c>
      <c r="C415" s="201">
        <f>C389*F64</f>
        <v>11671190.338099821</v>
      </c>
    </row>
    <row r="416" spans="2:3" x14ac:dyDescent="0.25">
      <c r="B416" s="218" t="str">
        <f>B$36&amp;" на "&amp;E65&amp;" шаге = Коэффициент дисконтирования * ДП проекта = "&amp;F65&amp;" * "&amp;ROUND(C390,2)&amp;" ="</f>
        <v>Дисконтированный ДП на 9 шаге = Коэффициент дисконтирования * ДП проекта = 0,194 * 50090945,66 =</v>
      </c>
      <c r="C416" s="201">
        <f>C390*F65</f>
        <v>9717643.4574736692</v>
      </c>
    </row>
    <row r="417" spans="2:3" x14ac:dyDescent="0.25">
      <c r="B417" s="218" t="str">
        <f>B$36&amp;" на "&amp;E66&amp;" шаге = Коэффициент дисконтирования * ДП проекта = "&amp;F66&amp;" * "&amp;ROUND(C391,2)&amp;" ="</f>
        <v>Дисконтированный ДП на 10 шаге = Коэффициент дисконтирования * ДП проекта = 0,162 * 50090945,66 =</v>
      </c>
      <c r="C417" s="201">
        <f>C391*F66</f>
        <v>8114733.1964470847</v>
      </c>
    </row>
    <row r="418" spans="2:3" ht="15.75" thickBot="1" x14ac:dyDescent="0.3">
      <c r="B418" s="219"/>
    </row>
    <row r="419" spans="2:3" ht="15.75" thickBot="1" x14ac:dyDescent="0.3">
      <c r="B419" s="221" t="s">
        <v>394</v>
      </c>
    </row>
    <row r="420" spans="2:3" x14ac:dyDescent="0.25">
      <c r="B420" s="219" t="str">
        <f>B$37&amp;" на "&amp;E56&amp;" шаге = Дисконтрированный ДП на "&amp;E56&amp;" шаге"</f>
        <v>ДДП накопленным итогом ЧДД на 0 шаге = Дисконтрированный ДП на 0 шаге</v>
      </c>
      <c r="C420" s="201">
        <f>C394</f>
        <v>-87599403</v>
      </c>
    </row>
    <row r="421" spans="2:3" x14ac:dyDescent="0.25">
      <c r="B421" s="219" t="str">
        <f>B$37&amp;" на "&amp;E57&amp;" шаге = "&amp;B$37&amp;" на "&amp;E56&amp;" шаге + Дисконтрированный ДП на "&amp;E57&amp;" шаге"</f>
        <v>ДДП накопленным итогом ЧДД на 1 шаге = ДДП накопленным итогом ЧДД на 0 шаге + Дисконтрированный ДП на 1 шаге</v>
      </c>
      <c r="C421" s="201">
        <f>C420+C395</f>
        <v>-92927520.900000006</v>
      </c>
    </row>
    <row r="422" spans="2:3" x14ac:dyDescent="0.25">
      <c r="B422" s="219" t="str">
        <f>B$37&amp;" на "&amp;E58&amp;" шаге = "&amp;B$37&amp;" на "&amp;E57&amp;" шаге + Дисконтрированный ДП на "&amp;E58&amp;" шаге"</f>
        <v>ДДП накопленным итогом ЧДД на 2 шаге = ДДП накопленным итогом ЧДД на 1 шаге + Дисконтрированный ДП на 2 шаге</v>
      </c>
      <c r="C422" s="201">
        <f t="shared" ref="C422:C429" si="53">C421+C396</f>
        <v>-102730041.6222824</v>
      </c>
    </row>
    <row r="423" spans="2:3" x14ac:dyDescent="0.25">
      <c r="B423" s="219" t="str">
        <f>B$37&amp;" на "&amp;E59&amp;" шаге = "&amp;B$37&amp;" на "&amp;E58&amp;" шаге + Дисконтрированный ДП на "&amp;E59&amp;" шаге"</f>
        <v>ДДП накопленным итогом ЧДД на 3 шаге = ДДП накопленным итогом ЧДД на 2 шаге + Дисконтрированный ДП на 3 шаге</v>
      </c>
      <c r="C423" s="201">
        <f t="shared" si="53"/>
        <v>-97626445.162832618</v>
      </c>
    </row>
    <row r="424" spans="2:3" x14ac:dyDescent="0.25">
      <c r="B424" s="219" t="str">
        <f>B$37&amp;" на "&amp;E60&amp;" шаге = "&amp;B$37&amp;" на "&amp;E59&amp;" шаге + Дисконтрированный ДП на "&amp;E60&amp;" шаге"</f>
        <v>ДДП накопленным итогом ЧДД на 4 шаге = ДДП накопленным итогом ЧДД на 3 шаге + Дисконтрированный ДП на 4 шаге</v>
      </c>
      <c r="C424" s="201">
        <f t="shared" si="53"/>
        <v>-79105178.880119681</v>
      </c>
    </row>
    <row r="425" spans="2:3" x14ac:dyDescent="0.25">
      <c r="B425" s="219" t="str">
        <f>B$37&amp;" на "&amp;E61&amp;" шаге = "&amp;B$37&amp;" на "&amp;E60&amp;" шаге + Дисконтрированный ДП на "&amp;E61&amp;" шаге"</f>
        <v>ДДП накопленным итогом ЧДД на 5 шаге = ДДП накопленным итогом ЧДД на 4 шаге + Дисконтрированный ДП на 5 шаге</v>
      </c>
      <c r="C425" s="201">
        <f t="shared" si="53"/>
        <v>-55722136.673973203</v>
      </c>
    </row>
    <row r="426" spans="2:3" x14ac:dyDescent="0.25">
      <c r="B426" s="219" t="str">
        <f>B$37&amp;" на "&amp;E62&amp;" шаге = "&amp;B$37&amp;" на "&amp;E61&amp;" шаге + Дисконтрированный ДП на "&amp;E62&amp;" шаге"</f>
        <v>ДДП накопленным итогом ЧДД на 6 шаге = ДДП накопленным итогом ЧДД на 5 шаге + Дисконтрированный ДП на 6 шаге</v>
      </c>
      <c r="C426" s="201">
        <f t="shared" si="53"/>
        <v>-32929666.078851134</v>
      </c>
    </row>
    <row r="427" spans="2:3" x14ac:dyDescent="0.25">
      <c r="B427" s="219" t="str">
        <f>B$37&amp;" на "&amp;E63&amp;" шаге = "&amp;B$37&amp;" на "&amp;E62&amp;" шаге + Дисконтрированный ДП на "&amp;E63&amp;" шаге"</f>
        <v>ДДП накопленным итогом ЧДД на 7 шаге = ДДП накопленным итогом ЧДД на 6 шаге + Дисконтрированный ДП на 7 шаге</v>
      </c>
      <c r="C427" s="201">
        <f t="shared" si="53"/>
        <v>-13947280.120525587</v>
      </c>
    </row>
    <row r="428" spans="2:3" x14ac:dyDescent="0.25">
      <c r="B428" s="219" t="str">
        <f>B$37&amp;" на "&amp;E64&amp;" шаге = "&amp;B$37&amp;" на "&amp;E63&amp;" шаге + Дисконтрированный ДП на "&amp;E64&amp;" шаге"</f>
        <v>ДДП накопленным итогом ЧДД на 8 шаге = ДДП накопленным итогом ЧДД на 7 шаге + Дисконтрированный ДП на 8 шаге</v>
      </c>
      <c r="C428" s="201">
        <f t="shared" si="53"/>
        <v>1905393.457574239</v>
      </c>
    </row>
    <row r="429" spans="2:3" x14ac:dyDescent="0.25">
      <c r="B429" s="219" t="str">
        <f>B$37&amp;" на "&amp;E65&amp;" шаге = "&amp;B$37&amp;" на "&amp;E64&amp;" шаге + Дисконтрированный ДП на "&amp;E65&amp;" шаге"</f>
        <v>ДДП накопленным итогом ЧДД на 9 шаге = ДДП накопленным итогом ЧДД на 8 шаге + Дисконтрированный ДП на 9 шаге</v>
      </c>
      <c r="C429" s="201">
        <f t="shared" si="53"/>
        <v>15104615.235047914</v>
      </c>
    </row>
    <row r="430" spans="2:3" x14ac:dyDescent="0.25">
      <c r="B430" s="219" t="str">
        <f>B$37&amp;" на "&amp;E66&amp;" шаге = "&amp;B$37&amp;" на "&amp;E65&amp;" шаге + Дисконтрированный ДП на "&amp;E66&amp;" шаге"</f>
        <v>ДДП накопленным итогом ЧДД на 10 шаге = ДДП накопленным итогом ЧДД на 9 шаге + Дисконтрированный ДП на 10 шаге</v>
      </c>
      <c r="C430" s="201">
        <f>C429+C404</f>
        <v>26126645.791495003</v>
      </c>
    </row>
    <row r="431" spans="2:3" ht="15.75" thickBot="1" x14ac:dyDescent="0.3">
      <c r="B431" s="219"/>
    </row>
    <row r="432" spans="2:3" ht="15.75" thickBot="1" x14ac:dyDescent="0.3">
      <c r="B432" s="220" t="s">
        <v>395</v>
      </c>
    </row>
    <row r="433" spans="2:3" x14ac:dyDescent="0.25">
      <c r="B433" s="219" t="str">
        <f>B$37&amp;" на "&amp;E56&amp;" шаге = Дисконтрированный ДП на "&amp;E56&amp;" шаге"</f>
        <v>ДДП накопленным итогом ЧДД на 0 шаге = Дисконтрированный ДП на 0 шаге</v>
      </c>
      <c r="C433" s="201">
        <f>C407</f>
        <v>-87599403</v>
      </c>
    </row>
    <row r="434" spans="2:3" x14ac:dyDescent="0.25">
      <c r="B434" s="219" t="str">
        <f>B$37&amp;" на "&amp;E57&amp;" шаге = "&amp;B$37&amp;" на "&amp;E56&amp;" шаге + Дисконтрированный ДП на "&amp;E57&amp;" шаге"</f>
        <v>ДДП накопленным итогом ЧДД на 1 шаге = ДДП накопленным итогом ЧДД на 0 шаге + Дисконтрированный ДП на 1 шаге</v>
      </c>
      <c r="C434" s="201">
        <f>C433+C408</f>
        <v>-92927520.900000006</v>
      </c>
    </row>
    <row r="435" spans="2:3" x14ac:dyDescent="0.25">
      <c r="B435" s="219" t="str">
        <f>B$37&amp;" на "&amp;E58&amp;" шаге = "&amp;B$37&amp;" на "&amp;E57&amp;" шаге + Дисконтрированный ДП на "&amp;E58&amp;" шаге"</f>
        <v>ДДП накопленным итогом ЧДД на 2 шаге = ДДП накопленным итогом ЧДД на 1 шаге + Дисконтрированный ДП на 2 шаге</v>
      </c>
      <c r="C435" s="201">
        <f t="shared" ref="C435:C442" si="54">C434+C409</f>
        <v>-105843721.2022824</v>
      </c>
    </row>
    <row r="436" spans="2:3" x14ac:dyDescent="0.25">
      <c r="B436" s="219" t="str">
        <f>B$37&amp;" на "&amp;E59&amp;" шаге = "&amp;B$37&amp;" на "&amp;E58&amp;" шаге + Дисконтрированный ДП на "&amp;E59&amp;" шаге"</f>
        <v>ДДП накопленным итогом ЧДД на 3 шаге = ДДП накопленным итогом ЧДД на 2 шаге + Дисконтрированный ДП на 3 шаге</v>
      </c>
      <c r="C436" s="201">
        <f t="shared" si="54"/>
        <v>-104929870.81227016</v>
      </c>
    </row>
    <row r="437" spans="2:3" x14ac:dyDescent="0.25">
      <c r="B437" s="219" t="str">
        <f>B$37&amp;" на "&amp;E60&amp;" шаге = "&amp;B$37&amp;" на "&amp;E59&amp;" шаге + Дисконтрированный ДП на "&amp;E60&amp;" шаге"</f>
        <v>ДДП накопленным итогом ЧДД на 4 шаге = ДДП накопленным итогом ЧДД на 3 шаге + Дисконтрированный ДП на 4 шаге</v>
      </c>
      <c r="C437" s="201">
        <f t="shared" si="54"/>
        <v>-92463679.401557207</v>
      </c>
    </row>
    <row r="438" spans="2:3" x14ac:dyDescent="0.25">
      <c r="B438" s="219" t="str">
        <f>B$37&amp;" на "&amp;E61&amp;" шаге = "&amp;B$37&amp;" на "&amp;E60&amp;" шаге + Дисконтрированный ДП на "&amp;E61&amp;" шаге"</f>
        <v>ДДП накопленным итогом ЧДД на 5 шаге = ДДП накопленным итогом ЧДД на 4 шаге + Дисконтрированный ДП на 5 шаге</v>
      </c>
      <c r="C438" s="201">
        <f t="shared" si="54"/>
        <v>-75573601.299410731</v>
      </c>
    </row>
    <row r="439" spans="2:3" x14ac:dyDescent="0.25">
      <c r="B439" s="219" t="str">
        <f>B$37&amp;" на "&amp;E62&amp;" шаге = "&amp;B$37&amp;" на "&amp;E61&amp;" шаге + Дисконтрированный ДП на "&amp;E62&amp;" шаге"</f>
        <v>ДДП накопленным итогом ЧДД на 6 шаге = ДДП накопленным итогом ЧДД на 5 шаге + Дисконтрированный ДП на 6 шаге</v>
      </c>
      <c r="C439" s="201">
        <f t="shared" si="54"/>
        <v>-58793134.504288673</v>
      </c>
    </row>
    <row r="440" spans="2:3" x14ac:dyDescent="0.25">
      <c r="B440" s="219" t="str">
        <f>B$37&amp;" на "&amp;E63&amp;" шаге = "&amp;B$37&amp;" на "&amp;E62&amp;" шаге + Дисконтрированный ДП на "&amp;E63&amp;" шаге"</f>
        <v>ДДП накопленным итогом ЧДД на 7 шаге = ДДП накопленным итогом ЧДД на 6 шаге + Дисконтрированный ДП на 7 шаге</v>
      </c>
      <c r="C440" s="201">
        <f t="shared" si="54"/>
        <v>-44817760.665963136</v>
      </c>
    </row>
    <row r="441" spans="2:3" x14ac:dyDescent="0.25">
      <c r="B441" s="219" t="str">
        <f>B$37&amp;" на "&amp;E64&amp;" шаге = "&amp;B$37&amp;" на "&amp;E63&amp;" шаге + Дисконтрированный ДП на "&amp;E64&amp;" шаге"</f>
        <v>ДДП накопленным итогом ЧДД на 8 шаге = ДДП накопленным итогом ЧДД на 7 шаге + Дисконтрированный ДП на 8 шаге</v>
      </c>
      <c r="C441" s="201">
        <f t="shared" si="54"/>
        <v>-33146570.327863313</v>
      </c>
    </row>
    <row r="442" spans="2:3" x14ac:dyDescent="0.25">
      <c r="B442" s="219" t="str">
        <f>B$37&amp;" на "&amp;E65&amp;" шаге = "&amp;B$37&amp;" на "&amp;E64&amp;" шаге + Дисконтрированный ДП на "&amp;E65&amp;" шаге"</f>
        <v>ДДП накопленным итогом ЧДД на 9 шаге = ДДП накопленным итогом ЧДД на 8 шаге + Дисконтрированный ДП на 9 шаге</v>
      </c>
      <c r="C442" s="201">
        <f t="shared" si="54"/>
        <v>-23428926.870389644</v>
      </c>
    </row>
    <row r="443" spans="2:3" x14ac:dyDescent="0.25">
      <c r="B443" s="219" t="str">
        <f>B$37&amp;" на "&amp;E66&amp;" шаге = "&amp;B$37&amp;" на "&amp;E65&amp;" шаге + Дисконтрированный ДП на "&amp;E66&amp;" шаге"</f>
        <v>ДДП накопленным итогом ЧДД на 10 шаге = ДДП накопленным итогом ЧДД на 9 шаге + Дисконтрированный ДП на 10 шаге</v>
      </c>
      <c r="C443" s="201">
        <f>C442+C417</f>
        <v>-15314193.673942558</v>
      </c>
    </row>
    <row r="444" spans="2:3" ht="15.75" thickBot="1" x14ac:dyDescent="0.3">
      <c r="B444" s="219"/>
    </row>
    <row r="445" spans="2:3" ht="15.75" thickBot="1" x14ac:dyDescent="0.3">
      <c r="B445" s="221" t="s">
        <v>394</v>
      </c>
    </row>
    <row r="446" spans="2:3" x14ac:dyDescent="0.25">
      <c r="B446" s="218" t="str">
        <f>B$39&amp;" на "&amp;E56&amp;" шаге = "&amp;B$38&amp;" * Коэффициент дисконтрирования = "&amp;C82&amp;" * "&amp;F56&amp;" ="</f>
        <v>Дисконтированные притоки на 0 шаге = Притоки * Коэффициент дисконтрирования = 0 * 1 =</v>
      </c>
      <c r="C446" s="174">
        <f>C82*F56</f>
        <v>0</v>
      </c>
    </row>
    <row r="447" spans="2:3" x14ac:dyDescent="0.25">
      <c r="B447" s="218" t="str">
        <f>B$39&amp;" на "&amp;E57&amp;" шаге = "&amp;B$38&amp;" * Коэффициент дисконтрирования = "&amp;C83&amp;" * "&amp;F57&amp;" ="</f>
        <v>Дисконтированные притоки на 1 шаге = Притоки * Коэффициент дисконтрирования = 0 * 0,833 =</v>
      </c>
      <c r="C447" s="212">
        <f>C83*F57</f>
        <v>0</v>
      </c>
    </row>
    <row r="448" spans="2:3" x14ac:dyDescent="0.25">
      <c r="B448" s="218" t="str">
        <f>B$39&amp;" на "&amp;E58&amp;" шаге = "&amp;B$38&amp;" * Коэффициент дисконтрирования = "&amp;C84&amp;" * "&amp;F58&amp;" ="</f>
        <v>Дисконтированные притоки на 2 шаге = Притоки * Коэффициент дисконтрирования = 60323340 * 0,694 =</v>
      </c>
      <c r="C448" s="212">
        <f>C84*F58</f>
        <v>41864397.959999993</v>
      </c>
    </row>
    <row r="449" spans="2:3" x14ac:dyDescent="0.25">
      <c r="B449" s="218" t="str">
        <f>B$39&amp;" на "&amp;E59&amp;" шаге = "&amp;B$38&amp;" * Коэффициент дисконтрирования = "&amp;C85&amp;" * "&amp;F59&amp;" ="</f>
        <v>Дисконтированные притоки на 3 шаге = Притоки * Коэффициент дисконтрирования = 120646680 * 0,579 =</v>
      </c>
      <c r="C449" s="212">
        <f>C85*F59</f>
        <v>69854427.719999999</v>
      </c>
    </row>
    <row r="450" spans="2:3" x14ac:dyDescent="0.25">
      <c r="B450" s="218" t="str">
        <f>B$39&amp;" на "&amp;E60&amp;" шаге = "&amp;B$38&amp;" * Коэффициент дисконтрирования = "&amp;C86&amp;" * "&amp;F60&amp;" ="</f>
        <v>Дисконтированные притоки на 4 шаге = Притоки * Коэффициент дисконтрирования = 211131690 * 0,482 =</v>
      </c>
      <c r="C450" s="212">
        <f>C86*F60</f>
        <v>101765474.58</v>
      </c>
    </row>
    <row r="451" spans="2:3" x14ac:dyDescent="0.25">
      <c r="B451" s="218" t="str">
        <f>B$39&amp;" на "&amp;E61&amp;" шаге = "&amp;B$38&amp;" * Коэффициент дисконтрирования = "&amp;C87&amp;" * "&amp;F61&amp;" ="</f>
        <v>Дисконтированные притоки на 5 шаге = Притоки * Коэффициент дисконтрирования = 271455030 * 0,402 =</v>
      </c>
      <c r="C451" s="212">
        <f>C87*F61</f>
        <v>109124922.06</v>
      </c>
    </row>
    <row r="452" spans="2:3" x14ac:dyDescent="0.25">
      <c r="B452" s="218" t="str">
        <f>B$39&amp;" на "&amp;E62&amp;" шаге = "&amp;B$38&amp;" * Коэффициент дисконтрирования = "&amp;C88&amp;" * "&amp;F62&amp;" ="</f>
        <v>Дисконтированные притоки на 6 шаге = Притоки * Коэффициент дисконтрирования = 301616700 * 0,335 =</v>
      </c>
      <c r="C452" s="212">
        <f>C88*F62</f>
        <v>101041594.5</v>
      </c>
    </row>
    <row r="453" spans="2:3" x14ac:dyDescent="0.25">
      <c r="B453" s="218" t="str">
        <f>B$39&amp;" на "&amp;E63&amp;" шаге = "&amp;B$38&amp;" * Коэффициент дисконтрирования = "&amp;C89&amp;" * "&amp;F63&amp;" ="</f>
        <v>Дисконтированные притоки на 7 шаге = Притоки * Коэффициент дисконтрирования = 301616700 * 0,279 =</v>
      </c>
      <c r="C453" s="212">
        <f>C89*F63</f>
        <v>84151059.300000012</v>
      </c>
    </row>
    <row r="454" spans="2:3" x14ac:dyDescent="0.25">
      <c r="B454" s="218" t="str">
        <f>B$39&amp;" на "&amp;E64&amp;" шаге = "&amp;B$38&amp;" * Коэффициент дисконтрирования = "&amp;C90&amp;" * "&amp;F64&amp;" ="</f>
        <v>Дисконтированные притоки на 8 шаге = Притоки * Коэффициент дисконтрирования = 301616700 * 0,233 =</v>
      </c>
      <c r="C454" s="212">
        <f>C90*F64</f>
        <v>70276691.100000009</v>
      </c>
    </row>
    <row r="455" spans="2:3" x14ac:dyDescent="0.25">
      <c r="B455" s="218" t="str">
        <f>B$39&amp;" на "&amp;E65&amp;" шаге = "&amp;B$38&amp;" * Коэффициент дисконтрирования = "&amp;C91&amp;" * "&amp;F65&amp;" ="</f>
        <v>Дисконтированные притоки на 9 шаге = Притоки * Коэффициент дисконтрирования = 301616700 * 0,194 =</v>
      </c>
      <c r="C455" s="212">
        <f>C91*F65</f>
        <v>58513639.800000004</v>
      </c>
    </row>
    <row r="456" spans="2:3" x14ac:dyDescent="0.25">
      <c r="B456" s="218" t="str">
        <f>B$39&amp;" на "&amp;E66&amp;" шаге = "&amp;B$38&amp;" * Коэффициент дисконтрирования = "&amp;C92&amp;" * "&amp;F66&amp;" ="</f>
        <v>Дисконтированные притоки на 10 шаге = Притоки * Коэффициент дисконтрирования = 301616700 * 0,162 =</v>
      </c>
      <c r="C456" s="212">
        <f>C92*F66</f>
        <v>48861905.399999999</v>
      </c>
    </row>
    <row r="457" spans="2:3" ht="15.75" thickBot="1" x14ac:dyDescent="0.3">
      <c r="B457" s="218" t="s">
        <v>436</v>
      </c>
      <c r="C457" s="174">
        <f>SUM(C446:C456)</f>
        <v>685454112.41999996</v>
      </c>
    </row>
    <row r="458" spans="2:3" ht="15.75" thickBot="1" x14ac:dyDescent="0.3">
      <c r="B458" s="220" t="s">
        <v>395</v>
      </c>
    </row>
    <row r="459" spans="2:3" x14ac:dyDescent="0.25">
      <c r="B459" s="218" t="str">
        <f>B$39&amp;" на "&amp;E56&amp;" шаге = "&amp;B$38&amp;" * Коэффициент дисконтрирования = "&amp;C95&amp;" * "&amp;F56&amp;" ="</f>
        <v>Дисконтированные притоки на 0 шаге = Притоки * Коэффициент дисконтрирования = 0 * 1 =</v>
      </c>
      <c r="C459" s="212">
        <f>C95*F56</f>
        <v>0</v>
      </c>
    </row>
    <row r="460" spans="2:3" x14ac:dyDescent="0.25">
      <c r="B460" s="218" t="str">
        <f>B$39&amp;" на "&amp;E57&amp;" шаге = "&amp;B$38&amp;" * Коэффициент дисконтрирования = "&amp;C96&amp;" * "&amp;F57&amp;" ="</f>
        <v>Дисконтированные притоки на 1 шаге = Притоки * Коэффициент дисконтрирования = 0 * 0,833 =</v>
      </c>
      <c r="C460" s="212">
        <f>C96*F57</f>
        <v>0</v>
      </c>
    </row>
    <row r="461" spans="2:3" x14ac:dyDescent="0.25">
      <c r="B461" s="218" t="str">
        <f>B$39&amp;" на "&amp;E58&amp;" шаге = "&amp;B$38&amp;" * Коэффициент дисконтрирования = "&amp;C97&amp;" * "&amp;F58&amp;" ="</f>
        <v>Дисконтированные притоки на 2 шаге = Притоки * Коэффициент дисконтрирования = 49355460 * 0,694 =</v>
      </c>
      <c r="C461" s="212">
        <f>C97*F58</f>
        <v>34252689.239999995</v>
      </c>
    </row>
    <row r="462" spans="2:3" x14ac:dyDescent="0.25">
      <c r="B462" s="218" t="str">
        <f>B$39&amp;" на "&amp;E59&amp;" шаге = "&amp;B$38&amp;" * Коэффициент дисконтрирования = "&amp;C98&amp;" * "&amp;F59&amp;" ="</f>
        <v>Дисконтированные притоки на 3 шаге = Притоки * Коэффициент дисконтрирования = 98710920 * 0,579 =</v>
      </c>
      <c r="C462" s="212">
        <f>C98*F59</f>
        <v>57153622.679999992</v>
      </c>
    </row>
    <row r="463" spans="2:3" x14ac:dyDescent="0.25">
      <c r="B463" s="218" t="str">
        <f>B$39&amp;" на "&amp;E60&amp;" шаге = "&amp;B$38&amp;" * Коэффициент дисконтрирования = "&amp;C99&amp;" * "&amp;F60&amp;" ="</f>
        <v>Дисконтированные притоки на 4 шаге = Притоки * Коэффициент дисконтрирования = 172744110 * 0,482 =</v>
      </c>
      <c r="C463" s="212">
        <f>C99*F60</f>
        <v>83262661.019999996</v>
      </c>
    </row>
    <row r="464" spans="2:3" x14ac:dyDescent="0.25">
      <c r="B464" s="218" t="str">
        <f>B$39&amp;" на "&amp;E61&amp;" шаге = "&amp;B$38&amp;" * Коэффициент дисконтрирования = "&amp;C100&amp;" * "&amp;F61&amp;" ="</f>
        <v>Дисконтированные притоки на 5 шаге = Притоки * Коэффициент дисконтрирования = 222099570 * 0,402 =</v>
      </c>
      <c r="C464" s="212">
        <f>C100*F61</f>
        <v>89284027.140000001</v>
      </c>
    </row>
    <row r="465" spans="2:3" x14ac:dyDescent="0.25">
      <c r="B465" s="218" t="str">
        <f>B$39&amp;" на "&amp;E62&amp;" шаге = "&amp;B$38&amp;" * Коэффициент дисконтрирования = "&amp;C101&amp;" * "&amp;F62&amp;" ="</f>
        <v>Дисконтированные притоки на 6 шаге = Притоки * Коэффициент дисконтрирования = 246777300 * 0,335 =</v>
      </c>
      <c r="C465" s="212">
        <f>C101*F62</f>
        <v>82670395.5</v>
      </c>
    </row>
    <row r="466" spans="2:3" x14ac:dyDescent="0.25">
      <c r="B466" s="218" t="str">
        <f>B$39&amp;" на "&amp;E63&amp;" шаге = "&amp;B$38&amp;" * Коэффициент дисконтрирования = "&amp;C102&amp;" * "&amp;F63&amp;" ="</f>
        <v>Дисконтированные притоки на 7 шаге = Притоки * Коэффициент дисконтрирования = 246777300 * 0,279 =</v>
      </c>
      <c r="C466" s="212">
        <f>C102*F63</f>
        <v>68850866.700000003</v>
      </c>
    </row>
    <row r="467" spans="2:3" x14ac:dyDescent="0.25">
      <c r="B467" s="218" t="str">
        <f>B$39&amp;" на "&amp;E64&amp;" шаге = "&amp;B$38&amp;" * Коэффициент дисконтрирования = "&amp;C103&amp;" * "&amp;F64&amp;" ="</f>
        <v>Дисконтированные притоки на 8 шаге = Притоки * Коэффициент дисконтрирования = 246777300 * 0,233 =</v>
      </c>
      <c r="C467" s="212">
        <f>C103*F64</f>
        <v>57499110.899999999</v>
      </c>
    </row>
    <row r="468" spans="2:3" x14ac:dyDescent="0.25">
      <c r="B468" s="218" t="str">
        <f>B$39&amp;" на "&amp;E65&amp;" шаге = "&amp;B$38&amp;" * Коэффициент дисконтрирования = "&amp;C104&amp;" * "&amp;F65&amp;" ="</f>
        <v>Дисконтированные притоки на 9 шаге = Притоки * Коэффициент дисконтрирования = 246777300 * 0,194 =</v>
      </c>
      <c r="C468" s="212">
        <f>C104*F65</f>
        <v>47874796.199999996</v>
      </c>
    </row>
    <row r="469" spans="2:3" x14ac:dyDescent="0.25">
      <c r="B469" s="218" t="str">
        <f>B$39&amp;" на "&amp;E66&amp;" шаге = "&amp;B$38&amp;" * Коэффициент дисконтрирования = "&amp;C105&amp;" * "&amp;F66&amp;" ="</f>
        <v>Дисконтированные притоки на 10 шаге = Притоки * Коэффициент дисконтрирования = 246777300 * 0,162 =</v>
      </c>
      <c r="C469" s="212">
        <f>C105*F66</f>
        <v>39977922.599999994</v>
      </c>
    </row>
    <row r="470" spans="2:3" ht="15.75" thickBot="1" x14ac:dyDescent="0.3">
      <c r="B470" s="218" t="s">
        <v>436</v>
      </c>
      <c r="C470" s="174">
        <f>SUM(C459:C469)</f>
        <v>560826091.9799999</v>
      </c>
    </row>
    <row r="471" spans="2:3" ht="15.75" thickBot="1" x14ac:dyDescent="0.3">
      <c r="B471" s="221" t="s">
        <v>394</v>
      </c>
    </row>
    <row r="472" spans="2:3" x14ac:dyDescent="0.25">
      <c r="B472" s="219" t="str">
        <f>B$41&amp;" на "&amp;E56&amp;"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72" s="201">
        <f>C238-D$23-C290-D$30</f>
        <v>87599403</v>
      </c>
    </row>
    <row r="473" spans="2:3" x14ac:dyDescent="0.25">
      <c r="B473" s="219" t="str">
        <f>B$41&amp;" на "&amp;E57&amp;"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73" s="201">
        <f>C239-E$23-C291-E$30</f>
        <v>6396300</v>
      </c>
    </row>
    <row r="474" spans="2:3" x14ac:dyDescent="0.25">
      <c r="B474" s="219" t="str">
        <f>B$41&amp;" на "&amp;E58&amp;"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74" s="201">
        <f>C240-F$23-C292-F$30</f>
        <v>-13207489.628648978</v>
      </c>
    </row>
    <row r="475" spans="2:3" x14ac:dyDescent="0.25">
      <c r="B475" s="219" t="str">
        <f>B$41&amp;" на "&amp;E59&amp;"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75" s="201">
        <f t="shared" ref="C475:C482" si="55">C241-F$23-C293-F$30</f>
        <v>10648861.657080825</v>
      </c>
    </row>
    <row r="476" spans="2:3" x14ac:dyDescent="0.25">
      <c r="B476" s="219" t="str">
        <f>B$41&amp;" на "&amp;E60&amp;"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76" s="201">
        <f t="shared" si="55"/>
        <v>41635993.657080829</v>
      </c>
    </row>
    <row r="477" spans="2:3" x14ac:dyDescent="0.25">
      <c r="B477" s="219" t="str">
        <f>B$41&amp;" на "&amp;E61&amp;"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77" s="201">
        <f t="shared" si="55"/>
        <v>62294081.657080822</v>
      </c>
    </row>
    <row r="478" spans="2:3" x14ac:dyDescent="0.25">
      <c r="B478" s="219" t="str">
        <f>B$41&amp;" на "&amp;E62&amp;"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78" s="201">
        <f t="shared" si="55"/>
        <v>72623125.657080814</v>
      </c>
    </row>
    <row r="479" spans="2:3" x14ac:dyDescent="0.25">
      <c r="B479" s="219" t="str">
        <f>B$41&amp;" на "&amp;E63&amp;"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79" s="201">
        <f t="shared" si="55"/>
        <v>72623125.657080814</v>
      </c>
    </row>
    <row r="480" spans="2:3" x14ac:dyDescent="0.25">
      <c r="B480" s="219" t="str">
        <f>B$41&amp;" на "&amp;E64&amp;"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80" s="201">
        <f t="shared" si="55"/>
        <v>72623125.657080814</v>
      </c>
    </row>
    <row r="481" spans="2:3" x14ac:dyDescent="0.25">
      <c r="B481" s="219" t="str">
        <f>B$41&amp;" на "&amp;E65&amp;"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81" s="201">
        <f t="shared" si="55"/>
        <v>72623125.657080814</v>
      </c>
    </row>
    <row r="482" spans="2:3" x14ac:dyDescent="0.25">
      <c r="B482" s="219" t="str">
        <f>B$41&amp;" на "&amp;E66&amp;"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82" s="201">
        <f t="shared" si="55"/>
        <v>72623125.657080814</v>
      </c>
    </row>
    <row r="483" spans="2:3" ht="15.75" thickBot="1" x14ac:dyDescent="0.3">
      <c r="B483" s="219"/>
    </row>
    <row r="484" spans="2:3" ht="15.75" thickBot="1" x14ac:dyDescent="0.3">
      <c r="B484" s="220" t="s">
        <v>395</v>
      </c>
    </row>
    <row r="485" spans="2:3" x14ac:dyDescent="0.25">
      <c r="B485" s="219" t="str">
        <f>B$41&amp;" на "&amp;E56&amp;"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85" s="201">
        <f>C251-D$23-C303-D$30</f>
        <v>87599403</v>
      </c>
    </row>
    <row r="486" spans="2:3" x14ac:dyDescent="0.25">
      <c r="B486" s="219" t="str">
        <f>B$41&amp;" на "&amp;E57&amp;"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86" s="201">
        <f>C252-E$23-C304-E$30</f>
        <v>6396300</v>
      </c>
    </row>
    <row r="487" spans="2:3" x14ac:dyDescent="0.25">
      <c r="B487" s="219" t="str">
        <f>B$41&amp;" на "&amp;E58&amp;"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87" s="201">
        <f>C253-F$23-C305-F$30</f>
        <v>-17860819.628648981</v>
      </c>
    </row>
    <row r="488" spans="2:3" x14ac:dyDescent="0.25">
      <c r="B488" s="219" t="str">
        <f>B$41&amp;" на "&amp;E59&amp;"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88" s="201">
        <f t="shared" ref="C488:C495" si="56">C254-F$23-C306-F$30</f>
        <v>3079165.3713510185</v>
      </c>
    </row>
    <row r="489" spans="2:3" x14ac:dyDescent="0.25">
      <c r="B489" s="219" t="str">
        <f>B$41&amp;" на "&amp;E60&amp;"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89" s="201">
        <f t="shared" si="56"/>
        <v>28489937.657080814</v>
      </c>
    </row>
    <row r="490" spans="2:3" x14ac:dyDescent="0.25">
      <c r="B490" s="219" t="str">
        <f>B$41&amp;" на "&amp;E61&amp;"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90" s="201">
        <f t="shared" si="56"/>
        <v>45392009.657080822</v>
      </c>
    </row>
    <row r="491" spans="2:3" x14ac:dyDescent="0.25">
      <c r="B491" s="219" t="str">
        <f>B$41&amp;" на "&amp;E62&amp;"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91" s="201">
        <f t="shared" si="56"/>
        <v>53843045.657080829</v>
      </c>
    </row>
    <row r="492" spans="2:3" x14ac:dyDescent="0.25">
      <c r="B492" s="219" t="str">
        <f>B$41&amp;" на "&amp;E63&amp;"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92" s="201">
        <f t="shared" si="56"/>
        <v>53843045.657080829</v>
      </c>
    </row>
    <row r="493" spans="2:3" x14ac:dyDescent="0.25">
      <c r="B493" s="219" t="str">
        <f>B$41&amp;" на "&amp;E64&amp;"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93" s="201">
        <f t="shared" si="56"/>
        <v>53843045.657080829</v>
      </c>
    </row>
    <row r="494" spans="2:3" x14ac:dyDescent="0.25">
      <c r="B494" s="219" t="str">
        <f>B$41&amp;" на "&amp;E65&amp;"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94" s="201">
        <f t="shared" si="56"/>
        <v>53843045.657080829</v>
      </c>
    </row>
    <row r="495" spans="2:3" x14ac:dyDescent="0.25">
      <c r="B495" s="219" t="str">
        <f>B$41&amp;" на "&amp;E66&amp;"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95" s="201">
        <f t="shared" si="56"/>
        <v>53843045.657080829</v>
      </c>
    </row>
    <row r="496" spans="2:3" ht="15.75" thickBot="1" x14ac:dyDescent="0.3">
      <c r="B496" s="219"/>
    </row>
    <row r="497" spans="2:3" ht="15.75" thickBot="1" x14ac:dyDescent="0.3">
      <c r="B497" s="221" t="s">
        <v>394</v>
      </c>
    </row>
    <row r="498" spans="2:3" x14ac:dyDescent="0.25">
      <c r="B498" s="219" t="str">
        <f>B$42&amp;" на "&amp;E56&amp;" шаге = Оттоки * Коэффициент дисконтирования = "&amp;ROUND(C485,2)&amp;" * "&amp;F56&amp;" ="</f>
        <v>Дисконтированные оттоки на 0 шаге = Оттоки * Коэффициент дисконтирования = 87599403 * 1 =</v>
      </c>
      <c r="C498" s="201">
        <f>C472*F56</f>
        <v>87599403</v>
      </c>
    </row>
    <row r="499" spans="2:3" x14ac:dyDescent="0.25">
      <c r="B499" s="219" t="str">
        <f>B$42&amp;" на "&amp;E57&amp;" шаге = Оттоки * Коэффициент дисконтирования = "&amp;ROUND(C486,2)&amp;" * "&amp;F57&amp;" ="</f>
        <v>Дисконтированные оттоки на 1 шаге = Оттоки * Коэффициент дисконтирования = 6396300 * 0,833 =</v>
      </c>
      <c r="C499" s="201">
        <f>C473*F57</f>
        <v>5328117.8999999994</v>
      </c>
    </row>
    <row r="500" spans="2:3" x14ac:dyDescent="0.25">
      <c r="B500" s="219" t="str">
        <f>B$42&amp;" на "&amp;E58&amp;" шаге = Оттоки * Коэффициент дисконтирования = "&amp;ROUND(C487,2)&amp;" * "&amp;F58&amp;" ="</f>
        <v>Дисконтированные оттоки на 2 шаге = Оттоки * Коэффициент дисконтирования = -17860819,63 * 0,694 =</v>
      </c>
      <c r="C500" s="201">
        <f>C474*F58</f>
        <v>-9165997.8022823893</v>
      </c>
    </row>
    <row r="501" spans="2:3" x14ac:dyDescent="0.25">
      <c r="B501" s="219" t="str">
        <f>B$42&amp;" на "&amp;E59&amp;" шаге = Оттоки * Коэффициент дисконтирования = "&amp;ROUND(C488,2)&amp;" * "&amp;F59&amp;" ="</f>
        <v>Дисконтированные оттоки на 3 шаге = Оттоки * Коэффициент дисконтирования = 3079165,37 * 0,579 =</v>
      </c>
      <c r="C501" s="201">
        <f>C475*F59</f>
        <v>6165690.8994497973</v>
      </c>
    </row>
    <row r="502" spans="2:3" x14ac:dyDescent="0.25">
      <c r="B502" s="219" t="str">
        <f>B$42&amp;" на "&amp;E60&amp;" шаге = Оттоки * Коэффициент дисконтирования = "&amp;ROUND(C489,2)&amp;" * "&amp;F60&amp;" ="</f>
        <v>Дисконтированные оттоки на 4 шаге = Оттоки * Коэффициент дисконтирования = 28489937,66 * 0,482 =</v>
      </c>
      <c r="C502" s="201">
        <f>C476*F60</f>
        <v>20068548.942712959</v>
      </c>
    </row>
    <row r="503" spans="2:3" x14ac:dyDescent="0.25">
      <c r="B503" s="219" t="str">
        <f>B$42&amp;" на "&amp;E61&amp;" шаге = Оттоки * Коэффициент дисконтирования = "&amp;ROUND(C490,2)&amp;" * "&amp;F61&amp;" ="</f>
        <v>Дисконтированные оттоки на 5 шаге = Оттоки * Коэффициент дисконтирования = 45392009,66 * 0,402 =</v>
      </c>
      <c r="C503" s="201">
        <f>C477*F61</f>
        <v>25042220.826146491</v>
      </c>
    </row>
    <row r="504" spans="2:3" x14ac:dyDescent="0.25">
      <c r="B504" s="219" t="str">
        <f>B$42&amp;" на "&amp;E62&amp;" шаге = Оттоки * Коэффициент дисконтирования = "&amp;ROUND(C491,2)&amp;" * "&amp;F62&amp;" ="</f>
        <v>Дисконтированные оттоки на 6 шаге = Оттоки * Коэффициент дисконтирования = 53843045,66 * 0,335 =</v>
      </c>
      <c r="C504" s="201">
        <f>C478*F62</f>
        <v>24328747.095122073</v>
      </c>
    </row>
    <row r="505" spans="2:3" x14ac:dyDescent="0.25">
      <c r="B505" s="219" t="str">
        <f>B$42&amp;" на "&amp;E63&amp;" шаге = Оттоки * Коэффициент дисконтирования = "&amp;ROUND(C492,2)&amp;" * "&amp;F63&amp;" ="</f>
        <v>Дисконтированные оттоки на 7 шаге = Оттоки * Коэффициент дисконтирования = 53843045,66 * 0,279 =</v>
      </c>
      <c r="C505" s="201">
        <f>C479*F63</f>
        <v>20261852.058325548</v>
      </c>
    </row>
    <row r="506" spans="2:3" x14ac:dyDescent="0.25">
      <c r="B506" s="219" t="str">
        <f>B$42&amp;" на "&amp;E64&amp;" шаге = Оттоки * Коэффициент дисконтирования = "&amp;ROUND(C493,2)&amp;" * "&amp;F64&amp;" ="</f>
        <v>Дисконтированные оттоки на 8 шаге = Оттоки * Коэффициент дисконтирования = 53843045,66 * 0,233 =</v>
      </c>
      <c r="C506" s="201">
        <f>C480*F64</f>
        <v>16921188.278099831</v>
      </c>
    </row>
    <row r="507" spans="2:3" x14ac:dyDescent="0.25">
      <c r="B507" s="219" t="str">
        <f>B$42&amp;" на "&amp;E65&amp;" шаге = Оттоки * Коэффициент дисконтирования = "&amp;ROUND(C494,2)&amp;" * "&amp;F65&amp;" ="</f>
        <v>Дисконтированные оттоки на 9 шаге = Оттоки * Коэффициент дисконтирования = 53843045,66 * 0,194 =</v>
      </c>
      <c r="C507" s="201">
        <f>C481*F65</f>
        <v>14088886.377473678</v>
      </c>
    </row>
    <row r="508" spans="2:3" x14ac:dyDescent="0.25">
      <c r="B508" s="219" t="str">
        <f>B$42&amp;" на "&amp;E66&amp;" шаге = Оттоки * Коэффициент дисконтирования = "&amp;ROUND(C495,2)&amp;" * "&amp;F66&amp;" ="</f>
        <v>Дисконтированные оттоки на 10 шаге = Оттоки * Коэффициент дисконтирования = 53843045,66 * 0,162 =</v>
      </c>
      <c r="C508" s="201">
        <f>C482*F66</f>
        <v>11764946.356447093</v>
      </c>
    </row>
    <row r="509" spans="2:3" ht="15.75" thickBot="1" x14ac:dyDescent="0.3">
      <c r="B509" s="219" t="str">
        <f>B43&amp;" = "</f>
        <v xml:space="preserve">Сумма дисконтированных оттоков = </v>
      </c>
      <c r="C509" s="201">
        <f>SUM(C498:C508)</f>
        <v>222403603.9314951</v>
      </c>
    </row>
    <row r="510" spans="2:3" ht="15.75" thickBot="1" x14ac:dyDescent="0.3">
      <c r="B510" s="220" t="s">
        <v>395</v>
      </c>
    </row>
    <row r="511" spans="2:3" x14ac:dyDescent="0.25">
      <c r="B511" s="219" t="str">
        <f>B$42&amp;" на "&amp;E56&amp;" шаге = Оттоки * Коэффициент дисконтирования = "&amp;ROUND(C498,2)&amp;" * "&amp;F56&amp;" ="</f>
        <v>Дисконтированные оттоки на 0 шаге = Оттоки * Коэффициент дисконтирования = 87599403 * 1 =</v>
      </c>
      <c r="C511" s="201">
        <f>C485*F56</f>
        <v>87599403</v>
      </c>
    </row>
    <row r="512" spans="2:3" x14ac:dyDescent="0.25">
      <c r="B512" s="219" t="str">
        <f>B$42&amp;" на "&amp;E57&amp;" шаге = Оттоки * Коэффициент дисконтирования = "&amp;ROUND(C499,2)&amp;" * "&amp;F57&amp;" ="</f>
        <v>Дисконтированные оттоки на 1 шаге = Оттоки * Коэффициент дисконтирования = 5328117,9 * 0,833 =</v>
      </c>
      <c r="C512" s="201">
        <f>C486*F57</f>
        <v>5328117.8999999994</v>
      </c>
    </row>
    <row r="513" spans="2:3" x14ac:dyDescent="0.25">
      <c r="B513" s="219" t="str">
        <f>B$42&amp;" на "&amp;E58&amp;" шаге = Оттоки * Коэффициент дисконтирования = "&amp;ROUND(C500,2)&amp;" * "&amp;F58&amp;" ="</f>
        <v>Дисконтированные оттоки на 2 шаге = Оттоки * Коэффициент дисконтирования = -9165997,8 * 0,694 =</v>
      </c>
      <c r="C513" s="201">
        <f>C487*F58</f>
        <v>-12395408.822282393</v>
      </c>
    </row>
    <row r="514" spans="2:3" x14ac:dyDescent="0.25">
      <c r="B514" s="219" t="str">
        <f>B$42&amp;" на "&amp;E59&amp;" шаге = Оттоки * Коэффициент дисконтирования = "&amp;ROUND(C501,2)&amp;" * "&amp;F59&amp;" ="</f>
        <v>Дисконтированные оттоки на 3 шаге = Оттоки * Коэффициент дисконтирования = 6165690,9 * 0,579 =</v>
      </c>
      <c r="C514" s="201">
        <f>C488*F59</f>
        <v>1782836.7500122397</v>
      </c>
    </row>
    <row r="515" spans="2:3" x14ac:dyDescent="0.25">
      <c r="B515" s="219" t="str">
        <f>B$42&amp;" на "&amp;E60&amp;" шаге = Оттоки * Коэффициент дисконтирования = "&amp;ROUND(C502,2)&amp;" * "&amp;F60&amp;" ="</f>
        <v>Дисконтированные оттоки на 4 шаге = Оттоки * Коэффициент дисконтирования = 20068548,94 * 0,482 =</v>
      </c>
      <c r="C515" s="201">
        <f>C489*F60</f>
        <v>13732149.950712953</v>
      </c>
    </row>
    <row r="516" spans="2:3" x14ac:dyDescent="0.25">
      <c r="B516" s="219" t="str">
        <f>B$42&amp;" на "&amp;E61&amp;" шаге = Оттоки * Коэффициент дисконтирования = "&amp;ROUND(C503,2)&amp;" * "&amp;F61&amp;" ="</f>
        <v>Дисконтированные оттоки на 5 шаге = Оттоки * Коэффициент дисконтирования = 25042220,83 * 0,402 =</v>
      </c>
      <c r="C516" s="201">
        <f>C490*F61</f>
        <v>18247587.882146493</v>
      </c>
    </row>
    <row r="517" spans="2:3" x14ac:dyDescent="0.25">
      <c r="B517" s="219" t="str">
        <f>B$42&amp;" на "&amp;E62&amp;" шаге = Оттоки * Коэффициент дисконтирования = "&amp;ROUND(C504,2)&amp;" * "&amp;F62&amp;" ="</f>
        <v>Дисконтированные оттоки на 6 шаге = Оттоки * Коэффициент дисконтирования = 24328747,1 * 0,335 =</v>
      </c>
      <c r="C517" s="201">
        <f>C491*F62</f>
        <v>18037420.29512208</v>
      </c>
    </row>
    <row r="518" spans="2:3" x14ac:dyDescent="0.25">
      <c r="B518" s="219" t="str">
        <f>B$42&amp;" на "&amp;E63&amp;" шаге = Оттоки * Коэффициент дисконтирования = "&amp;ROUND(C505,2)&amp;" * "&amp;F63&amp;" ="</f>
        <v>Дисконтированные оттоки на 7 шаге = Оттоки * Коэффициент дисконтирования = 20261852,06 * 0,279 =</v>
      </c>
      <c r="C518" s="201">
        <f>C492*F63</f>
        <v>15022209.738325553</v>
      </c>
    </row>
    <row r="519" spans="2:3" x14ac:dyDescent="0.25">
      <c r="B519" s="219" t="str">
        <f>B$42&amp;" на "&amp;E64&amp;" шаге = Оттоки * Коэффициент дисконтирования = "&amp;ROUND(C506,2)&amp;" * "&amp;F64&amp;" ="</f>
        <v>Дисконтированные оттоки на 8 шаге = Оттоки * Коэффициент дисконтирования = 16921188,28 * 0,233 =</v>
      </c>
      <c r="C519" s="201">
        <f>C493*F64</f>
        <v>12545429.638099834</v>
      </c>
    </row>
    <row r="520" spans="2:3" x14ac:dyDescent="0.25">
      <c r="B520" s="219" t="str">
        <f>B$42&amp;" на "&amp;E65&amp;" шаге = Оттоки * Коэффициент дисконтирования = "&amp;ROUND(C507,2)&amp;" * "&amp;F65&amp;" ="</f>
        <v>Дисконтированные оттоки на 9 шаге = Оттоки * Коэффициент дисконтирования = 14088886,38 * 0,194 =</v>
      </c>
      <c r="C520" s="201">
        <f>C494*F65</f>
        <v>10445550.857473681</v>
      </c>
    </row>
    <row r="521" spans="2:3" x14ac:dyDescent="0.25">
      <c r="B521" s="219" t="str">
        <f>B$42&amp;" на "&amp;E66&amp;" шаге = Оттоки * Коэффициент дисконтирования = "&amp;ROUND(C508,2)&amp;" * "&amp;F66&amp;" ="</f>
        <v>Дисконтированные оттоки на 10 шаге = Оттоки * Коэффициент дисконтирования = 11764946,36 * 0,162 =</v>
      </c>
      <c r="C521" s="201">
        <f>C495*F66</f>
        <v>8722573.3964470942</v>
      </c>
    </row>
    <row r="522" spans="2:3" x14ac:dyDescent="0.25">
      <c r="B522" s="219" t="str">
        <f>B43&amp;" = "</f>
        <v xml:space="preserve">Сумма дисконтированных оттоков = </v>
      </c>
      <c r="C522" s="201">
        <f>SUM(C511:C521)</f>
        <v>179067870.58605751</v>
      </c>
    </row>
    <row r="523" spans="2:3" x14ac:dyDescent="0.25">
      <c r="B523" s="219"/>
    </row>
    <row r="524" spans="2:3" x14ac:dyDescent="0.25">
      <c r="B524" s="218" t="str">
        <f>B$44&amp;" на "&amp;E56&amp;" шаге = "&amp;B$30&amp;" * Коэффициент дисконтирования ="</f>
        <v>Дисконтированные инвестиции на 0 шаге = Инвестиции * Коэффициент дисконтирования =</v>
      </c>
      <c r="C524" s="201">
        <f>D44</f>
        <v>-87599403</v>
      </c>
    </row>
    <row r="525" spans="2:3" x14ac:dyDescent="0.25">
      <c r="B525" s="218" t="str">
        <f>B$44&amp;" на "&amp;E57&amp;" шаге = "&amp;B$30&amp;" * Коэффициент дисконтирования ="</f>
        <v>Дисконтированные инвестиции на 1 шаге = Инвестиции * Коэффициент дисконтирования =</v>
      </c>
      <c r="C525" s="201">
        <f>E44</f>
        <v>-5328117.8999999994</v>
      </c>
    </row>
    <row r="526" spans="2:3" x14ac:dyDescent="0.25">
      <c r="B526" s="219"/>
    </row>
    <row r="527" spans="2:3" x14ac:dyDescent="0.25">
      <c r="B527" s="174"/>
    </row>
    <row r="528" spans="2:3" x14ac:dyDescent="0.25">
      <c r="B528" s="174"/>
    </row>
    <row r="529" spans="2:2" x14ac:dyDescent="0.25">
      <c r="B529" s="174"/>
    </row>
    <row r="530" spans="2:2" x14ac:dyDescent="0.25">
      <c r="B530" s="219"/>
    </row>
    <row r="531" spans="2:2" x14ac:dyDescent="0.25">
      <c r="B531" s="219"/>
    </row>
    <row r="532" spans="2:2" x14ac:dyDescent="0.25">
      <c r="B532" s="219"/>
    </row>
    <row r="533" spans="2:2" x14ac:dyDescent="0.25">
      <c r="B533" s="219"/>
    </row>
    <row r="534" spans="2:2" x14ac:dyDescent="0.25">
      <c r="B534" s="219"/>
    </row>
    <row r="535" spans="2:2" x14ac:dyDescent="0.25">
      <c r="B535" s="219"/>
    </row>
    <row r="536" spans="2:2" x14ac:dyDescent="0.25">
      <c r="B536" s="219"/>
    </row>
    <row r="537" spans="2:2" x14ac:dyDescent="0.25">
      <c r="B537" s="219"/>
    </row>
    <row r="538" spans="2:2" x14ac:dyDescent="0.25">
      <c r="B538" s="219"/>
    </row>
    <row r="539" spans="2:2" x14ac:dyDescent="0.25">
      <c r="B539" s="219"/>
    </row>
    <row r="540" spans="2:2" x14ac:dyDescent="0.25">
      <c r="B540" s="219"/>
    </row>
    <row r="541" spans="2:2" x14ac:dyDescent="0.25">
      <c r="B541" s="219"/>
    </row>
    <row r="542" spans="2:2" x14ac:dyDescent="0.25">
      <c r="B542" s="219"/>
    </row>
    <row r="543" spans="2:2" x14ac:dyDescent="0.25">
      <c r="B543" s="219"/>
    </row>
    <row r="544" spans="2:2" x14ac:dyDescent="0.25">
      <c r="B544" s="219"/>
    </row>
    <row r="545" spans="2:2" x14ac:dyDescent="0.25">
      <c r="B545" s="219"/>
    </row>
    <row r="546" spans="2:2" x14ac:dyDescent="0.25">
      <c r="B546" s="219"/>
    </row>
    <row r="547" spans="2:2" x14ac:dyDescent="0.25">
      <c r="B547" s="219"/>
    </row>
    <row r="548" spans="2:2" x14ac:dyDescent="0.25">
      <c r="B548" s="219"/>
    </row>
    <row r="549" spans="2:2" x14ac:dyDescent="0.25">
      <c r="B549" s="219"/>
    </row>
    <row r="550" spans="2:2" x14ac:dyDescent="0.25">
      <c r="B550" s="219"/>
    </row>
    <row r="551" spans="2:2" x14ac:dyDescent="0.25">
      <c r="B551" s="219"/>
    </row>
    <row r="552" spans="2:2" x14ac:dyDescent="0.25">
      <c r="B552" s="219"/>
    </row>
    <row r="553" spans="2:2" x14ac:dyDescent="0.25">
      <c r="B553" s="219"/>
    </row>
    <row r="554" spans="2:2" x14ac:dyDescent="0.25">
      <c r="B554" s="219"/>
    </row>
    <row r="555" spans="2:2" x14ac:dyDescent="0.25">
      <c r="B555" s="219"/>
    </row>
    <row r="556" spans="2:2" x14ac:dyDescent="0.25">
      <c r="B556" s="219"/>
    </row>
    <row r="557" spans="2:2" x14ac:dyDescent="0.25">
      <c r="B557" s="219"/>
    </row>
    <row r="558" spans="2:2" x14ac:dyDescent="0.25">
      <c r="B558" s="219"/>
    </row>
    <row r="559" spans="2:2" x14ac:dyDescent="0.25">
      <c r="B559" s="219"/>
    </row>
    <row r="560" spans="2:2" x14ac:dyDescent="0.25">
      <c r="B560" s="219"/>
    </row>
    <row r="561" spans="2:2" x14ac:dyDescent="0.25">
      <c r="B561" s="219"/>
    </row>
    <row r="562" spans="2:2" x14ac:dyDescent="0.25">
      <c r="B562" s="219"/>
    </row>
    <row r="563" spans="2:2" x14ac:dyDescent="0.25">
      <c r="B563" s="219"/>
    </row>
    <row r="564" spans="2:2" x14ac:dyDescent="0.25">
      <c r="B564" s="219"/>
    </row>
    <row r="565" spans="2:2" x14ac:dyDescent="0.25">
      <c r="B565" s="219"/>
    </row>
    <row r="566" spans="2:2" x14ac:dyDescent="0.25">
      <c r="B566" s="219"/>
    </row>
    <row r="567" spans="2:2" x14ac:dyDescent="0.25">
      <c r="B567" s="219"/>
    </row>
    <row r="568" spans="2:2" x14ac:dyDescent="0.25">
      <c r="B568" s="219"/>
    </row>
    <row r="569" spans="2:2" x14ac:dyDescent="0.25">
      <c r="B569" s="219"/>
    </row>
    <row r="570" spans="2:2" x14ac:dyDescent="0.25">
      <c r="B570" s="219"/>
    </row>
    <row r="571" spans="2:2" x14ac:dyDescent="0.25">
      <c r="B571" s="219"/>
    </row>
    <row r="572" spans="2:2" x14ac:dyDescent="0.25">
      <c r="B572" s="219"/>
    </row>
    <row r="573" spans="2:2" x14ac:dyDescent="0.25">
      <c r="B573" s="219"/>
    </row>
    <row r="574" spans="2:2" x14ac:dyDescent="0.25">
      <c r="B574" s="219"/>
    </row>
    <row r="575" spans="2:2" x14ac:dyDescent="0.25">
      <c r="B575" s="219"/>
    </row>
    <row r="576" spans="2:2" x14ac:dyDescent="0.25">
      <c r="B576" s="219"/>
    </row>
    <row r="577" spans="2:2" x14ac:dyDescent="0.25">
      <c r="B577" s="219"/>
    </row>
    <row r="578" spans="2:2" x14ac:dyDescent="0.25">
      <c r="B578" s="219"/>
    </row>
    <row r="579" spans="2:2" x14ac:dyDescent="0.25">
      <c r="B579" s="219"/>
    </row>
    <row r="580" spans="2:2" x14ac:dyDescent="0.25">
      <c r="B580" s="219"/>
    </row>
    <row r="581" spans="2:2" x14ac:dyDescent="0.25">
      <c r="B581" s="219"/>
    </row>
    <row r="582" spans="2:2" x14ac:dyDescent="0.25">
      <c r="B582" s="219"/>
    </row>
    <row r="583" spans="2:2" x14ac:dyDescent="0.25">
      <c r="B583" s="219"/>
    </row>
    <row r="584" spans="2:2" x14ac:dyDescent="0.25">
      <c r="B584" s="219"/>
    </row>
    <row r="585" spans="2:2" x14ac:dyDescent="0.25">
      <c r="B585" s="219"/>
    </row>
    <row r="586" spans="2:2" x14ac:dyDescent="0.25">
      <c r="B586" s="219"/>
    </row>
    <row r="587" spans="2:2" x14ac:dyDescent="0.25">
      <c r="B587" s="219"/>
    </row>
    <row r="588" spans="2:2" x14ac:dyDescent="0.25">
      <c r="B588" s="219"/>
    </row>
    <row r="589" spans="2:2" x14ac:dyDescent="0.25">
      <c r="B589" s="219"/>
    </row>
    <row r="590" spans="2:2" x14ac:dyDescent="0.25">
      <c r="B590" s="219"/>
    </row>
    <row r="591" spans="2:2" x14ac:dyDescent="0.25">
      <c r="B591" s="219"/>
    </row>
    <row r="592" spans="2:2" x14ac:dyDescent="0.25">
      <c r="B592" s="219"/>
    </row>
    <row r="593" spans="2:2" x14ac:dyDescent="0.25">
      <c r="B593" s="219"/>
    </row>
    <row r="594" spans="2:2" x14ac:dyDescent="0.25">
      <c r="B594" s="219"/>
    </row>
    <row r="595" spans="2:2" x14ac:dyDescent="0.25">
      <c r="B595" s="219"/>
    </row>
    <row r="596" spans="2:2" x14ac:dyDescent="0.25">
      <c r="B596" s="219"/>
    </row>
    <row r="597" spans="2:2" x14ac:dyDescent="0.25">
      <c r="B597" s="219"/>
    </row>
    <row r="598" spans="2:2" x14ac:dyDescent="0.25">
      <c r="B598" s="219"/>
    </row>
    <row r="599" spans="2:2" x14ac:dyDescent="0.25">
      <c r="B599" s="219"/>
    </row>
    <row r="600" spans="2:2" x14ac:dyDescent="0.25">
      <c r="B600" s="219"/>
    </row>
    <row r="601" spans="2:2" x14ac:dyDescent="0.25">
      <c r="B601" s="219"/>
    </row>
    <row r="602" spans="2:2" x14ac:dyDescent="0.25">
      <c r="B602" s="219"/>
    </row>
    <row r="603" spans="2:2" x14ac:dyDescent="0.25">
      <c r="B603" s="219"/>
    </row>
    <row r="604" spans="2:2" x14ac:dyDescent="0.25">
      <c r="B604" s="219"/>
    </row>
    <row r="605" spans="2:2" x14ac:dyDescent="0.25">
      <c r="B605" s="219"/>
    </row>
    <row r="606" spans="2:2" x14ac:dyDescent="0.25">
      <c r="B606" s="219"/>
    </row>
    <row r="607" spans="2:2" x14ac:dyDescent="0.25">
      <c r="B607" s="219"/>
    </row>
    <row r="608" spans="2:2" x14ac:dyDescent="0.25">
      <c r="B608" s="219"/>
    </row>
    <row r="609" spans="2:2" x14ac:dyDescent="0.25">
      <c r="B609" s="219"/>
    </row>
    <row r="610" spans="2:2" x14ac:dyDescent="0.25">
      <c r="B610" s="219"/>
    </row>
    <row r="611" spans="2:2" x14ac:dyDescent="0.25">
      <c r="B611" s="219"/>
    </row>
  </sheetData>
  <mergeCells count="79">
    <mergeCell ref="A1:A3"/>
    <mergeCell ref="B1:B3"/>
    <mergeCell ref="C1:C3"/>
    <mergeCell ref="D40:N40"/>
    <mergeCell ref="O40:Y40"/>
    <mergeCell ref="D2:N2"/>
    <mergeCell ref="O2:Y2"/>
    <mergeCell ref="D1:Y1"/>
    <mergeCell ref="D43:N43"/>
    <mergeCell ref="O43:Y43"/>
    <mergeCell ref="A47:B47"/>
    <mergeCell ref="A46:B46"/>
    <mergeCell ref="A48:B48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5:B225"/>
    <mergeCell ref="A226:B226"/>
    <mergeCell ref="A227:B227"/>
    <mergeCell ref="A228:B228"/>
    <mergeCell ref="A229:B229"/>
    <mergeCell ref="A235:B235"/>
    <mergeCell ref="A230:B230"/>
    <mergeCell ref="A231:B231"/>
    <mergeCell ref="A232:B232"/>
    <mergeCell ref="A233:B233"/>
    <mergeCell ref="A234:B234"/>
  </mergeCells>
  <printOptions horizontalCentered="1" verticalCentered="1" gridLines="1"/>
  <pageMargins left="0.19685039370078741" right="0.70866141732283472" top="0.19685039370078741" bottom="0.19685039370078741" header="0.31496062992125984" footer="0.19685039370078741"/>
  <pageSetup paperSize="9" scale="80" pageOrder="overThenDown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6"/>
  <sheetViews>
    <sheetView topLeftCell="B51" zoomScale="98" workbookViewId="0">
      <selection activeCell="F66" sqref="F66"/>
    </sheetView>
  </sheetViews>
  <sheetFormatPr defaultRowHeight="15" x14ac:dyDescent="0.25"/>
  <cols>
    <col min="1" max="1" width="9.7109375" customWidth="1"/>
    <col min="2" max="2" width="135.28515625" bestFit="1" customWidth="1"/>
    <col min="3" max="3" width="16.85546875" bestFit="1" customWidth="1"/>
    <col min="4" max="5" width="15.85546875" bestFit="1" customWidth="1"/>
    <col min="6" max="6" width="47.7109375" customWidth="1"/>
    <col min="7" max="7" width="16.85546875" bestFit="1" customWidth="1"/>
    <col min="8" max="17" width="18.28515625" bestFit="1" customWidth="1"/>
    <col min="18" max="25" width="16.85546875" bestFit="1" customWidth="1"/>
    <col min="255" max="255" width="3.42578125" bestFit="1" customWidth="1"/>
    <col min="256" max="256" width="6.42578125" bestFit="1" customWidth="1"/>
  </cols>
  <sheetData>
    <row r="1" spans="1:26" ht="15.75" thickBot="1" x14ac:dyDescent="0.3">
      <c r="A1" s="275" t="s">
        <v>393</v>
      </c>
      <c r="B1" s="276" t="s">
        <v>292</v>
      </c>
      <c r="C1" s="275" t="s">
        <v>293</v>
      </c>
      <c r="D1" s="284" t="s">
        <v>285</v>
      </c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174"/>
    </row>
    <row r="2" spans="1:26" x14ac:dyDescent="0.25">
      <c r="A2" s="275"/>
      <c r="B2" s="276"/>
      <c r="C2" s="277"/>
      <c r="D2" s="281" t="s">
        <v>394</v>
      </c>
      <c r="E2" s="282"/>
      <c r="F2" s="282"/>
      <c r="G2" s="282"/>
      <c r="H2" s="282"/>
      <c r="I2" s="282"/>
      <c r="J2" s="282"/>
      <c r="K2" s="282"/>
      <c r="L2" s="282"/>
      <c r="M2" s="282"/>
      <c r="N2" s="283"/>
      <c r="O2" s="281" t="s">
        <v>395</v>
      </c>
      <c r="P2" s="282"/>
      <c r="Q2" s="282"/>
      <c r="R2" s="282"/>
      <c r="S2" s="282"/>
      <c r="T2" s="282"/>
      <c r="U2" s="282"/>
      <c r="V2" s="282"/>
      <c r="W2" s="282"/>
      <c r="X2" s="282"/>
      <c r="Y2" s="283"/>
      <c r="Z2" s="174"/>
    </row>
    <row r="3" spans="1:26" x14ac:dyDescent="0.25">
      <c r="A3" s="275"/>
      <c r="B3" s="276"/>
      <c r="C3" s="277"/>
      <c r="D3" s="175">
        <v>0</v>
      </c>
      <c r="E3" s="176">
        <v>1</v>
      </c>
      <c r="F3" s="176">
        <v>2</v>
      </c>
      <c r="G3" s="176">
        <v>3</v>
      </c>
      <c r="H3" s="176">
        <v>4</v>
      </c>
      <c r="I3" s="176">
        <v>5</v>
      </c>
      <c r="J3" s="176">
        <v>6</v>
      </c>
      <c r="K3" s="176">
        <v>7</v>
      </c>
      <c r="L3" s="176">
        <v>8</v>
      </c>
      <c r="M3" s="176">
        <v>9</v>
      </c>
      <c r="N3" s="177">
        <v>10</v>
      </c>
      <c r="O3" s="175">
        <v>0</v>
      </c>
      <c r="P3" s="176">
        <v>1</v>
      </c>
      <c r="Q3" s="176">
        <v>2</v>
      </c>
      <c r="R3" s="176">
        <v>3</v>
      </c>
      <c r="S3" s="176">
        <v>4</v>
      </c>
      <c r="T3" s="176">
        <v>5</v>
      </c>
      <c r="U3" s="176">
        <v>6</v>
      </c>
      <c r="V3" s="176">
        <v>7</v>
      </c>
      <c r="W3" s="176">
        <v>8</v>
      </c>
      <c r="X3" s="176">
        <v>9</v>
      </c>
      <c r="Y3" s="177">
        <v>10</v>
      </c>
      <c r="Z3" s="174"/>
    </row>
    <row r="4" spans="1:26" x14ac:dyDescent="0.25">
      <c r="A4" s="176">
        <v>1</v>
      </c>
      <c r="B4" s="178" t="s">
        <v>294</v>
      </c>
      <c r="C4" s="179"/>
      <c r="D4" s="175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175"/>
      <c r="P4" s="176"/>
      <c r="Q4" s="176"/>
      <c r="R4" s="176"/>
      <c r="S4" s="176"/>
      <c r="T4" s="176"/>
      <c r="U4" s="176"/>
      <c r="V4" s="176"/>
      <c r="W4" s="176"/>
      <c r="X4" s="176"/>
      <c r="Y4" s="177"/>
      <c r="Z4" s="174"/>
    </row>
    <row r="5" spans="1:26" x14ac:dyDescent="0.25">
      <c r="A5" s="176">
        <v>2</v>
      </c>
      <c r="B5" s="178" t="s">
        <v>295</v>
      </c>
      <c r="C5" s="179" t="s">
        <v>318</v>
      </c>
      <c r="D5" s="180" t="s">
        <v>268</v>
      </c>
      <c r="E5" s="181" t="s">
        <v>268</v>
      </c>
      <c r="F5" s="181">
        <f>'666'!D398</f>
        <v>55000</v>
      </c>
      <c r="G5" s="181">
        <f>'666'!E398</f>
        <v>110000</v>
      </c>
      <c r="H5" s="181">
        <f>'666'!F398</f>
        <v>192500</v>
      </c>
      <c r="I5" s="181">
        <f>'666'!G398</f>
        <v>247500</v>
      </c>
      <c r="J5" s="181">
        <f>'666'!$H398</f>
        <v>275000</v>
      </c>
      <c r="K5" s="181">
        <f>'666'!$H398</f>
        <v>275000</v>
      </c>
      <c r="L5" s="181">
        <f>'666'!$H398</f>
        <v>275000</v>
      </c>
      <c r="M5" s="181">
        <f>'666'!$H398</f>
        <v>275000</v>
      </c>
      <c r="N5" s="181">
        <f>'666'!$H398</f>
        <v>275000</v>
      </c>
      <c r="O5" s="180" t="s">
        <v>268</v>
      </c>
      <c r="P5" s="181" t="s">
        <v>268</v>
      </c>
      <c r="Q5" s="181">
        <f>F5</f>
        <v>55000</v>
      </c>
      <c r="R5" s="181">
        <f t="shared" ref="R5:Y5" si="0">G5</f>
        <v>110000</v>
      </c>
      <c r="S5" s="181">
        <f t="shared" si="0"/>
        <v>192500</v>
      </c>
      <c r="T5" s="181">
        <f t="shared" si="0"/>
        <v>247500</v>
      </c>
      <c r="U5" s="181">
        <f t="shared" si="0"/>
        <v>275000</v>
      </c>
      <c r="V5" s="181">
        <f t="shared" si="0"/>
        <v>275000</v>
      </c>
      <c r="W5" s="181">
        <f t="shared" si="0"/>
        <v>275000</v>
      </c>
      <c r="X5" s="181">
        <f t="shared" si="0"/>
        <v>275000</v>
      </c>
      <c r="Y5" s="181">
        <f t="shared" si="0"/>
        <v>275000</v>
      </c>
      <c r="Z5" s="174"/>
    </row>
    <row r="6" spans="1:26" x14ac:dyDescent="0.25">
      <c r="A6" s="176">
        <v>3</v>
      </c>
      <c r="B6" s="178" t="s">
        <v>396</v>
      </c>
      <c r="C6" s="179" t="s">
        <v>320</v>
      </c>
      <c r="D6" s="180" t="s">
        <v>268</v>
      </c>
      <c r="E6" s="181" t="s">
        <v>268</v>
      </c>
      <c r="F6" s="181">
        <f>'666'!F409</f>
        <v>997.07999999999993</v>
      </c>
      <c r="G6" s="181">
        <f>'666'!G409</f>
        <v>997.07999999999993</v>
      </c>
      <c r="H6" s="181">
        <f>'666'!H409</f>
        <v>997.07999999999993</v>
      </c>
      <c r="I6" s="181">
        <f>'666'!I409</f>
        <v>997.07999999999993</v>
      </c>
      <c r="J6" s="181">
        <f>'666'!$J409</f>
        <v>997.07999999999993</v>
      </c>
      <c r="K6" s="181">
        <f>'666'!$J409</f>
        <v>997.07999999999993</v>
      </c>
      <c r="L6" s="181">
        <f>'666'!$J409</f>
        <v>997.07999999999993</v>
      </c>
      <c r="M6" s="181">
        <f>'666'!$J409</f>
        <v>997.07999999999993</v>
      </c>
      <c r="N6" s="182">
        <f>'666'!$J409</f>
        <v>997.07999999999993</v>
      </c>
      <c r="O6" s="180" t="s">
        <v>268</v>
      </c>
      <c r="P6" s="181" t="s">
        <v>268</v>
      </c>
      <c r="Q6" s="181">
        <f>F6</f>
        <v>997.07999999999993</v>
      </c>
      <c r="R6" s="181">
        <f t="shared" ref="R6:Y6" si="1">G6</f>
        <v>997.07999999999993</v>
      </c>
      <c r="S6" s="181">
        <f t="shared" si="1"/>
        <v>997.07999999999993</v>
      </c>
      <c r="T6" s="181">
        <f t="shared" si="1"/>
        <v>997.07999999999993</v>
      </c>
      <c r="U6" s="181">
        <f t="shared" si="1"/>
        <v>997.07999999999993</v>
      </c>
      <c r="V6" s="181">
        <f t="shared" si="1"/>
        <v>997.07999999999993</v>
      </c>
      <c r="W6" s="181">
        <f t="shared" si="1"/>
        <v>997.07999999999993</v>
      </c>
      <c r="X6" s="181">
        <f t="shared" si="1"/>
        <v>997.07999999999993</v>
      </c>
      <c r="Y6" s="182">
        <f t="shared" si="1"/>
        <v>997.07999999999993</v>
      </c>
      <c r="Z6" s="174"/>
    </row>
    <row r="7" spans="1:26" x14ac:dyDescent="0.25">
      <c r="A7" s="176">
        <v>4</v>
      </c>
      <c r="B7" s="178" t="s">
        <v>297</v>
      </c>
      <c r="C7" s="179" t="s">
        <v>321</v>
      </c>
      <c r="D7" s="180" t="s">
        <v>268</v>
      </c>
      <c r="E7" s="181" t="s">
        <v>268</v>
      </c>
      <c r="F7" s="181">
        <f>F5*F6</f>
        <v>54839399.999999993</v>
      </c>
      <c r="G7" s="181">
        <f t="shared" ref="G7:N7" si="2">G5*G6</f>
        <v>109678799.99999999</v>
      </c>
      <c r="H7" s="181">
        <f t="shared" si="2"/>
        <v>191937900</v>
      </c>
      <c r="I7" s="181">
        <f t="shared" si="2"/>
        <v>246777299.99999997</v>
      </c>
      <c r="J7" s="181">
        <f t="shared" si="2"/>
        <v>274197000</v>
      </c>
      <c r="K7" s="181">
        <f t="shared" si="2"/>
        <v>274197000</v>
      </c>
      <c r="L7" s="181">
        <f t="shared" si="2"/>
        <v>274197000</v>
      </c>
      <c r="M7" s="181">
        <f t="shared" si="2"/>
        <v>274197000</v>
      </c>
      <c r="N7" s="182">
        <f t="shared" si="2"/>
        <v>274197000</v>
      </c>
      <c r="O7" s="180" t="s">
        <v>268</v>
      </c>
      <c r="P7" s="181" t="s">
        <v>268</v>
      </c>
      <c r="Q7" s="181">
        <f>Q5*Q6</f>
        <v>54839399.999999993</v>
      </c>
      <c r="R7" s="181">
        <f t="shared" ref="R7:Y7" si="3">R5*R6</f>
        <v>109678799.99999999</v>
      </c>
      <c r="S7" s="181">
        <f t="shared" si="3"/>
        <v>191937900</v>
      </c>
      <c r="T7" s="181">
        <f t="shared" si="3"/>
        <v>246777299.99999997</v>
      </c>
      <c r="U7" s="181">
        <f t="shared" si="3"/>
        <v>274197000</v>
      </c>
      <c r="V7" s="181">
        <f t="shared" si="3"/>
        <v>274197000</v>
      </c>
      <c r="W7" s="181">
        <f t="shared" si="3"/>
        <v>274197000</v>
      </c>
      <c r="X7" s="181">
        <f t="shared" si="3"/>
        <v>274197000</v>
      </c>
      <c r="Y7" s="182">
        <f t="shared" si="3"/>
        <v>274197000</v>
      </c>
      <c r="Z7" s="174"/>
    </row>
    <row r="8" spans="1:26" x14ac:dyDescent="0.25">
      <c r="A8" s="176">
        <v>5</v>
      </c>
      <c r="B8" s="178" t="s">
        <v>298</v>
      </c>
      <c r="C8" s="179" t="s">
        <v>418</v>
      </c>
      <c r="D8" s="180" t="s">
        <v>268</v>
      </c>
      <c r="E8" s="181" t="s">
        <v>268</v>
      </c>
      <c r="F8" s="181">
        <f>(F7/120)*20</f>
        <v>9139899.9999999981</v>
      </c>
      <c r="G8" s="181">
        <f t="shared" ref="G8:N8" si="4">(G7/120)*20</f>
        <v>18279799.999999996</v>
      </c>
      <c r="H8" s="181">
        <f t="shared" si="4"/>
        <v>31989650</v>
      </c>
      <c r="I8" s="181">
        <f t="shared" si="4"/>
        <v>41129549.999999993</v>
      </c>
      <c r="J8" s="181">
        <f t="shared" si="4"/>
        <v>45699500</v>
      </c>
      <c r="K8" s="181">
        <f t="shared" si="4"/>
        <v>45699500</v>
      </c>
      <c r="L8" s="181">
        <f t="shared" si="4"/>
        <v>45699500</v>
      </c>
      <c r="M8" s="181">
        <f t="shared" si="4"/>
        <v>45699500</v>
      </c>
      <c r="N8" s="182">
        <f t="shared" si="4"/>
        <v>45699500</v>
      </c>
      <c r="O8" s="180" t="s">
        <v>268</v>
      </c>
      <c r="P8" s="181" t="s">
        <v>268</v>
      </c>
      <c r="Q8" s="181">
        <f>(Q7/120)*20</f>
        <v>9139899.9999999981</v>
      </c>
      <c r="R8" s="181">
        <f t="shared" ref="R8:Y8" si="5">(R7/120)*20</f>
        <v>18279799.999999996</v>
      </c>
      <c r="S8" s="181">
        <f t="shared" si="5"/>
        <v>31989650</v>
      </c>
      <c r="T8" s="181">
        <f t="shared" si="5"/>
        <v>41129549.999999993</v>
      </c>
      <c r="U8" s="181">
        <f t="shared" si="5"/>
        <v>45699500</v>
      </c>
      <c r="V8" s="181">
        <f t="shared" si="5"/>
        <v>45699500</v>
      </c>
      <c r="W8" s="181">
        <f t="shared" si="5"/>
        <v>45699500</v>
      </c>
      <c r="X8" s="181">
        <f t="shared" si="5"/>
        <v>45699500</v>
      </c>
      <c r="Y8" s="182">
        <f t="shared" si="5"/>
        <v>45699500</v>
      </c>
      <c r="Z8" s="174"/>
    </row>
    <row r="9" spans="1:26" x14ac:dyDescent="0.25">
      <c r="A9" s="176">
        <v>6</v>
      </c>
      <c r="B9" s="178" t="s">
        <v>299</v>
      </c>
      <c r="C9" s="183" t="s">
        <v>419</v>
      </c>
      <c r="D9" s="180" t="s">
        <v>268</v>
      </c>
      <c r="E9" s="181" t="s">
        <v>268</v>
      </c>
      <c r="F9" s="181">
        <f>F7-F8</f>
        <v>45699499.999999993</v>
      </c>
      <c r="G9" s="181">
        <f t="shared" ref="G9:N9" si="6">G7-G8</f>
        <v>91398999.999999985</v>
      </c>
      <c r="H9" s="181">
        <f t="shared" si="6"/>
        <v>159948250</v>
      </c>
      <c r="I9" s="181">
        <f t="shared" si="6"/>
        <v>205647749.99999997</v>
      </c>
      <c r="J9" s="181">
        <f t="shared" si="6"/>
        <v>228497500</v>
      </c>
      <c r="K9" s="181">
        <f t="shared" si="6"/>
        <v>228497500</v>
      </c>
      <c r="L9" s="181">
        <f t="shared" si="6"/>
        <v>228497500</v>
      </c>
      <c r="M9" s="181">
        <f t="shared" si="6"/>
        <v>228497500</v>
      </c>
      <c r="N9" s="182">
        <f t="shared" si="6"/>
        <v>228497500</v>
      </c>
      <c r="O9" s="180" t="s">
        <v>268</v>
      </c>
      <c r="P9" s="181" t="s">
        <v>268</v>
      </c>
      <c r="Q9" s="181">
        <f>Q7-Q8</f>
        <v>45699499.999999993</v>
      </c>
      <c r="R9" s="181">
        <f t="shared" ref="R9:Y9" si="7">R7-R8</f>
        <v>91398999.999999985</v>
      </c>
      <c r="S9" s="181">
        <f t="shared" si="7"/>
        <v>159948250</v>
      </c>
      <c r="T9" s="181">
        <f t="shared" si="7"/>
        <v>205647749.99999997</v>
      </c>
      <c r="U9" s="181">
        <f t="shared" si="7"/>
        <v>228497500</v>
      </c>
      <c r="V9" s="181">
        <f t="shared" si="7"/>
        <v>228497500</v>
      </c>
      <c r="W9" s="181">
        <f t="shared" si="7"/>
        <v>228497500</v>
      </c>
      <c r="X9" s="181">
        <f t="shared" si="7"/>
        <v>228497500</v>
      </c>
      <c r="Y9" s="182">
        <f t="shared" si="7"/>
        <v>228497500</v>
      </c>
      <c r="Z9" s="174"/>
    </row>
    <row r="10" spans="1:26" x14ac:dyDescent="0.25">
      <c r="A10" s="176">
        <v>7</v>
      </c>
      <c r="B10" s="178" t="s">
        <v>397</v>
      </c>
      <c r="C10" s="179"/>
      <c r="D10" s="180" t="s">
        <v>268</v>
      </c>
      <c r="E10" s="181" t="s">
        <v>268</v>
      </c>
      <c r="F10" s="181"/>
      <c r="G10" s="181"/>
      <c r="H10" s="181"/>
      <c r="I10" s="181"/>
      <c r="J10" s="181"/>
      <c r="K10" s="181"/>
      <c r="L10" s="181"/>
      <c r="M10" s="181"/>
      <c r="N10" s="182"/>
      <c r="O10" s="180" t="s">
        <v>268</v>
      </c>
      <c r="P10" s="181" t="s">
        <v>268</v>
      </c>
      <c r="Q10" s="181"/>
      <c r="R10" s="181"/>
      <c r="S10" s="181"/>
      <c r="T10" s="181"/>
      <c r="U10" s="181"/>
      <c r="V10" s="181"/>
      <c r="W10" s="181"/>
      <c r="X10" s="181"/>
      <c r="Y10" s="182"/>
      <c r="Z10" s="174"/>
    </row>
    <row r="11" spans="1:26" x14ac:dyDescent="0.25">
      <c r="A11" s="176">
        <v>8</v>
      </c>
      <c r="B11" s="178" t="s">
        <v>398</v>
      </c>
      <c r="C11" s="179"/>
      <c r="D11" s="180" t="s">
        <v>268</v>
      </c>
      <c r="E11" s="181" t="s">
        <v>268</v>
      </c>
      <c r="F11" s="181"/>
      <c r="G11" s="181"/>
      <c r="H11" s="181"/>
      <c r="I11" s="181"/>
      <c r="J11" s="181"/>
      <c r="K11" s="181"/>
      <c r="L11" s="181"/>
      <c r="M11" s="181"/>
      <c r="N11" s="182"/>
      <c r="O11" s="180" t="s">
        <v>268</v>
      </c>
      <c r="P11" s="181" t="s">
        <v>268</v>
      </c>
      <c r="Q11" s="181"/>
      <c r="R11" s="181"/>
      <c r="S11" s="181"/>
      <c r="T11" s="181"/>
      <c r="U11" s="181"/>
      <c r="V11" s="181"/>
      <c r="W11" s="181"/>
      <c r="X11" s="181"/>
      <c r="Y11" s="182"/>
      <c r="Z11" s="174"/>
    </row>
    <row r="12" spans="1:26" x14ac:dyDescent="0.25">
      <c r="A12" s="176">
        <v>9</v>
      </c>
      <c r="B12" s="178" t="s">
        <v>399</v>
      </c>
      <c r="C12" s="179"/>
      <c r="D12" s="180" t="s">
        <v>268</v>
      </c>
      <c r="E12" s="181" t="s">
        <v>268</v>
      </c>
      <c r="F12" s="181" t="s">
        <v>268</v>
      </c>
      <c r="G12" s="181" t="s">
        <v>268</v>
      </c>
      <c r="H12" s="181" t="s">
        <v>268</v>
      </c>
      <c r="I12" s="181" t="s">
        <v>268</v>
      </c>
      <c r="J12" s="181" t="s">
        <v>268</v>
      </c>
      <c r="K12" s="181" t="s">
        <v>268</v>
      </c>
      <c r="L12" s="181" t="s">
        <v>268</v>
      </c>
      <c r="M12" s="181" t="s">
        <v>268</v>
      </c>
      <c r="N12" s="182" t="s">
        <v>268</v>
      </c>
      <c r="O12" s="180" t="s">
        <v>268</v>
      </c>
      <c r="P12" s="181" t="s">
        <v>268</v>
      </c>
      <c r="Q12" s="181" t="s">
        <v>268</v>
      </c>
      <c r="R12" s="181" t="s">
        <v>268</v>
      </c>
      <c r="S12" s="181" t="s">
        <v>268</v>
      </c>
      <c r="T12" s="181" t="s">
        <v>268</v>
      </c>
      <c r="U12" s="181" t="s">
        <v>268</v>
      </c>
      <c r="V12" s="181" t="s">
        <v>268</v>
      </c>
      <c r="W12" s="181" t="s">
        <v>268</v>
      </c>
      <c r="X12" s="181" t="s">
        <v>268</v>
      </c>
      <c r="Y12" s="182" t="s">
        <v>268</v>
      </c>
      <c r="Z12" s="174"/>
    </row>
    <row r="13" spans="1:26" x14ac:dyDescent="0.25">
      <c r="A13" s="176">
        <v>10</v>
      </c>
      <c r="B13" s="178" t="s">
        <v>400</v>
      </c>
      <c r="C13" s="179" t="s">
        <v>323</v>
      </c>
      <c r="D13" s="180" t="s">
        <v>268</v>
      </c>
      <c r="E13" s="181" t="s">
        <v>268</v>
      </c>
      <c r="F13" s="181">
        <f>'666'!$C342*F5</f>
        <v>19518400</v>
      </c>
      <c r="G13" s="181">
        <f>'666'!$C342*G5</f>
        <v>39036800</v>
      </c>
      <c r="H13" s="181">
        <f>'666'!$C342*H5</f>
        <v>68314400</v>
      </c>
      <c r="I13" s="181">
        <f>'666'!$C342*I5</f>
        <v>87832800</v>
      </c>
      <c r="J13" s="181">
        <f>'666'!$C342*J5</f>
        <v>97592000</v>
      </c>
      <c r="K13" s="181">
        <f>'666'!$C342*K5</f>
        <v>97592000</v>
      </c>
      <c r="L13" s="181">
        <f>'666'!$C342*L5</f>
        <v>97592000</v>
      </c>
      <c r="M13" s="181">
        <f>'666'!$C342*M5</f>
        <v>97592000</v>
      </c>
      <c r="N13" s="182">
        <f>'666'!$C342*N5</f>
        <v>97592000</v>
      </c>
      <c r="O13" s="180" t="s">
        <v>268</v>
      </c>
      <c r="P13" s="181" t="s">
        <v>268</v>
      </c>
      <c r="Q13" s="181">
        <f>'666'!$C342*Q5</f>
        <v>19518400</v>
      </c>
      <c r="R13" s="181">
        <f>'666'!$C342*R5</f>
        <v>39036800</v>
      </c>
      <c r="S13" s="181">
        <f>'666'!$C342*S5</f>
        <v>68314400</v>
      </c>
      <c r="T13" s="181">
        <f>'666'!$C342*T5</f>
        <v>87832800</v>
      </c>
      <c r="U13" s="181">
        <f>'666'!$C342*U5</f>
        <v>97592000</v>
      </c>
      <c r="V13" s="181">
        <f>'666'!$C342*V5</f>
        <v>97592000</v>
      </c>
      <c r="W13" s="181">
        <f>'666'!$C342*W5</f>
        <v>97592000</v>
      </c>
      <c r="X13" s="181">
        <f>'666'!$C342*X5</f>
        <v>97592000</v>
      </c>
      <c r="Y13" s="182">
        <f>'666'!$C342*Y5</f>
        <v>97592000</v>
      </c>
      <c r="Z13" s="174"/>
    </row>
    <row r="14" spans="1:26" x14ac:dyDescent="0.25">
      <c r="A14" s="176">
        <v>11</v>
      </c>
      <c r="B14" s="178" t="s">
        <v>401</v>
      </c>
      <c r="C14" s="179" t="s">
        <v>325</v>
      </c>
      <c r="D14" s="180" t="s">
        <v>268</v>
      </c>
      <c r="E14" s="181" t="s">
        <v>268</v>
      </c>
      <c r="F14" s="181">
        <f>'666'!$C343*F5</f>
        <v>752950</v>
      </c>
      <c r="G14" s="181">
        <f>'666'!$C343*G5</f>
        <v>1505900</v>
      </c>
      <c r="H14" s="181">
        <f>'666'!$C343*H5</f>
        <v>2635325</v>
      </c>
      <c r="I14" s="181">
        <f>'666'!$C343*I5</f>
        <v>3388275</v>
      </c>
      <c r="J14" s="181">
        <f>'666'!$C343*J5</f>
        <v>3764750</v>
      </c>
      <c r="K14" s="181">
        <f>'666'!$C343*K5</f>
        <v>3764750</v>
      </c>
      <c r="L14" s="181">
        <f>'666'!$C343*L5</f>
        <v>3764750</v>
      </c>
      <c r="M14" s="181">
        <f>'666'!$C343*M5</f>
        <v>3764750</v>
      </c>
      <c r="N14" s="182">
        <f>'666'!$C343*N5</f>
        <v>3764750</v>
      </c>
      <c r="O14" s="180" t="s">
        <v>268</v>
      </c>
      <c r="P14" s="181" t="s">
        <v>268</v>
      </c>
      <c r="Q14" s="181">
        <f>'666'!$C343*Q5</f>
        <v>752950</v>
      </c>
      <c r="R14" s="181">
        <f>'666'!$C343*R5</f>
        <v>1505900</v>
      </c>
      <c r="S14" s="181">
        <f>'666'!$C343*S5</f>
        <v>2635325</v>
      </c>
      <c r="T14" s="181">
        <f>'666'!$C343*T5</f>
        <v>3388275</v>
      </c>
      <c r="U14" s="181">
        <f>'666'!$C343*U5</f>
        <v>3764750</v>
      </c>
      <c r="V14" s="181">
        <f>'666'!$C343*V5</f>
        <v>3764750</v>
      </c>
      <c r="W14" s="181">
        <f>'666'!$C343*W5</f>
        <v>3764750</v>
      </c>
      <c r="X14" s="181">
        <f>'666'!$C343*X5</f>
        <v>3764750</v>
      </c>
      <c r="Y14" s="182">
        <f>'666'!$C343*Y5</f>
        <v>3764750</v>
      </c>
      <c r="Z14" s="174"/>
    </row>
    <row r="15" spans="1:26" x14ac:dyDescent="0.25">
      <c r="A15" s="176">
        <v>12</v>
      </c>
      <c r="B15" s="178" t="s">
        <v>402</v>
      </c>
      <c r="C15" s="179" t="s">
        <v>326</v>
      </c>
      <c r="D15" s="180" t="s">
        <v>268</v>
      </c>
      <c r="E15" s="181" t="s">
        <v>268</v>
      </c>
      <c r="F15" s="181" t="s">
        <v>268</v>
      </c>
      <c r="G15" s="181" t="s">
        <v>268</v>
      </c>
      <c r="H15" s="181" t="s">
        <v>268</v>
      </c>
      <c r="I15" s="181" t="s">
        <v>268</v>
      </c>
      <c r="J15" s="181" t="s">
        <v>268</v>
      </c>
      <c r="K15" s="181" t="s">
        <v>268</v>
      </c>
      <c r="L15" s="181" t="s">
        <v>268</v>
      </c>
      <c r="M15" s="181" t="s">
        <v>268</v>
      </c>
      <c r="N15" s="182" t="s">
        <v>268</v>
      </c>
      <c r="O15" s="180" t="s">
        <v>268</v>
      </c>
      <c r="P15" s="181" t="s">
        <v>268</v>
      </c>
      <c r="Q15" s="181" t="s">
        <v>268</v>
      </c>
      <c r="R15" s="181" t="s">
        <v>268</v>
      </c>
      <c r="S15" s="181" t="s">
        <v>268</v>
      </c>
      <c r="T15" s="181" t="s">
        <v>268</v>
      </c>
      <c r="U15" s="181" t="s">
        <v>268</v>
      </c>
      <c r="V15" s="181" t="s">
        <v>268</v>
      </c>
      <c r="W15" s="181" t="s">
        <v>268</v>
      </c>
      <c r="X15" s="181" t="s">
        <v>268</v>
      </c>
      <c r="Y15" s="182" t="s">
        <v>268</v>
      </c>
      <c r="Z15" s="174"/>
    </row>
    <row r="16" spans="1:26" x14ac:dyDescent="0.25">
      <c r="A16" s="176">
        <v>13</v>
      </c>
      <c r="B16" s="178" t="s">
        <v>403</v>
      </c>
      <c r="C16" s="179" t="s">
        <v>327</v>
      </c>
      <c r="D16" s="180" t="s">
        <v>268</v>
      </c>
      <c r="E16" s="181" t="s">
        <v>268</v>
      </c>
      <c r="F16" s="181">
        <f>('666'!$C345*F5)*0.9</f>
        <v>2695770</v>
      </c>
      <c r="G16" s="181">
        <f>('666'!$C345*G5)*0.9</f>
        <v>5391540</v>
      </c>
      <c r="H16" s="181">
        <f>('666'!$C345*H5)*0.9</f>
        <v>9435195</v>
      </c>
      <c r="I16" s="181">
        <f>('666'!$C345*I5)*0.9</f>
        <v>12130965</v>
      </c>
      <c r="J16" s="181">
        <f>('666'!$C345*J5)*0.9</f>
        <v>13478850</v>
      </c>
      <c r="K16" s="181">
        <f>('666'!$C345*K5)*0.9</f>
        <v>13478850</v>
      </c>
      <c r="L16" s="181">
        <f>('666'!$C345*L5)*0.9</f>
        <v>13478850</v>
      </c>
      <c r="M16" s="181">
        <f>('666'!$C345*M5)*0.9</f>
        <v>13478850</v>
      </c>
      <c r="N16" s="181">
        <f>('666'!$C345*N5)*0.9</f>
        <v>13478850</v>
      </c>
      <c r="O16" s="180" t="s">
        <v>268</v>
      </c>
      <c r="P16" s="181" t="s">
        <v>268</v>
      </c>
      <c r="Q16" s="181">
        <f>('666'!$C345*Q5)*1.05</f>
        <v>3145065</v>
      </c>
      <c r="R16" s="181">
        <f>('666'!$C345*R5)*1.05</f>
        <v>6290130</v>
      </c>
      <c r="S16" s="181">
        <f>('666'!$C345*S5)*1.05</f>
        <v>11007727.5</v>
      </c>
      <c r="T16" s="181">
        <f>('666'!$C345*T5)*1.05</f>
        <v>14152792.5</v>
      </c>
      <c r="U16" s="181">
        <f>('666'!$C345*U5)*1.05</f>
        <v>15725325</v>
      </c>
      <c r="V16" s="181">
        <f>('666'!$C345*V5)*1.05</f>
        <v>15725325</v>
      </c>
      <c r="W16" s="181">
        <f>('666'!$C345*W5)*1.05</f>
        <v>15725325</v>
      </c>
      <c r="X16" s="181">
        <f>('666'!$C345*X5)*1.05</f>
        <v>15725325</v>
      </c>
      <c r="Y16" s="181">
        <f>('666'!$C345*Y5)*1.05</f>
        <v>15725325</v>
      </c>
      <c r="Z16" s="174"/>
    </row>
    <row r="17" spans="1:26" x14ac:dyDescent="0.25">
      <c r="A17" s="176">
        <v>14</v>
      </c>
      <c r="B17" s="178" t="s">
        <v>309</v>
      </c>
      <c r="C17" s="179" t="s">
        <v>329</v>
      </c>
      <c r="D17" s="180">
        <v>0</v>
      </c>
      <c r="E17" s="181">
        <v>0</v>
      </c>
      <c r="F17" s="181">
        <f>SUM(F13:F16)</f>
        <v>22967120</v>
      </c>
      <c r="G17" s="181">
        <f t="shared" ref="G17:Y17" si="8">SUM(G13:G16)</f>
        <v>45934240</v>
      </c>
      <c r="H17" s="181">
        <f t="shared" si="8"/>
        <v>80384920</v>
      </c>
      <c r="I17" s="181">
        <f t="shared" si="8"/>
        <v>103352040</v>
      </c>
      <c r="J17" s="181">
        <f t="shared" si="8"/>
        <v>114835600</v>
      </c>
      <c r="K17" s="181">
        <f t="shared" si="8"/>
        <v>114835600</v>
      </c>
      <c r="L17" s="181">
        <f t="shared" si="8"/>
        <v>114835600</v>
      </c>
      <c r="M17" s="181">
        <f t="shared" si="8"/>
        <v>114835600</v>
      </c>
      <c r="N17" s="181">
        <f t="shared" si="8"/>
        <v>114835600</v>
      </c>
      <c r="O17" s="181">
        <f t="shared" si="8"/>
        <v>0</v>
      </c>
      <c r="P17" s="181">
        <f t="shared" si="8"/>
        <v>0</v>
      </c>
      <c r="Q17" s="181">
        <f t="shared" si="8"/>
        <v>23416415</v>
      </c>
      <c r="R17" s="181">
        <f t="shared" si="8"/>
        <v>46832830</v>
      </c>
      <c r="S17" s="181">
        <f t="shared" si="8"/>
        <v>81957452.5</v>
      </c>
      <c r="T17" s="181">
        <f t="shared" si="8"/>
        <v>105373867.5</v>
      </c>
      <c r="U17" s="181">
        <f t="shared" si="8"/>
        <v>117082075</v>
      </c>
      <c r="V17" s="181">
        <f t="shared" si="8"/>
        <v>117082075</v>
      </c>
      <c r="W17" s="181">
        <f t="shared" si="8"/>
        <v>117082075</v>
      </c>
      <c r="X17" s="181">
        <f t="shared" si="8"/>
        <v>117082075</v>
      </c>
      <c r="Y17" s="181">
        <f t="shared" si="8"/>
        <v>117082075</v>
      </c>
      <c r="Z17" s="174"/>
    </row>
    <row r="18" spans="1:26" x14ac:dyDescent="0.25">
      <c r="A18" s="184"/>
      <c r="B18" s="185" t="s">
        <v>310</v>
      </c>
      <c r="C18" s="186"/>
      <c r="D18" s="187"/>
      <c r="E18" s="188"/>
      <c r="F18" s="188"/>
      <c r="G18" s="188"/>
      <c r="H18" s="188"/>
      <c r="I18" s="188"/>
      <c r="J18" s="188"/>
      <c r="K18" s="188"/>
      <c r="L18" s="188"/>
      <c r="M18" s="188"/>
      <c r="N18" s="189"/>
      <c r="O18" s="187"/>
      <c r="P18" s="188"/>
      <c r="Q18" s="188"/>
      <c r="R18" s="188"/>
      <c r="S18" s="188"/>
      <c r="T18" s="188"/>
      <c r="U18" s="188"/>
      <c r="V18" s="188"/>
      <c r="W18" s="188"/>
      <c r="X18" s="188"/>
      <c r="Y18" s="189"/>
      <c r="Z18" s="190"/>
    </row>
    <row r="19" spans="1:26" x14ac:dyDescent="0.25">
      <c r="A19" s="176">
        <v>15</v>
      </c>
      <c r="B19" s="178" t="s">
        <v>278</v>
      </c>
      <c r="C19" s="179" t="s">
        <v>330</v>
      </c>
      <c r="D19" s="180"/>
      <c r="E19" s="181"/>
      <c r="F19" s="181">
        <f>'666'!F425</f>
        <v>5115827.05</v>
      </c>
      <c r="G19" s="181">
        <f>'666'!G425</f>
        <v>5115827.05</v>
      </c>
      <c r="H19" s="181">
        <f>'666'!H425</f>
        <v>5115827.05</v>
      </c>
      <c r="I19" s="181">
        <f>'666'!I425</f>
        <v>5115827.05</v>
      </c>
      <c r="J19" s="181">
        <f>'666'!$J425</f>
        <v>5115827.05</v>
      </c>
      <c r="K19" s="181">
        <f>'666'!$J425</f>
        <v>5115827.05</v>
      </c>
      <c r="L19" s="181">
        <f>'666'!$J425</f>
        <v>5115827.05</v>
      </c>
      <c r="M19" s="181">
        <f>'666'!$J425</f>
        <v>5115827.05</v>
      </c>
      <c r="N19" s="182">
        <f>'666'!$J425</f>
        <v>5115827.05</v>
      </c>
      <c r="O19" s="180"/>
      <c r="P19" s="181"/>
      <c r="Q19" s="181">
        <f>F19</f>
        <v>5115827.05</v>
      </c>
      <c r="R19" s="181">
        <f t="shared" ref="R19:Y24" si="9">G19</f>
        <v>5115827.05</v>
      </c>
      <c r="S19" s="181">
        <f t="shared" si="9"/>
        <v>5115827.05</v>
      </c>
      <c r="T19" s="181">
        <f t="shared" si="9"/>
        <v>5115827.05</v>
      </c>
      <c r="U19" s="181">
        <f t="shared" si="9"/>
        <v>5115827.05</v>
      </c>
      <c r="V19" s="181">
        <f t="shared" si="9"/>
        <v>5115827.05</v>
      </c>
      <c r="W19" s="181">
        <f t="shared" si="9"/>
        <v>5115827.05</v>
      </c>
      <c r="X19" s="181">
        <f t="shared" si="9"/>
        <v>5115827.05</v>
      </c>
      <c r="Y19" s="182">
        <f t="shared" si="9"/>
        <v>5115827.05</v>
      </c>
      <c r="Z19" s="174"/>
    </row>
    <row r="20" spans="1:26" x14ac:dyDescent="0.25">
      <c r="A20" s="176">
        <v>17</v>
      </c>
      <c r="B20" s="178" t="s">
        <v>255</v>
      </c>
      <c r="C20" s="179" t="s">
        <v>331</v>
      </c>
      <c r="D20" s="180"/>
      <c r="E20" s="181"/>
      <c r="F20" s="181">
        <f>'666'!F426</f>
        <v>5859765.5619329996</v>
      </c>
      <c r="G20" s="181">
        <f>'666'!G426</f>
        <v>5859765.5619329996</v>
      </c>
      <c r="H20" s="181">
        <f>'666'!H426</f>
        <v>5859765.5619329996</v>
      </c>
      <c r="I20" s="181">
        <f>'666'!I426</f>
        <v>5859765.5619329996</v>
      </c>
      <c r="J20" s="181">
        <f>'666'!$J426</f>
        <v>5859765.5619329996</v>
      </c>
      <c r="K20" s="181">
        <f>'666'!$J426</f>
        <v>5859765.5619329996</v>
      </c>
      <c r="L20" s="181">
        <f>'666'!$J426</f>
        <v>5859765.5619329996</v>
      </c>
      <c r="M20" s="181">
        <f>'666'!$J426</f>
        <v>5859765.5619329996</v>
      </c>
      <c r="N20" s="182">
        <f>'666'!$J426</f>
        <v>5859765.5619329996</v>
      </c>
      <c r="O20" s="180"/>
      <c r="P20" s="181"/>
      <c r="Q20" s="181">
        <f t="shared" ref="Q20:Q23" si="10">F20</f>
        <v>5859765.5619329996</v>
      </c>
      <c r="R20" s="181">
        <f t="shared" si="9"/>
        <v>5859765.5619329996</v>
      </c>
      <c r="S20" s="181">
        <f t="shared" si="9"/>
        <v>5859765.5619329996</v>
      </c>
      <c r="T20" s="181">
        <f t="shared" si="9"/>
        <v>5859765.5619329996</v>
      </c>
      <c r="U20" s="181">
        <f t="shared" si="9"/>
        <v>5859765.5619329996</v>
      </c>
      <c r="V20" s="181">
        <f t="shared" si="9"/>
        <v>5859765.5619329996</v>
      </c>
      <c r="W20" s="181">
        <f t="shared" si="9"/>
        <v>5859765.5619329996</v>
      </c>
      <c r="X20" s="181">
        <f t="shared" si="9"/>
        <v>5859765.5619329996</v>
      </c>
      <c r="Y20" s="182">
        <f t="shared" si="9"/>
        <v>5859765.5619329996</v>
      </c>
      <c r="Z20" s="174"/>
    </row>
    <row r="21" spans="1:26" x14ac:dyDescent="0.25">
      <c r="A21" s="176">
        <v>18</v>
      </c>
      <c r="B21" s="178" t="s">
        <v>404</v>
      </c>
      <c r="C21" s="179" t="s">
        <v>332</v>
      </c>
      <c r="D21" s="180"/>
      <c r="E21" s="181"/>
      <c r="F21" s="181">
        <f>'666'!F427</f>
        <v>19202700</v>
      </c>
      <c r="G21" s="181">
        <f>'666'!G427</f>
        <v>19202700</v>
      </c>
      <c r="H21" s="181">
        <f>'666'!H427</f>
        <v>19202700</v>
      </c>
      <c r="I21" s="181">
        <f>'666'!I427</f>
        <v>19202700</v>
      </c>
      <c r="J21" s="181">
        <f>'666'!$J427</f>
        <v>19202700</v>
      </c>
      <c r="K21" s="181">
        <f>'666'!$J427</f>
        <v>19202700</v>
      </c>
      <c r="L21" s="181">
        <f>'666'!$J427</f>
        <v>19202700</v>
      </c>
      <c r="M21" s="181">
        <f>'666'!$J427</f>
        <v>19202700</v>
      </c>
      <c r="N21" s="182">
        <f>'666'!$J427</f>
        <v>19202700</v>
      </c>
      <c r="O21" s="180"/>
      <c r="P21" s="181"/>
      <c r="Q21" s="181">
        <f t="shared" si="10"/>
        <v>19202700</v>
      </c>
      <c r="R21" s="181">
        <f t="shared" si="9"/>
        <v>19202700</v>
      </c>
      <c r="S21" s="181">
        <f t="shared" si="9"/>
        <v>19202700</v>
      </c>
      <c r="T21" s="181">
        <f t="shared" si="9"/>
        <v>19202700</v>
      </c>
      <c r="U21" s="181">
        <f t="shared" si="9"/>
        <v>19202700</v>
      </c>
      <c r="V21" s="181">
        <f t="shared" si="9"/>
        <v>19202700</v>
      </c>
      <c r="W21" s="181">
        <f t="shared" si="9"/>
        <v>19202700</v>
      </c>
      <c r="X21" s="181">
        <f t="shared" si="9"/>
        <v>19202700</v>
      </c>
      <c r="Y21" s="182">
        <f t="shared" si="9"/>
        <v>19202700</v>
      </c>
      <c r="Z21" s="174"/>
    </row>
    <row r="22" spans="1:26" x14ac:dyDescent="0.25">
      <c r="A22" s="176">
        <v>19</v>
      </c>
      <c r="B22" s="178" t="s">
        <v>405</v>
      </c>
      <c r="C22" s="179" t="s">
        <v>333</v>
      </c>
      <c r="D22" s="180"/>
      <c r="E22" s="181"/>
      <c r="F22" s="181">
        <f>'666'!F428</f>
        <v>8622512.0167159792</v>
      </c>
      <c r="G22" s="181">
        <f>'666'!G428</f>
        <v>8622512.0167159792</v>
      </c>
      <c r="H22" s="181">
        <f>'666'!H428</f>
        <v>8622512.0167159792</v>
      </c>
      <c r="I22" s="181">
        <f>'666'!I428</f>
        <v>8622512.0167159792</v>
      </c>
      <c r="J22" s="181">
        <f>'666'!$J428</f>
        <v>8622512.0167159792</v>
      </c>
      <c r="K22" s="181">
        <f>'666'!$J428</f>
        <v>8622512.0167159792</v>
      </c>
      <c r="L22" s="181">
        <f>'666'!$J428</f>
        <v>8622512.0167159792</v>
      </c>
      <c r="M22" s="181">
        <f>'666'!$J428</f>
        <v>8622512.0167159792</v>
      </c>
      <c r="N22" s="182">
        <f>'666'!$J428</f>
        <v>8622512.0167159792</v>
      </c>
      <c r="O22" s="180"/>
      <c r="P22" s="181"/>
      <c r="Q22" s="181">
        <f t="shared" si="10"/>
        <v>8622512.0167159792</v>
      </c>
      <c r="R22" s="181">
        <f t="shared" si="9"/>
        <v>8622512.0167159792</v>
      </c>
      <c r="S22" s="181">
        <f t="shared" si="9"/>
        <v>8622512.0167159792</v>
      </c>
      <c r="T22" s="181">
        <f t="shared" si="9"/>
        <v>8622512.0167159792</v>
      </c>
      <c r="U22" s="181">
        <f t="shared" si="9"/>
        <v>8622512.0167159792</v>
      </c>
      <c r="V22" s="181">
        <f t="shared" si="9"/>
        <v>8622512.0167159792</v>
      </c>
      <c r="W22" s="181">
        <f t="shared" si="9"/>
        <v>8622512.0167159792</v>
      </c>
      <c r="X22" s="181">
        <f t="shared" si="9"/>
        <v>8622512.0167159792</v>
      </c>
      <c r="Y22" s="182">
        <f t="shared" si="9"/>
        <v>8622512.0167159792</v>
      </c>
      <c r="Z22" s="174"/>
    </row>
    <row r="23" spans="1:26" x14ac:dyDescent="0.25">
      <c r="A23" s="184">
        <v>20</v>
      </c>
      <c r="B23" s="185" t="s">
        <v>406</v>
      </c>
      <c r="C23" s="186" t="s">
        <v>334</v>
      </c>
      <c r="D23" s="187"/>
      <c r="E23" s="188"/>
      <c r="F23" s="188">
        <f>'666'!F429</f>
        <v>38800804.628648981</v>
      </c>
      <c r="G23" s="188">
        <f>'666'!G429</f>
        <v>38800804.628648981</v>
      </c>
      <c r="H23" s="188">
        <f>'666'!H429</f>
        <v>38800804.628648981</v>
      </c>
      <c r="I23" s="188">
        <f>'666'!I429</f>
        <v>38800804.628648981</v>
      </c>
      <c r="J23" s="188">
        <f>'666'!$J429</f>
        <v>38800804.628648981</v>
      </c>
      <c r="K23" s="188">
        <f>'666'!$J429</f>
        <v>38800804.628648981</v>
      </c>
      <c r="L23" s="188">
        <f>'666'!$J429</f>
        <v>38800804.628648981</v>
      </c>
      <c r="M23" s="188">
        <f>'666'!$J429</f>
        <v>38800804.628648981</v>
      </c>
      <c r="N23" s="189">
        <f>'666'!$J429</f>
        <v>38800804.628648981</v>
      </c>
      <c r="O23" s="187"/>
      <c r="P23" s="188"/>
      <c r="Q23" s="188">
        <f t="shared" si="10"/>
        <v>38800804.628648981</v>
      </c>
      <c r="R23" s="188">
        <f t="shared" si="9"/>
        <v>38800804.628648981</v>
      </c>
      <c r="S23" s="188">
        <f t="shared" si="9"/>
        <v>38800804.628648981</v>
      </c>
      <c r="T23" s="188">
        <f t="shared" si="9"/>
        <v>38800804.628648981</v>
      </c>
      <c r="U23" s="188">
        <f t="shared" si="9"/>
        <v>38800804.628648981</v>
      </c>
      <c r="V23" s="188">
        <f t="shared" si="9"/>
        <v>38800804.628648981</v>
      </c>
      <c r="W23" s="188">
        <f t="shared" si="9"/>
        <v>38800804.628648981</v>
      </c>
      <c r="X23" s="188">
        <f t="shared" si="9"/>
        <v>38800804.628648981</v>
      </c>
      <c r="Y23" s="189">
        <f t="shared" si="9"/>
        <v>38800804.628648981</v>
      </c>
      <c r="Z23" s="190"/>
    </row>
    <row r="24" spans="1:26" x14ac:dyDescent="0.25">
      <c r="A24" s="176">
        <v>21</v>
      </c>
      <c r="B24" s="178" t="s">
        <v>312</v>
      </c>
      <c r="C24" s="179" t="s">
        <v>335</v>
      </c>
      <c r="D24" s="180"/>
      <c r="E24" s="181"/>
      <c r="F24" s="181">
        <f>'666'!F430</f>
        <v>1866646.8</v>
      </c>
      <c r="G24" s="181">
        <f>'666'!G430</f>
        <v>1866646.8</v>
      </c>
      <c r="H24" s="181">
        <f>'666'!H430</f>
        <v>1866646.8</v>
      </c>
      <c r="I24" s="181">
        <f>'666'!I430</f>
        <v>1866646.8</v>
      </c>
      <c r="J24" s="181">
        <f>'666'!$J430</f>
        <v>1866646.8</v>
      </c>
      <c r="K24" s="181">
        <f>'666'!$J430</f>
        <v>1866646.8</v>
      </c>
      <c r="L24" s="181">
        <f>'666'!$J430</f>
        <v>1866646.8</v>
      </c>
      <c r="M24" s="181">
        <f>'666'!$J430</f>
        <v>1866646.8</v>
      </c>
      <c r="N24" s="182">
        <f>'666'!$J430</f>
        <v>1866646.8</v>
      </c>
      <c r="O24" s="180"/>
      <c r="P24" s="181"/>
      <c r="Q24" s="181">
        <f>F24</f>
        <v>1866646.8</v>
      </c>
      <c r="R24" s="181">
        <f t="shared" si="9"/>
        <v>1866646.8</v>
      </c>
      <c r="S24" s="181">
        <f t="shared" si="9"/>
        <v>1866646.8</v>
      </c>
      <c r="T24" s="181">
        <f t="shared" si="9"/>
        <v>1866646.8</v>
      </c>
      <c r="U24" s="181">
        <f t="shared" si="9"/>
        <v>1866646.8</v>
      </c>
      <c r="V24" s="181">
        <f t="shared" si="9"/>
        <v>1866646.8</v>
      </c>
      <c r="W24" s="181">
        <f t="shared" si="9"/>
        <v>1866646.8</v>
      </c>
      <c r="X24" s="181">
        <f t="shared" si="9"/>
        <v>1866646.8</v>
      </c>
      <c r="Y24" s="182">
        <f t="shared" si="9"/>
        <v>1866646.8</v>
      </c>
      <c r="Z24" s="174"/>
    </row>
    <row r="25" spans="1:26" x14ac:dyDescent="0.25">
      <c r="A25" s="176">
        <v>22</v>
      </c>
      <c r="B25" s="178" t="s">
        <v>407</v>
      </c>
      <c r="C25" s="179"/>
      <c r="D25" s="180"/>
      <c r="E25" s="181"/>
      <c r="F25" s="181">
        <f>F9-F17-F23-F24</f>
        <v>-17935071.42864899</v>
      </c>
      <c r="G25" s="181">
        <f t="shared" ref="G25:M25" si="11">G9-G17-G23-G24</f>
        <v>4797308.5713510038</v>
      </c>
      <c r="H25" s="181">
        <f t="shared" si="11"/>
        <v>38895878.571351022</v>
      </c>
      <c r="I25" s="181">
        <f t="shared" si="11"/>
        <v>61628258.571350992</v>
      </c>
      <c r="J25" s="181">
        <f t="shared" si="11"/>
        <v>72994448.571351022</v>
      </c>
      <c r="K25" s="181">
        <f t="shared" si="11"/>
        <v>72994448.571351022</v>
      </c>
      <c r="L25" s="181">
        <f t="shared" si="11"/>
        <v>72994448.571351022</v>
      </c>
      <c r="M25" s="181">
        <f t="shared" si="11"/>
        <v>72994448.571351022</v>
      </c>
      <c r="N25" s="182">
        <f>N9-N17-N23-N24</f>
        <v>72994448.571351022</v>
      </c>
      <c r="O25" s="180"/>
      <c r="P25" s="181"/>
      <c r="Q25" s="181">
        <f>Q9-Q17-Q23-Q24</f>
        <v>-18384366.42864899</v>
      </c>
      <c r="R25" s="181">
        <f t="shared" ref="R25:Y25" si="12">R9-R17-R23-R24</f>
        <v>3898718.5713510038</v>
      </c>
      <c r="S25" s="181">
        <f t="shared" si="12"/>
        <v>37323346.071351022</v>
      </c>
      <c r="T25" s="181">
        <f t="shared" si="12"/>
        <v>59606431.071350992</v>
      </c>
      <c r="U25" s="181">
        <f t="shared" si="12"/>
        <v>70747973.571351022</v>
      </c>
      <c r="V25" s="181">
        <f t="shared" si="12"/>
        <v>70747973.571351022</v>
      </c>
      <c r="W25" s="181">
        <f t="shared" si="12"/>
        <v>70747973.571351022</v>
      </c>
      <c r="X25" s="181">
        <f t="shared" si="12"/>
        <v>70747973.571351022</v>
      </c>
      <c r="Y25" s="182">
        <f t="shared" si="12"/>
        <v>70747973.571351022</v>
      </c>
      <c r="Z25" s="174"/>
    </row>
    <row r="26" spans="1:26" x14ac:dyDescent="0.25">
      <c r="A26" s="176">
        <v>23</v>
      </c>
      <c r="B26" s="178" t="s">
        <v>378</v>
      </c>
      <c r="C26" s="179"/>
      <c r="D26" s="180"/>
      <c r="E26" s="181"/>
      <c r="F26" s="181">
        <v>0</v>
      </c>
      <c r="G26" s="181">
        <f>G25*20%</f>
        <v>959461.71427020081</v>
      </c>
      <c r="H26" s="181">
        <f t="shared" ref="H26:N26" si="13">H25*20%</f>
        <v>7779175.7142702043</v>
      </c>
      <c r="I26" s="181">
        <f t="shared" si="13"/>
        <v>12325651.714270199</v>
      </c>
      <c r="J26" s="181">
        <f t="shared" si="13"/>
        <v>14598889.714270204</v>
      </c>
      <c r="K26" s="181">
        <f t="shared" si="13"/>
        <v>14598889.714270204</v>
      </c>
      <c r="L26" s="181">
        <f t="shared" si="13"/>
        <v>14598889.714270204</v>
      </c>
      <c r="M26" s="181">
        <f t="shared" si="13"/>
        <v>14598889.714270204</v>
      </c>
      <c r="N26" s="181">
        <f t="shared" si="13"/>
        <v>14598889.714270204</v>
      </c>
      <c r="O26" s="180"/>
      <c r="P26" s="181"/>
      <c r="Q26" s="181">
        <v>0</v>
      </c>
      <c r="R26" s="181">
        <v>0</v>
      </c>
      <c r="S26" s="181">
        <f>S25*20%</f>
        <v>7464669.2142702043</v>
      </c>
      <c r="T26" s="181">
        <f t="shared" ref="T26:Y26" si="14">T25*20%</f>
        <v>11921286.214270199</v>
      </c>
      <c r="U26" s="181">
        <f t="shared" si="14"/>
        <v>14149594.714270204</v>
      </c>
      <c r="V26" s="181">
        <f t="shared" si="14"/>
        <v>14149594.714270204</v>
      </c>
      <c r="W26" s="181">
        <f t="shared" si="14"/>
        <v>14149594.714270204</v>
      </c>
      <c r="X26" s="181">
        <f t="shared" si="14"/>
        <v>14149594.714270204</v>
      </c>
      <c r="Y26" s="181">
        <f t="shared" si="14"/>
        <v>14149594.714270204</v>
      </c>
      <c r="Z26" s="174"/>
    </row>
    <row r="27" spans="1:26" x14ac:dyDescent="0.25">
      <c r="A27" s="176">
        <v>24</v>
      </c>
      <c r="B27" s="178" t="s">
        <v>316</v>
      </c>
      <c r="C27" s="179"/>
      <c r="D27" s="180"/>
      <c r="E27" s="181"/>
      <c r="F27" s="181">
        <f>F25-F26</f>
        <v>-17935071.42864899</v>
      </c>
      <c r="G27" s="181">
        <f t="shared" ref="G27:Y27" si="15">G25-G26</f>
        <v>3837846.8570808033</v>
      </c>
      <c r="H27" s="181">
        <f t="shared" si="15"/>
        <v>31116702.857080817</v>
      </c>
      <c r="I27" s="181">
        <f t="shared" si="15"/>
        <v>49302606.857080795</v>
      </c>
      <c r="J27" s="181">
        <f t="shared" si="15"/>
        <v>58395558.857080817</v>
      </c>
      <c r="K27" s="181">
        <f t="shared" si="15"/>
        <v>58395558.857080817</v>
      </c>
      <c r="L27" s="181">
        <f t="shared" si="15"/>
        <v>58395558.857080817</v>
      </c>
      <c r="M27" s="181">
        <f t="shared" si="15"/>
        <v>58395558.857080817</v>
      </c>
      <c r="N27" s="182">
        <f>N25-N26</f>
        <v>58395558.857080817</v>
      </c>
      <c r="O27" s="180">
        <f t="shared" si="15"/>
        <v>0</v>
      </c>
      <c r="P27" s="181">
        <f t="shared" si="15"/>
        <v>0</v>
      </c>
      <c r="Q27" s="181">
        <f t="shared" si="15"/>
        <v>-18384366.42864899</v>
      </c>
      <c r="R27" s="181">
        <f t="shared" si="15"/>
        <v>3898718.5713510038</v>
      </c>
      <c r="S27" s="181">
        <f t="shared" si="15"/>
        <v>29858676.857080817</v>
      </c>
      <c r="T27" s="181">
        <f t="shared" si="15"/>
        <v>47685144.857080795</v>
      </c>
      <c r="U27" s="181">
        <f t="shared" si="15"/>
        <v>56598378.857080817</v>
      </c>
      <c r="V27" s="181">
        <f t="shared" si="15"/>
        <v>56598378.857080817</v>
      </c>
      <c r="W27" s="181">
        <f t="shared" si="15"/>
        <v>56598378.857080817</v>
      </c>
      <c r="X27" s="181">
        <f t="shared" si="15"/>
        <v>56598378.857080817</v>
      </c>
      <c r="Y27" s="182">
        <f t="shared" si="15"/>
        <v>56598378.857080817</v>
      </c>
      <c r="Z27" s="174"/>
    </row>
    <row r="28" spans="1:26" x14ac:dyDescent="0.25">
      <c r="A28" s="176">
        <v>25</v>
      </c>
      <c r="B28" s="178" t="s">
        <v>379</v>
      </c>
      <c r="C28" s="179"/>
      <c r="D28" s="180"/>
      <c r="E28" s="181"/>
      <c r="F28" s="181">
        <f>F27+F24</f>
        <v>-16068424.628648989</v>
      </c>
      <c r="G28" s="181">
        <f t="shared" ref="G28:Y28" si="16">G27+G24</f>
        <v>5704493.6570808031</v>
      </c>
      <c r="H28" s="181">
        <f t="shared" si="16"/>
        <v>32983349.657080818</v>
      </c>
      <c r="I28" s="181">
        <f t="shared" si="16"/>
        <v>51169253.657080792</v>
      </c>
      <c r="J28" s="181">
        <f t="shared" si="16"/>
        <v>60262205.657080814</v>
      </c>
      <c r="K28" s="181">
        <f t="shared" si="16"/>
        <v>60262205.657080814</v>
      </c>
      <c r="L28" s="181">
        <f t="shared" si="16"/>
        <v>60262205.657080814</v>
      </c>
      <c r="M28" s="181">
        <f t="shared" si="16"/>
        <v>60262205.657080814</v>
      </c>
      <c r="N28" s="182">
        <f>N27+N24</f>
        <v>60262205.657080814</v>
      </c>
      <c r="O28" s="180">
        <f t="shared" si="16"/>
        <v>0</v>
      </c>
      <c r="P28" s="181">
        <f t="shared" si="16"/>
        <v>0</v>
      </c>
      <c r="Q28" s="181">
        <f t="shared" si="16"/>
        <v>-16517719.628648989</v>
      </c>
      <c r="R28" s="181">
        <f t="shared" si="16"/>
        <v>5765365.3713510036</v>
      </c>
      <c r="S28" s="181">
        <f t="shared" si="16"/>
        <v>31725323.657080818</v>
      </c>
      <c r="T28" s="181">
        <f t="shared" si="16"/>
        <v>49551791.657080792</v>
      </c>
      <c r="U28" s="181">
        <f t="shared" si="16"/>
        <v>58465025.657080814</v>
      </c>
      <c r="V28" s="181">
        <f t="shared" si="16"/>
        <v>58465025.657080814</v>
      </c>
      <c r="W28" s="181">
        <f t="shared" si="16"/>
        <v>58465025.657080814</v>
      </c>
      <c r="X28" s="181">
        <f t="shared" si="16"/>
        <v>58465025.657080814</v>
      </c>
      <c r="Y28" s="182">
        <f t="shared" si="16"/>
        <v>58465025.657080814</v>
      </c>
      <c r="Z28" s="174"/>
    </row>
    <row r="29" spans="1:26" x14ac:dyDescent="0.25">
      <c r="A29" s="176">
        <v>26</v>
      </c>
      <c r="B29" s="178" t="s">
        <v>380</v>
      </c>
      <c r="C29" s="179"/>
      <c r="D29" s="180"/>
      <c r="E29" s="181"/>
      <c r="F29" s="181"/>
      <c r="G29" s="181"/>
      <c r="H29" s="181"/>
      <c r="I29" s="181"/>
      <c r="J29" s="181"/>
      <c r="K29" s="181"/>
      <c r="L29" s="181"/>
      <c r="M29" s="181"/>
      <c r="N29" s="182"/>
      <c r="O29" s="180"/>
      <c r="P29" s="181"/>
      <c r="Q29" s="181"/>
      <c r="R29" s="181"/>
      <c r="S29" s="181"/>
      <c r="T29" s="181"/>
      <c r="U29" s="181"/>
      <c r="V29" s="181"/>
      <c r="W29" s="181"/>
      <c r="X29" s="181"/>
      <c r="Y29" s="182"/>
      <c r="Z29" s="174"/>
    </row>
    <row r="30" spans="1:26" x14ac:dyDescent="0.25">
      <c r="A30" s="176">
        <v>27</v>
      </c>
      <c r="B30" s="178" t="s">
        <v>408</v>
      </c>
      <c r="C30" s="179"/>
      <c r="D30" s="180">
        <f>-'666'!C364</f>
        <v>-87599403</v>
      </c>
      <c r="E30" s="181">
        <f>-'666'!D364</f>
        <v>-6396300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2">
        <v>0</v>
      </c>
      <c r="O30" s="180">
        <f>D30</f>
        <v>-87599403</v>
      </c>
      <c r="P30" s="181">
        <f>E30</f>
        <v>-6396300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2">
        <v>0</v>
      </c>
      <c r="Z30" s="174"/>
    </row>
    <row r="31" spans="1:26" x14ac:dyDescent="0.25">
      <c r="A31" s="176">
        <v>28</v>
      </c>
      <c r="B31" s="178" t="s">
        <v>381</v>
      </c>
      <c r="C31" s="179"/>
      <c r="D31" s="180" t="s">
        <v>268</v>
      </c>
      <c r="E31" s="181" t="s">
        <v>268</v>
      </c>
      <c r="F31" s="181" t="s">
        <v>268</v>
      </c>
      <c r="G31" s="181" t="s">
        <v>268</v>
      </c>
      <c r="H31" s="181" t="s">
        <v>268</v>
      </c>
      <c r="I31" s="181" t="s">
        <v>268</v>
      </c>
      <c r="J31" s="181" t="s">
        <v>268</v>
      </c>
      <c r="K31" s="181" t="s">
        <v>268</v>
      </c>
      <c r="L31" s="181" t="s">
        <v>268</v>
      </c>
      <c r="M31" s="181" t="s">
        <v>268</v>
      </c>
      <c r="N31" s="182" t="s">
        <v>268</v>
      </c>
      <c r="O31" s="180" t="s">
        <v>268</v>
      </c>
      <c r="P31" s="181" t="s">
        <v>268</v>
      </c>
      <c r="Q31" s="181" t="s">
        <v>268</v>
      </c>
      <c r="R31" s="181" t="s">
        <v>268</v>
      </c>
      <c r="S31" s="181" t="s">
        <v>268</v>
      </c>
      <c r="T31" s="181" t="s">
        <v>268</v>
      </c>
      <c r="U31" s="181" t="s">
        <v>268</v>
      </c>
      <c r="V31" s="181" t="s">
        <v>268</v>
      </c>
      <c r="W31" s="181" t="s">
        <v>268</v>
      </c>
      <c r="X31" s="181" t="s">
        <v>268</v>
      </c>
      <c r="Y31" s="182" t="s">
        <v>268</v>
      </c>
      <c r="Z31" s="174"/>
    </row>
    <row r="32" spans="1:26" x14ac:dyDescent="0.25">
      <c r="A32" s="176">
        <v>29</v>
      </c>
      <c r="B32" s="178" t="s">
        <v>416</v>
      </c>
      <c r="C32" s="179"/>
      <c r="D32" s="180">
        <f>D30</f>
        <v>-87599403</v>
      </c>
      <c r="E32" s="181">
        <f t="shared" ref="E32:Y32" si="17">E30</f>
        <v>-6396300</v>
      </c>
      <c r="F32" s="181">
        <f t="shared" si="17"/>
        <v>0</v>
      </c>
      <c r="G32" s="181">
        <f t="shared" si="17"/>
        <v>0</v>
      </c>
      <c r="H32" s="181">
        <f t="shared" si="17"/>
        <v>0</v>
      </c>
      <c r="I32" s="181">
        <f t="shared" si="17"/>
        <v>0</v>
      </c>
      <c r="J32" s="181">
        <f t="shared" si="17"/>
        <v>0</v>
      </c>
      <c r="K32" s="181">
        <f t="shared" si="17"/>
        <v>0</v>
      </c>
      <c r="L32" s="181">
        <f t="shared" si="17"/>
        <v>0</v>
      </c>
      <c r="M32" s="181">
        <f t="shared" si="17"/>
        <v>0</v>
      </c>
      <c r="N32" s="182">
        <f t="shared" si="17"/>
        <v>0</v>
      </c>
      <c r="O32" s="180">
        <f t="shared" si="17"/>
        <v>-87599403</v>
      </c>
      <c r="P32" s="181">
        <f t="shared" si="17"/>
        <v>-6396300</v>
      </c>
      <c r="Q32" s="181">
        <f t="shared" si="17"/>
        <v>0</v>
      </c>
      <c r="R32" s="181">
        <f t="shared" si="17"/>
        <v>0</v>
      </c>
      <c r="S32" s="181">
        <f t="shared" si="17"/>
        <v>0</v>
      </c>
      <c r="T32" s="181">
        <f t="shared" si="17"/>
        <v>0</v>
      </c>
      <c r="U32" s="181">
        <f t="shared" si="17"/>
        <v>0</v>
      </c>
      <c r="V32" s="181">
        <f t="shared" si="17"/>
        <v>0</v>
      </c>
      <c r="W32" s="181">
        <f t="shared" si="17"/>
        <v>0</v>
      </c>
      <c r="X32" s="181">
        <f t="shared" si="17"/>
        <v>0</v>
      </c>
      <c r="Y32" s="182">
        <f t="shared" si="17"/>
        <v>0</v>
      </c>
      <c r="Z32" s="174"/>
    </row>
    <row r="33" spans="1:26" x14ac:dyDescent="0.25">
      <c r="A33" s="176">
        <v>30</v>
      </c>
      <c r="B33" s="178" t="s">
        <v>382</v>
      </c>
      <c r="C33" s="179"/>
      <c r="D33" s="180">
        <f>D28+D32</f>
        <v>-87599403</v>
      </c>
      <c r="E33" s="181">
        <f>E28+E32</f>
        <v>-6396300</v>
      </c>
      <c r="F33" s="181">
        <f t="shared" ref="F33:Y33" si="18">F28+F32</f>
        <v>-16068424.628648989</v>
      </c>
      <c r="G33" s="181">
        <f t="shared" si="18"/>
        <v>5704493.6570808031</v>
      </c>
      <c r="H33" s="181">
        <f t="shared" si="18"/>
        <v>32983349.657080818</v>
      </c>
      <c r="I33" s="181">
        <f t="shared" si="18"/>
        <v>51169253.657080792</v>
      </c>
      <c r="J33" s="181">
        <f t="shared" si="18"/>
        <v>60262205.657080814</v>
      </c>
      <c r="K33" s="181">
        <f t="shared" si="18"/>
        <v>60262205.657080814</v>
      </c>
      <c r="L33" s="181">
        <f t="shared" si="18"/>
        <v>60262205.657080814</v>
      </c>
      <c r="M33" s="181">
        <f t="shared" si="18"/>
        <v>60262205.657080814</v>
      </c>
      <c r="N33" s="182">
        <f>N28+N32</f>
        <v>60262205.657080814</v>
      </c>
      <c r="O33" s="180">
        <f t="shared" si="18"/>
        <v>-87599403</v>
      </c>
      <c r="P33" s="181">
        <f t="shared" si="18"/>
        <v>-6396300</v>
      </c>
      <c r="Q33" s="181">
        <f t="shared" si="18"/>
        <v>-16517719.628648989</v>
      </c>
      <c r="R33" s="181">
        <f t="shared" si="18"/>
        <v>5765365.3713510036</v>
      </c>
      <c r="S33" s="181">
        <f t="shared" si="18"/>
        <v>31725323.657080818</v>
      </c>
      <c r="T33" s="181">
        <f t="shared" si="18"/>
        <v>49551791.657080792</v>
      </c>
      <c r="U33" s="181">
        <f t="shared" si="18"/>
        <v>58465025.657080814</v>
      </c>
      <c r="V33" s="181">
        <f t="shared" si="18"/>
        <v>58465025.657080814</v>
      </c>
      <c r="W33" s="181">
        <f t="shared" si="18"/>
        <v>58465025.657080814</v>
      </c>
      <c r="X33" s="181">
        <f t="shared" si="18"/>
        <v>58465025.657080814</v>
      </c>
      <c r="Y33" s="182">
        <f t="shared" si="18"/>
        <v>58465025.657080814</v>
      </c>
      <c r="Z33" s="174"/>
    </row>
    <row r="34" spans="1:26" x14ac:dyDescent="0.25">
      <c r="A34" s="176">
        <v>31</v>
      </c>
      <c r="B34" s="178" t="s">
        <v>383</v>
      </c>
      <c r="C34" s="179"/>
      <c r="D34" s="180">
        <f>'666'!D457</f>
        <v>26279820.899999999</v>
      </c>
      <c r="E34" s="181">
        <f>'666'!E457</f>
        <v>28198711.199999999</v>
      </c>
      <c r="F34" s="181">
        <f>'666'!F457</f>
        <v>33556466.270999998</v>
      </c>
      <c r="G34" s="181">
        <f>'666'!G457</f>
        <v>38914221.342</v>
      </c>
      <c r="H34" s="181">
        <f>'666'!H457</f>
        <v>44271976.413000003</v>
      </c>
      <c r="I34" s="181">
        <f>'666'!I457</f>
        <v>49629731.484000005</v>
      </c>
      <c r="J34" s="181">
        <f>'666'!J457</f>
        <v>54987486.555000007</v>
      </c>
      <c r="K34" s="181">
        <f>$J34</f>
        <v>54987486.555000007</v>
      </c>
      <c r="L34" s="181">
        <f>$J34</f>
        <v>54987486.555000007</v>
      </c>
      <c r="M34" s="181">
        <f>$J34</f>
        <v>54987486.555000007</v>
      </c>
      <c r="N34" s="182">
        <f>$J34</f>
        <v>54987486.555000007</v>
      </c>
      <c r="O34" s="180">
        <f>D34</f>
        <v>26279820.899999999</v>
      </c>
      <c r="P34" s="181">
        <f t="shared" ref="P34:Y34" si="19">E34</f>
        <v>28198711.199999999</v>
      </c>
      <c r="Q34" s="181">
        <f t="shared" si="19"/>
        <v>33556466.270999998</v>
      </c>
      <c r="R34" s="181">
        <f t="shared" si="19"/>
        <v>38914221.342</v>
      </c>
      <c r="S34" s="181">
        <f t="shared" si="19"/>
        <v>44271976.413000003</v>
      </c>
      <c r="T34" s="181">
        <f t="shared" si="19"/>
        <v>49629731.484000005</v>
      </c>
      <c r="U34" s="181">
        <f t="shared" si="19"/>
        <v>54987486.555000007</v>
      </c>
      <c r="V34" s="181">
        <f t="shared" si="19"/>
        <v>54987486.555000007</v>
      </c>
      <c r="W34" s="181">
        <f t="shared" si="19"/>
        <v>54987486.555000007</v>
      </c>
      <c r="X34" s="181">
        <f t="shared" si="19"/>
        <v>54987486.555000007</v>
      </c>
      <c r="Y34" s="182">
        <f t="shared" si="19"/>
        <v>54987486.555000007</v>
      </c>
      <c r="Z34" s="174"/>
    </row>
    <row r="35" spans="1:26" x14ac:dyDescent="0.25">
      <c r="A35" s="176">
        <v>32</v>
      </c>
      <c r="B35" s="178" t="s">
        <v>409</v>
      </c>
      <c r="C35" s="179"/>
      <c r="D35" s="191">
        <f>'666'!B486</f>
        <v>1</v>
      </c>
      <c r="E35" s="191">
        <f>'666'!C486</f>
        <v>0.83299999999999996</v>
      </c>
      <c r="F35" s="191">
        <f>'666'!D486</f>
        <v>0.69399999999999995</v>
      </c>
      <c r="G35" s="191">
        <f>'666'!E486</f>
        <v>0.57899999999999996</v>
      </c>
      <c r="H35" s="191">
        <f>'666'!F486</f>
        <v>0.48199999999999998</v>
      </c>
      <c r="I35" s="191">
        <f>'666'!G486</f>
        <v>0.40200000000000002</v>
      </c>
      <c r="J35" s="191">
        <f>'666'!H486</f>
        <v>0.33500000000000002</v>
      </c>
      <c r="K35" s="191">
        <f>'666'!I486</f>
        <v>0.27900000000000003</v>
      </c>
      <c r="L35" s="191">
        <f>'666'!J486</f>
        <v>0.23300000000000001</v>
      </c>
      <c r="M35" s="191">
        <f>'666'!K486</f>
        <v>0.19400000000000001</v>
      </c>
      <c r="N35" s="191">
        <f>'666'!L486</f>
        <v>0.16200000000000001</v>
      </c>
      <c r="O35" s="191">
        <f>'666'!B486</f>
        <v>1</v>
      </c>
      <c r="P35" s="191">
        <f>'666'!C486</f>
        <v>0.83299999999999996</v>
      </c>
      <c r="Q35" s="191">
        <f>'666'!D486</f>
        <v>0.69399999999999995</v>
      </c>
      <c r="R35" s="191">
        <f>'666'!E486</f>
        <v>0.57899999999999996</v>
      </c>
      <c r="S35" s="191">
        <f>'666'!F486</f>
        <v>0.48199999999999998</v>
      </c>
      <c r="T35" s="191">
        <f>'666'!G486</f>
        <v>0.40200000000000002</v>
      </c>
      <c r="U35" s="191">
        <f>'666'!H486</f>
        <v>0.33500000000000002</v>
      </c>
      <c r="V35" s="191">
        <f>'666'!I486</f>
        <v>0.27900000000000003</v>
      </c>
      <c r="W35" s="191">
        <f>'666'!J486</f>
        <v>0.23300000000000001</v>
      </c>
      <c r="X35" s="191">
        <f>'666'!K486</f>
        <v>0.19400000000000001</v>
      </c>
      <c r="Y35" s="191">
        <f>'666'!L486</f>
        <v>0.16200000000000001</v>
      </c>
      <c r="Z35" s="174"/>
    </row>
    <row r="36" spans="1:26" x14ac:dyDescent="0.25">
      <c r="A36" s="176">
        <v>33</v>
      </c>
      <c r="B36" s="178" t="s">
        <v>417</v>
      </c>
      <c r="C36" s="179"/>
      <c r="D36" s="180">
        <f>D33*D35</f>
        <v>-87599403</v>
      </c>
      <c r="E36" s="181">
        <f t="shared" ref="E36:Y36" si="20">E33*E35</f>
        <v>-5328117.8999999994</v>
      </c>
      <c r="F36" s="181">
        <f t="shared" si="20"/>
        <v>-11151486.692282397</v>
      </c>
      <c r="G36" s="181">
        <f t="shared" si="20"/>
        <v>3302901.8274497846</v>
      </c>
      <c r="H36" s="181">
        <f t="shared" si="20"/>
        <v>15897974.534712953</v>
      </c>
      <c r="I36" s="181">
        <f t="shared" si="20"/>
        <v>20570039.970146481</v>
      </c>
      <c r="J36" s="181">
        <f t="shared" si="20"/>
        <v>20187838.895122074</v>
      </c>
      <c r="K36" s="181">
        <f t="shared" si="20"/>
        <v>16813155.378325548</v>
      </c>
      <c r="L36" s="181">
        <f t="shared" si="20"/>
        <v>14041093.91809983</v>
      </c>
      <c r="M36" s="181">
        <f t="shared" si="20"/>
        <v>11690867.897473678</v>
      </c>
      <c r="N36" s="182">
        <f>N33*N35</f>
        <v>9762477.3164470922</v>
      </c>
      <c r="O36" s="180">
        <f t="shared" si="20"/>
        <v>-87599403</v>
      </c>
      <c r="P36" s="181">
        <f t="shared" si="20"/>
        <v>-5328117.8999999994</v>
      </c>
      <c r="Q36" s="181">
        <f t="shared" si="20"/>
        <v>-11463297.422282398</v>
      </c>
      <c r="R36" s="181">
        <f t="shared" si="20"/>
        <v>3338146.5500122309</v>
      </c>
      <c r="S36" s="181">
        <f t="shared" si="20"/>
        <v>15291606.002712954</v>
      </c>
      <c r="T36" s="181">
        <f t="shared" si="20"/>
        <v>19919820.246146478</v>
      </c>
      <c r="U36" s="181">
        <f t="shared" si="20"/>
        <v>19585783.595122073</v>
      </c>
      <c r="V36" s="181">
        <f t="shared" si="20"/>
        <v>16311742.158325549</v>
      </c>
      <c r="W36" s="181">
        <f t="shared" si="20"/>
        <v>13622350.97809983</v>
      </c>
      <c r="X36" s="181">
        <f t="shared" si="20"/>
        <v>11342214.977473678</v>
      </c>
      <c r="Y36" s="182">
        <f t="shared" si="20"/>
        <v>9471334.1564470921</v>
      </c>
      <c r="Z36" s="174"/>
    </row>
    <row r="37" spans="1:26" x14ac:dyDescent="0.25">
      <c r="A37" s="176">
        <v>34</v>
      </c>
      <c r="B37" s="178" t="s">
        <v>410</v>
      </c>
      <c r="C37" s="179"/>
      <c r="D37" s="180">
        <f>D36</f>
        <v>-87599403</v>
      </c>
      <c r="E37" s="181">
        <f>D37+E36</f>
        <v>-92927520.900000006</v>
      </c>
      <c r="F37" s="181">
        <f t="shared" ref="F37:Y37" si="21">E37+F36</f>
        <v>-104079007.5922824</v>
      </c>
      <c r="G37" s="181">
        <f t="shared" si="21"/>
        <v>-100776105.76483262</v>
      </c>
      <c r="H37" s="181">
        <f t="shared" si="21"/>
        <v>-84878131.23011966</v>
      </c>
      <c r="I37" s="181">
        <f t="shared" si="21"/>
        <v>-64308091.259973183</v>
      </c>
      <c r="J37" s="181">
        <f t="shared" si="21"/>
        <v>-44120252.36485111</v>
      </c>
      <c r="K37" s="181">
        <f t="shared" si="21"/>
        <v>-27307096.986525562</v>
      </c>
      <c r="L37" s="181">
        <f t="shared" si="21"/>
        <v>-13266003.068425732</v>
      </c>
      <c r="M37" s="181">
        <f t="shared" si="21"/>
        <v>-1575135.1709520537</v>
      </c>
      <c r="N37" s="182">
        <f>M37+N36</f>
        <v>8187342.1454950385</v>
      </c>
      <c r="O37" s="180">
        <f>O36</f>
        <v>-87599403</v>
      </c>
      <c r="P37" s="181">
        <f t="shared" si="21"/>
        <v>-92927520.900000006</v>
      </c>
      <c r="Q37" s="181">
        <f t="shared" si="21"/>
        <v>-104390818.3222824</v>
      </c>
      <c r="R37" s="181">
        <f t="shared" si="21"/>
        <v>-101052671.77227017</v>
      </c>
      <c r="S37" s="181">
        <f t="shared" si="21"/>
        <v>-85761065.769557223</v>
      </c>
      <c r="T37" s="181">
        <f t="shared" si="21"/>
        <v>-65841245.523410745</v>
      </c>
      <c r="U37" s="181">
        <f t="shared" si="21"/>
        <v>-46255461.928288668</v>
      </c>
      <c r="V37" s="181">
        <f t="shared" si="21"/>
        <v>-29943719.769963119</v>
      </c>
      <c r="W37" s="181">
        <f t="shared" si="21"/>
        <v>-16321368.791863289</v>
      </c>
      <c r="X37" s="181">
        <f t="shared" si="21"/>
        <v>-4979153.8143896107</v>
      </c>
      <c r="Y37" s="182">
        <f t="shared" si="21"/>
        <v>4492180.3420574814</v>
      </c>
      <c r="Z37" s="174"/>
    </row>
    <row r="38" spans="1:26" x14ac:dyDescent="0.25">
      <c r="A38" s="176">
        <v>35</v>
      </c>
      <c r="B38" s="178" t="s">
        <v>349</v>
      </c>
      <c r="C38" s="179"/>
      <c r="D38" s="180" t="str">
        <f>D7</f>
        <v>-</v>
      </c>
      <c r="E38" s="181" t="str">
        <f t="shared" ref="E38:Y38" si="22">E7</f>
        <v>-</v>
      </c>
      <c r="F38" s="181">
        <f t="shared" si="22"/>
        <v>54839399.999999993</v>
      </c>
      <c r="G38" s="181">
        <f t="shared" si="22"/>
        <v>109678799.99999999</v>
      </c>
      <c r="H38" s="181">
        <f t="shared" si="22"/>
        <v>191937900</v>
      </c>
      <c r="I38" s="181">
        <f t="shared" si="22"/>
        <v>246777299.99999997</v>
      </c>
      <c r="J38" s="181">
        <f t="shared" si="22"/>
        <v>274197000</v>
      </c>
      <c r="K38" s="181">
        <f t="shared" si="22"/>
        <v>274197000</v>
      </c>
      <c r="L38" s="181">
        <f t="shared" si="22"/>
        <v>274197000</v>
      </c>
      <c r="M38" s="181">
        <f t="shared" si="22"/>
        <v>274197000</v>
      </c>
      <c r="N38" s="182">
        <f t="shared" si="22"/>
        <v>274197000</v>
      </c>
      <c r="O38" s="180" t="str">
        <f t="shared" si="22"/>
        <v>-</v>
      </c>
      <c r="P38" s="181" t="str">
        <f t="shared" si="22"/>
        <v>-</v>
      </c>
      <c r="Q38" s="181">
        <f t="shared" si="22"/>
        <v>54839399.999999993</v>
      </c>
      <c r="R38" s="181">
        <f t="shared" si="22"/>
        <v>109678799.99999999</v>
      </c>
      <c r="S38" s="181">
        <f t="shared" si="22"/>
        <v>191937900</v>
      </c>
      <c r="T38" s="181">
        <f t="shared" si="22"/>
        <v>246777299.99999997</v>
      </c>
      <c r="U38" s="181">
        <f t="shared" si="22"/>
        <v>274197000</v>
      </c>
      <c r="V38" s="181">
        <f t="shared" si="22"/>
        <v>274197000</v>
      </c>
      <c r="W38" s="181">
        <f t="shared" si="22"/>
        <v>274197000</v>
      </c>
      <c r="X38" s="181">
        <f t="shared" si="22"/>
        <v>274197000</v>
      </c>
      <c r="Y38" s="182">
        <f t="shared" si="22"/>
        <v>274197000</v>
      </c>
      <c r="Z38" s="174"/>
    </row>
    <row r="39" spans="1:26" ht="15.75" thickBot="1" x14ac:dyDescent="0.3">
      <c r="A39" s="176">
        <v>36</v>
      </c>
      <c r="B39" s="178" t="s">
        <v>411</v>
      </c>
      <c r="C39" s="179"/>
      <c r="D39" s="192" t="s">
        <v>268</v>
      </c>
      <c r="E39" s="193" t="s">
        <v>268</v>
      </c>
      <c r="F39" s="193">
        <f t="shared" ref="F39:Y39" si="23">F38*F35</f>
        <v>38058543.599999994</v>
      </c>
      <c r="G39" s="193">
        <f t="shared" si="23"/>
        <v>63504025.199999988</v>
      </c>
      <c r="H39" s="193">
        <f t="shared" si="23"/>
        <v>92514067.799999997</v>
      </c>
      <c r="I39" s="193">
        <f t="shared" si="23"/>
        <v>99204474.599999994</v>
      </c>
      <c r="J39" s="193">
        <f t="shared" si="23"/>
        <v>91855995</v>
      </c>
      <c r="K39" s="193">
        <f t="shared" si="23"/>
        <v>76500963</v>
      </c>
      <c r="L39" s="193">
        <f t="shared" si="23"/>
        <v>63887901</v>
      </c>
      <c r="M39" s="193">
        <f t="shared" si="23"/>
        <v>53194218</v>
      </c>
      <c r="N39" s="194">
        <f t="shared" si="23"/>
        <v>44419914</v>
      </c>
      <c r="O39" s="192" t="s">
        <v>268</v>
      </c>
      <c r="P39" s="193" t="s">
        <v>268</v>
      </c>
      <c r="Q39" s="193">
        <f t="shared" si="23"/>
        <v>38058543.599999994</v>
      </c>
      <c r="R39" s="193">
        <f t="shared" si="23"/>
        <v>63504025.199999988</v>
      </c>
      <c r="S39" s="193">
        <f t="shared" si="23"/>
        <v>92514067.799999997</v>
      </c>
      <c r="T39" s="193">
        <f t="shared" si="23"/>
        <v>99204474.599999994</v>
      </c>
      <c r="U39" s="193">
        <f t="shared" si="23"/>
        <v>91855995</v>
      </c>
      <c r="V39" s="193">
        <f t="shared" si="23"/>
        <v>76500963</v>
      </c>
      <c r="W39" s="193">
        <f t="shared" si="23"/>
        <v>63887901</v>
      </c>
      <c r="X39" s="193">
        <f t="shared" si="23"/>
        <v>53194218</v>
      </c>
      <c r="Y39" s="194">
        <f t="shared" si="23"/>
        <v>44419914</v>
      </c>
      <c r="Z39" s="174"/>
    </row>
    <row r="40" spans="1:26" ht="15.75" thickBot="1" x14ac:dyDescent="0.3">
      <c r="A40" s="176">
        <v>37</v>
      </c>
      <c r="B40" s="178" t="s">
        <v>412</v>
      </c>
      <c r="C40" s="179"/>
      <c r="D40" s="278">
        <f>SUM(F39:N39)</f>
        <v>623140102.19999993</v>
      </c>
      <c r="E40" s="279"/>
      <c r="F40" s="279"/>
      <c r="G40" s="279"/>
      <c r="H40" s="279"/>
      <c r="I40" s="279"/>
      <c r="J40" s="279"/>
      <c r="K40" s="279"/>
      <c r="L40" s="279"/>
      <c r="M40" s="279"/>
      <c r="N40" s="280"/>
      <c r="O40" s="278">
        <f>SUM(Q39:Y39)</f>
        <v>623140102.19999993</v>
      </c>
      <c r="P40" s="279"/>
      <c r="Q40" s="279"/>
      <c r="R40" s="279"/>
      <c r="S40" s="279"/>
      <c r="T40" s="279"/>
      <c r="U40" s="279"/>
      <c r="V40" s="279"/>
      <c r="W40" s="279"/>
      <c r="X40" s="279"/>
      <c r="Y40" s="280"/>
      <c r="Z40" s="174"/>
    </row>
    <row r="41" spans="1:26" x14ac:dyDescent="0.25">
      <c r="A41" s="176">
        <v>38</v>
      </c>
      <c r="B41" s="178" t="s">
        <v>346</v>
      </c>
      <c r="C41" s="179"/>
      <c r="D41" s="195">
        <f>D17-D23-D26-D30</f>
        <v>87599403</v>
      </c>
      <c r="E41" s="196">
        <f t="shared" ref="E41:Y41" si="24">E17-E23-E26-E30</f>
        <v>6396300</v>
      </c>
      <c r="F41" s="196">
        <f t="shared" si="24"/>
        <v>-15833684.628648981</v>
      </c>
      <c r="G41" s="196">
        <f t="shared" si="24"/>
        <v>6173973.657080818</v>
      </c>
      <c r="H41" s="196">
        <f t="shared" si="24"/>
        <v>33804939.657080814</v>
      </c>
      <c r="I41" s="196">
        <f t="shared" si="24"/>
        <v>52225583.657080822</v>
      </c>
      <c r="J41" s="196">
        <f t="shared" si="24"/>
        <v>61435905.657080814</v>
      </c>
      <c r="K41" s="196">
        <f t="shared" si="24"/>
        <v>61435905.657080814</v>
      </c>
      <c r="L41" s="196">
        <f t="shared" si="24"/>
        <v>61435905.657080814</v>
      </c>
      <c r="M41" s="196">
        <f t="shared" si="24"/>
        <v>61435905.657080814</v>
      </c>
      <c r="N41" s="197">
        <f t="shared" si="24"/>
        <v>61435905.657080814</v>
      </c>
      <c r="O41" s="195">
        <f t="shared" si="24"/>
        <v>87599403</v>
      </c>
      <c r="P41" s="196">
        <f t="shared" si="24"/>
        <v>6396300</v>
      </c>
      <c r="Q41" s="196">
        <f t="shared" si="24"/>
        <v>-15384389.628648981</v>
      </c>
      <c r="R41" s="196">
        <f t="shared" si="24"/>
        <v>8032025.3713510185</v>
      </c>
      <c r="S41" s="196">
        <f t="shared" si="24"/>
        <v>35691978.657080814</v>
      </c>
      <c r="T41" s="196">
        <f t="shared" si="24"/>
        <v>54651776.657080822</v>
      </c>
      <c r="U41" s="196">
        <f t="shared" si="24"/>
        <v>64131675.657080814</v>
      </c>
      <c r="V41" s="196">
        <f t="shared" si="24"/>
        <v>64131675.657080814</v>
      </c>
      <c r="W41" s="196">
        <f t="shared" si="24"/>
        <v>64131675.657080814</v>
      </c>
      <c r="X41" s="196">
        <f t="shared" si="24"/>
        <v>64131675.657080814</v>
      </c>
      <c r="Y41" s="197">
        <f t="shared" si="24"/>
        <v>64131675.657080814</v>
      </c>
      <c r="Z41" s="174"/>
    </row>
    <row r="42" spans="1:26" ht="15.75" thickBot="1" x14ac:dyDescent="0.3">
      <c r="A42" s="176">
        <v>39</v>
      </c>
      <c r="B42" s="178" t="s">
        <v>413</v>
      </c>
      <c r="C42" s="179"/>
      <c r="D42" s="192">
        <f>D41*D35</f>
        <v>87599403</v>
      </c>
      <c r="E42" s="193">
        <f t="shared" ref="E42:Y42" si="25">E41*E35</f>
        <v>5328117.8999999994</v>
      </c>
      <c r="F42" s="193">
        <f t="shared" si="25"/>
        <v>-10988577.132282393</v>
      </c>
      <c r="G42" s="193">
        <f t="shared" si="25"/>
        <v>3574730.7474497934</v>
      </c>
      <c r="H42" s="193">
        <f t="shared" si="25"/>
        <v>16293980.914712952</v>
      </c>
      <c r="I42" s="193">
        <f t="shared" si="25"/>
        <v>20994684.630146492</v>
      </c>
      <c r="J42" s="193">
        <f t="shared" si="25"/>
        <v>20581028.395122074</v>
      </c>
      <c r="K42" s="193">
        <f t="shared" si="25"/>
        <v>17140617.678325549</v>
      </c>
      <c r="L42" s="193">
        <f t="shared" si="25"/>
        <v>14314566.018099831</v>
      </c>
      <c r="M42" s="193">
        <f>M41*M35</f>
        <v>11918565.697473679</v>
      </c>
      <c r="N42" s="194">
        <f t="shared" si="25"/>
        <v>9952616.7164470926</v>
      </c>
      <c r="O42" s="192">
        <f t="shared" si="25"/>
        <v>87599403</v>
      </c>
      <c r="P42" s="193">
        <f t="shared" si="25"/>
        <v>5328117.8999999994</v>
      </c>
      <c r="Q42" s="193">
        <f t="shared" si="25"/>
        <v>-10676766.402282393</v>
      </c>
      <c r="R42" s="193">
        <f t="shared" si="25"/>
        <v>4650542.6900122399</v>
      </c>
      <c r="S42" s="193">
        <f t="shared" si="25"/>
        <v>17203533.712712951</v>
      </c>
      <c r="T42" s="193">
        <f t="shared" si="25"/>
        <v>21970014.216146491</v>
      </c>
      <c r="U42" s="193">
        <f t="shared" si="25"/>
        <v>21484111.345122073</v>
      </c>
      <c r="V42" s="193">
        <f t="shared" si="25"/>
        <v>17892737.508325547</v>
      </c>
      <c r="W42" s="193">
        <f t="shared" si="25"/>
        <v>14942680.42809983</v>
      </c>
      <c r="X42" s="193">
        <f t="shared" si="25"/>
        <v>12441545.077473678</v>
      </c>
      <c r="Y42" s="194">
        <f t="shared" si="25"/>
        <v>10389331.456447093</v>
      </c>
      <c r="Z42" s="174"/>
    </row>
    <row r="43" spans="1:26" ht="15.75" thickBot="1" x14ac:dyDescent="0.3">
      <c r="A43" s="176">
        <v>40</v>
      </c>
      <c r="B43" s="178" t="s">
        <v>414</v>
      </c>
      <c r="C43" s="179"/>
      <c r="D43" s="271">
        <f>SUM(D42:N42)</f>
        <v>196709734.56549507</v>
      </c>
      <c r="E43" s="272"/>
      <c r="F43" s="272"/>
      <c r="G43" s="272"/>
      <c r="H43" s="272"/>
      <c r="I43" s="272"/>
      <c r="J43" s="272"/>
      <c r="K43" s="272"/>
      <c r="L43" s="272"/>
      <c r="M43" s="272"/>
      <c r="N43" s="273"/>
      <c r="O43" s="271">
        <f>SUM(O42:Y42)</f>
        <v>203225250.93205753</v>
      </c>
      <c r="P43" s="272"/>
      <c r="Q43" s="272"/>
      <c r="R43" s="272"/>
      <c r="S43" s="272"/>
      <c r="T43" s="272"/>
      <c r="U43" s="272"/>
      <c r="V43" s="272"/>
      <c r="W43" s="272"/>
      <c r="X43" s="272"/>
      <c r="Y43" s="273"/>
      <c r="Z43" s="174"/>
    </row>
    <row r="44" spans="1:26" ht="15.75" thickBot="1" x14ac:dyDescent="0.3">
      <c r="A44" s="176">
        <v>41</v>
      </c>
      <c r="B44" s="178" t="s">
        <v>415</v>
      </c>
      <c r="C44" s="179"/>
      <c r="D44" s="198">
        <f>D30*D35</f>
        <v>-87599403</v>
      </c>
      <c r="E44" s="199">
        <f>E30*E35</f>
        <v>-5328117.8999999994</v>
      </c>
      <c r="F44" s="199" t="s">
        <v>268</v>
      </c>
      <c r="G44" s="199" t="s">
        <v>268</v>
      </c>
      <c r="H44" s="199" t="s">
        <v>268</v>
      </c>
      <c r="I44" s="199" t="s">
        <v>268</v>
      </c>
      <c r="J44" s="199" t="s">
        <v>268</v>
      </c>
      <c r="K44" s="199" t="s">
        <v>268</v>
      </c>
      <c r="L44" s="199" t="s">
        <v>268</v>
      </c>
      <c r="M44" s="199" t="s">
        <v>268</v>
      </c>
      <c r="N44" s="200" t="s">
        <v>268</v>
      </c>
      <c r="O44" s="198">
        <f>D44</f>
        <v>-87599403</v>
      </c>
      <c r="P44" s="199">
        <f t="shared" ref="P44:Y44" si="26">E44</f>
        <v>-5328117.8999999994</v>
      </c>
      <c r="Q44" s="199" t="str">
        <f t="shared" si="26"/>
        <v>-</v>
      </c>
      <c r="R44" s="199" t="str">
        <f t="shared" si="26"/>
        <v>-</v>
      </c>
      <c r="S44" s="199" t="str">
        <f t="shared" si="26"/>
        <v>-</v>
      </c>
      <c r="T44" s="199" t="str">
        <f t="shared" si="26"/>
        <v>-</v>
      </c>
      <c r="U44" s="199" t="str">
        <f t="shared" si="26"/>
        <v>-</v>
      </c>
      <c r="V44" s="199" t="str">
        <f t="shared" si="26"/>
        <v>-</v>
      </c>
      <c r="W44" s="199" t="str">
        <f t="shared" si="26"/>
        <v>-</v>
      </c>
      <c r="X44" s="199" t="str">
        <f t="shared" si="26"/>
        <v>-</v>
      </c>
      <c r="Y44" s="200" t="str">
        <f t="shared" si="26"/>
        <v>-</v>
      </c>
      <c r="Z44" s="174"/>
    </row>
    <row r="45" spans="1:26" x14ac:dyDescent="0.25">
      <c r="E45" s="174"/>
      <c r="F45" s="206" t="s">
        <v>421</v>
      </c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x14ac:dyDescent="0.25">
      <c r="E46" s="274" t="str">
        <f>"Индекс доходности дисконтированных затрат = "</f>
        <v xml:space="preserve">Индекс доходности дисконтированных затрат = </v>
      </c>
      <c r="F46" s="274"/>
      <c r="G46" s="174">
        <f>ROUND((D40/ABS(D43)),2)</f>
        <v>3.17</v>
      </c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x14ac:dyDescent="0.25">
      <c r="E47" s="274" t="str">
        <f>"Индекс доходности дисконтрированных инвестиций ="</f>
        <v>Индекс доходности дисконтрированных инвестиций =</v>
      </c>
      <c r="F47" s="274"/>
      <c r="G47" s="201">
        <f>G46+(G46+N37)/ABS(SUM(D44:E44))</f>
        <v>3.2581046350553726</v>
      </c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x14ac:dyDescent="0.25">
      <c r="E48" s="274" t="str">
        <f>"Внутренняя норма доходности = "</f>
        <v xml:space="preserve">Внутренняя норма доходности = </v>
      </c>
      <c r="F48" s="274"/>
      <c r="G48" s="201">
        <f>ROUND(20+(N37/(N37-Q53)*(30-20)),2)</f>
        <v>22.15</v>
      </c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x14ac:dyDescent="0.25">
      <c r="E49" s="176"/>
      <c r="F49" s="202" t="s">
        <v>392</v>
      </c>
      <c r="G49" s="203">
        <v>0</v>
      </c>
      <c r="H49" s="203">
        <v>1</v>
      </c>
      <c r="I49" s="203">
        <v>2</v>
      </c>
      <c r="J49" s="203">
        <v>3</v>
      </c>
      <c r="K49" s="203">
        <v>4</v>
      </c>
      <c r="L49" s="203">
        <v>5</v>
      </c>
      <c r="M49" s="203">
        <v>6</v>
      </c>
      <c r="N49" s="203">
        <v>7</v>
      </c>
      <c r="O49" s="203">
        <v>8</v>
      </c>
      <c r="P49" s="203">
        <v>9</v>
      </c>
      <c r="Q49" s="203">
        <v>10</v>
      </c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x14ac:dyDescent="0.25">
      <c r="E50" s="176">
        <v>1</v>
      </c>
      <c r="F50" s="202" t="s">
        <v>382</v>
      </c>
      <c r="G50" s="204">
        <f t="shared" ref="G50:Q50" si="27">C33</f>
        <v>0</v>
      </c>
      <c r="H50" s="204">
        <f t="shared" si="27"/>
        <v>-87599403</v>
      </c>
      <c r="I50" s="204">
        <f t="shared" si="27"/>
        <v>-6396300</v>
      </c>
      <c r="J50" s="204">
        <f t="shared" si="27"/>
        <v>-16068424.628648989</v>
      </c>
      <c r="K50" s="204">
        <f t="shared" si="27"/>
        <v>5704493.6570808031</v>
      </c>
      <c r="L50" s="204">
        <f t="shared" si="27"/>
        <v>32983349.657080818</v>
      </c>
      <c r="M50" s="204">
        <f t="shared" si="27"/>
        <v>51169253.657080792</v>
      </c>
      <c r="N50" s="204">
        <f t="shared" si="27"/>
        <v>60262205.657080814</v>
      </c>
      <c r="O50" s="204">
        <f t="shared" si="27"/>
        <v>60262205.657080814</v>
      </c>
      <c r="P50" s="204">
        <f t="shared" si="27"/>
        <v>60262205.657080814</v>
      </c>
      <c r="Q50" s="204">
        <f t="shared" si="27"/>
        <v>60262205.657080814</v>
      </c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x14ac:dyDescent="0.25">
      <c r="E51" s="176">
        <v>2</v>
      </c>
      <c r="F51" s="203" t="s">
        <v>388</v>
      </c>
      <c r="G51" s="202">
        <f>ROUND(1/POWER((1+0.3),G49),3)</f>
        <v>1</v>
      </c>
      <c r="H51" s="202">
        <f t="shared" ref="H51:Q51" si="28">ROUND(1/POWER((1+0.3),H49),3)</f>
        <v>0.76900000000000002</v>
      </c>
      <c r="I51" s="202">
        <f t="shared" si="28"/>
        <v>0.59199999999999997</v>
      </c>
      <c r="J51" s="202">
        <f t="shared" si="28"/>
        <v>0.45500000000000002</v>
      </c>
      <c r="K51" s="202">
        <f t="shared" si="28"/>
        <v>0.35</v>
      </c>
      <c r="L51" s="202">
        <f t="shared" si="28"/>
        <v>0.26900000000000002</v>
      </c>
      <c r="M51" s="202">
        <f t="shared" si="28"/>
        <v>0.20699999999999999</v>
      </c>
      <c r="N51" s="202">
        <f t="shared" si="28"/>
        <v>0.159</v>
      </c>
      <c r="O51" s="202">
        <f t="shared" si="28"/>
        <v>0.123</v>
      </c>
      <c r="P51" s="202">
        <f t="shared" si="28"/>
        <v>9.4E-2</v>
      </c>
      <c r="Q51" s="202">
        <f t="shared" si="28"/>
        <v>7.2999999999999995E-2</v>
      </c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x14ac:dyDescent="0.25">
      <c r="E52" s="176">
        <v>3</v>
      </c>
      <c r="F52" s="202" t="s">
        <v>389</v>
      </c>
      <c r="G52" s="204">
        <f>G50*G51</f>
        <v>0</v>
      </c>
      <c r="H52" s="204">
        <f t="shared" ref="H52:Q52" si="29">H50*H51</f>
        <v>-67363940.907000005</v>
      </c>
      <c r="I52" s="204">
        <f t="shared" si="29"/>
        <v>-3786609.5999999996</v>
      </c>
      <c r="J52" s="204">
        <f t="shared" si="29"/>
        <v>-7311133.2060352899</v>
      </c>
      <c r="K52" s="204">
        <f t="shared" si="29"/>
        <v>1996572.7799782809</v>
      </c>
      <c r="L52" s="204">
        <f t="shared" si="29"/>
        <v>8872521.0577547401</v>
      </c>
      <c r="M52" s="204">
        <f t="shared" si="29"/>
        <v>10592035.507015724</v>
      </c>
      <c r="N52" s="204">
        <f t="shared" si="29"/>
        <v>9581690.699475849</v>
      </c>
      <c r="O52" s="204">
        <f t="shared" si="29"/>
        <v>7412251.2958209403</v>
      </c>
      <c r="P52" s="204">
        <f t="shared" si="29"/>
        <v>5664647.3317655968</v>
      </c>
      <c r="Q52" s="204">
        <f t="shared" si="29"/>
        <v>4399141.0129668992</v>
      </c>
      <c r="R52" s="174"/>
      <c r="S52" s="174"/>
      <c r="T52" s="174"/>
      <c r="U52" s="174"/>
      <c r="V52" s="174"/>
      <c r="W52" s="174"/>
      <c r="X52" s="174"/>
      <c r="Y52" s="174"/>
      <c r="Z52" s="174"/>
    </row>
    <row r="53" spans="1:26" ht="15.75" x14ac:dyDescent="0.25">
      <c r="E53" s="176">
        <v>4</v>
      </c>
      <c r="F53" s="202" t="s">
        <v>390</v>
      </c>
      <c r="G53" s="204">
        <f>G52</f>
        <v>0</v>
      </c>
      <c r="H53" s="205">
        <f>G53+H52</f>
        <v>-67363940.907000005</v>
      </c>
      <c r="I53" s="205">
        <f t="shared" ref="I53:P53" si="30">H53+I52</f>
        <v>-71150550.506999999</v>
      </c>
      <c r="J53" s="205">
        <f t="shared" si="30"/>
        <v>-78461683.713035285</v>
      </c>
      <c r="K53" s="205">
        <f t="shared" si="30"/>
        <v>-76465110.93305701</v>
      </c>
      <c r="L53" s="205">
        <f t="shared" si="30"/>
        <v>-67592589.87530227</v>
      </c>
      <c r="M53" s="205">
        <f t="shared" si="30"/>
        <v>-57000554.36828655</v>
      </c>
      <c r="N53" s="205">
        <f t="shared" si="30"/>
        <v>-47418863.668810703</v>
      </c>
      <c r="O53" s="205">
        <f t="shared" si="30"/>
        <v>-40006612.372989759</v>
      </c>
      <c r="P53" s="205">
        <f t="shared" si="30"/>
        <v>-34341965.041224159</v>
      </c>
      <c r="Q53" s="205">
        <f>P53+Q52</f>
        <v>-29942824.028257258</v>
      </c>
      <c r="R53" s="174"/>
      <c r="S53" s="174"/>
      <c r="T53" s="174"/>
      <c r="U53" s="174"/>
      <c r="V53" s="174"/>
      <c r="W53" s="174"/>
      <c r="X53" s="174"/>
      <c r="Y53" s="174"/>
      <c r="Z53" s="174"/>
    </row>
    <row r="54" spans="1:26" ht="15.75" thickBot="1" x14ac:dyDescent="0.3">
      <c r="E54" s="174"/>
      <c r="F54" s="174" t="s">
        <v>420</v>
      </c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</row>
    <row r="55" spans="1:26" ht="15.75" thickBot="1" x14ac:dyDescent="0.3">
      <c r="A55" s="212"/>
      <c r="B55" s="221" t="s">
        <v>394</v>
      </c>
      <c r="C55" s="212"/>
      <c r="E55" s="274" t="str">
        <f>"Индекс доходности дисконтированных затрат = "</f>
        <v xml:space="preserve">Индекс доходности дисконтированных затрат = </v>
      </c>
      <c r="F55" s="274"/>
      <c r="G55" s="174">
        <f>ROUND((D40/ABS(D43)),2)</f>
        <v>3.17</v>
      </c>
      <c r="H55" s="174"/>
      <c r="I55" s="174"/>
      <c r="J55" s="174"/>
      <c r="K55" s="174"/>
      <c r="L55" s="174"/>
      <c r="M55" s="174"/>
      <c r="N55" s="174"/>
      <c r="O55" s="174"/>
      <c r="P55" s="174"/>
      <c r="Q55" s="174"/>
    </row>
    <row r="56" spans="1:26" x14ac:dyDescent="0.25">
      <c r="A56" s="212"/>
      <c r="B56" s="212" t="str">
        <f>"Объем реализации на "&amp;G65&amp;" шаге = "</f>
        <v xml:space="preserve">Объем реализации на 0 шаге = </v>
      </c>
      <c r="C56" s="201">
        <v>0</v>
      </c>
      <c r="E56" s="274" t="str">
        <f>"Индекс доходности дисконтрированных инвестиций ="</f>
        <v>Индекс доходности дисконтрированных инвестиций =</v>
      </c>
      <c r="F56" s="274"/>
      <c r="G56" s="201">
        <f>G55+(G55+Y37)/ABS(SUM(D44:E44))</f>
        <v>3.218340722625018</v>
      </c>
      <c r="H56" s="174"/>
      <c r="I56" s="174"/>
      <c r="J56" s="174"/>
      <c r="K56" s="174"/>
      <c r="L56" s="174"/>
      <c r="M56" s="174"/>
      <c r="N56" s="174"/>
      <c r="O56" s="174"/>
      <c r="P56" s="174"/>
      <c r="Q56" s="174"/>
    </row>
    <row r="57" spans="1:26" x14ac:dyDescent="0.25">
      <c r="A57" s="212"/>
      <c r="B57" s="212" t="str">
        <f>"Объем реализации на "&amp;G66&amp;" шаге = "</f>
        <v xml:space="preserve">Объем реализации на 1 шаге = </v>
      </c>
      <c r="C57" s="201">
        <v>0</v>
      </c>
      <c r="E57" s="274" t="str">
        <f>"Внутренняя норма доходности = "</f>
        <v xml:space="preserve">Внутренняя норма доходности = </v>
      </c>
      <c r="F57" s="274"/>
      <c r="G57" s="201">
        <f>ROUND(20+(Y37/(Y37-Q62)*(30-20)),2)</f>
        <v>19.43</v>
      </c>
      <c r="H57" s="174"/>
      <c r="I57" s="174"/>
      <c r="J57" s="174"/>
      <c r="K57" s="174"/>
      <c r="L57" s="174"/>
      <c r="M57" s="174"/>
      <c r="N57" s="174"/>
      <c r="O57" s="174"/>
      <c r="P57" s="174"/>
      <c r="Q57" s="174"/>
    </row>
    <row r="58" spans="1:26" ht="15.75" x14ac:dyDescent="0.25">
      <c r="A58" s="212"/>
      <c r="B58" s="212" t="str">
        <f>"Объем реализации на "&amp;G67&amp;" шаге = "&amp;'666'!D$398&amp;" ="</f>
        <v>Объем реализации на 2 шаге = 55000 =</v>
      </c>
      <c r="C58" s="201">
        <f>F$5</f>
        <v>55000</v>
      </c>
      <c r="E58" s="176"/>
      <c r="F58" s="202" t="s">
        <v>392</v>
      </c>
      <c r="G58" s="203">
        <v>0</v>
      </c>
      <c r="H58" s="203">
        <v>1</v>
      </c>
      <c r="I58" s="203">
        <v>2</v>
      </c>
      <c r="J58" s="203">
        <v>3</v>
      </c>
      <c r="K58" s="203">
        <v>4</v>
      </c>
      <c r="L58" s="203">
        <v>5</v>
      </c>
      <c r="M58" s="203">
        <v>6</v>
      </c>
      <c r="N58" s="203">
        <v>7</v>
      </c>
      <c r="O58" s="203">
        <v>8</v>
      </c>
      <c r="P58" s="203">
        <v>9</v>
      </c>
      <c r="Q58" s="203">
        <v>10</v>
      </c>
    </row>
    <row r="59" spans="1:26" ht="15.75" x14ac:dyDescent="0.25">
      <c r="A59" s="212"/>
      <c r="B59" s="212" t="str">
        <f>"Объем реализации на "&amp;G68&amp;" шаге = "&amp;'666'!E$398&amp;" ="</f>
        <v>Объем реализации на 3 шаге = 110000 =</v>
      </c>
      <c r="C59" s="201">
        <f>G$5</f>
        <v>110000</v>
      </c>
      <c r="E59" s="176">
        <v>1</v>
      </c>
      <c r="F59" s="202" t="s">
        <v>382</v>
      </c>
      <c r="G59" s="204">
        <f t="shared" ref="G59:Q59" si="31">C42</f>
        <v>0</v>
      </c>
      <c r="H59" s="204">
        <f t="shared" si="31"/>
        <v>87599403</v>
      </c>
      <c r="I59" s="204">
        <f t="shared" si="31"/>
        <v>5328117.8999999994</v>
      </c>
      <c r="J59" s="204">
        <f t="shared" si="31"/>
        <v>-10988577.132282393</v>
      </c>
      <c r="K59" s="204">
        <f t="shared" si="31"/>
        <v>3574730.7474497934</v>
      </c>
      <c r="L59" s="204">
        <f t="shared" si="31"/>
        <v>16293980.914712952</v>
      </c>
      <c r="M59" s="204">
        <f t="shared" si="31"/>
        <v>20994684.630146492</v>
      </c>
      <c r="N59" s="204">
        <f t="shared" si="31"/>
        <v>20581028.395122074</v>
      </c>
      <c r="O59" s="204">
        <f t="shared" si="31"/>
        <v>17140617.678325549</v>
      </c>
      <c r="P59" s="204">
        <f t="shared" si="31"/>
        <v>14314566.018099831</v>
      </c>
      <c r="Q59" s="204">
        <f t="shared" si="31"/>
        <v>11918565.697473679</v>
      </c>
    </row>
    <row r="60" spans="1:26" ht="15.75" customHeight="1" x14ac:dyDescent="0.25">
      <c r="A60" s="212"/>
      <c r="B60" s="212" t="str">
        <f>"Объем реализации на "&amp;G69&amp;" шаге = "&amp;'666'!F$398&amp;" ="</f>
        <v>Объем реализации на 4 шаге = 192500 =</v>
      </c>
      <c r="C60" s="201">
        <f>H$5</f>
        <v>192500</v>
      </c>
      <c r="E60" s="176">
        <v>2</v>
      </c>
      <c r="F60" s="202" t="s">
        <v>388</v>
      </c>
      <c r="G60" s="202">
        <f>ROUND(1/POWER((1+0.3),G58),3)</f>
        <v>1</v>
      </c>
      <c r="H60" s="202">
        <f t="shared" ref="H60:Q60" si="32">ROUND(1/POWER((1+0.3),H58),3)</f>
        <v>0.76900000000000002</v>
      </c>
      <c r="I60" s="202">
        <f t="shared" si="32"/>
        <v>0.59199999999999997</v>
      </c>
      <c r="J60" s="202">
        <f t="shared" si="32"/>
        <v>0.45500000000000002</v>
      </c>
      <c r="K60" s="202">
        <f t="shared" si="32"/>
        <v>0.35</v>
      </c>
      <c r="L60" s="202">
        <f t="shared" si="32"/>
        <v>0.26900000000000002</v>
      </c>
      <c r="M60" s="202">
        <f t="shared" si="32"/>
        <v>0.20699999999999999</v>
      </c>
      <c r="N60" s="202">
        <f t="shared" si="32"/>
        <v>0.159</v>
      </c>
      <c r="O60" s="202">
        <f t="shared" si="32"/>
        <v>0.123</v>
      </c>
      <c r="P60" s="202">
        <f t="shared" si="32"/>
        <v>9.4E-2</v>
      </c>
      <c r="Q60" s="202">
        <f t="shared" si="32"/>
        <v>7.2999999999999995E-2</v>
      </c>
    </row>
    <row r="61" spans="1:26" ht="15.75" x14ac:dyDescent="0.25">
      <c r="A61" s="212"/>
      <c r="B61" s="212" t="str">
        <f>"Объем реализации на "&amp;G70&amp;" шаге = "&amp;'666'!G$398&amp;" ="</f>
        <v>Объем реализации на 5 шаге = 247500 =</v>
      </c>
      <c r="C61" s="201">
        <f>I$5</f>
        <v>247500</v>
      </c>
      <c r="E61" s="176">
        <v>3</v>
      </c>
      <c r="F61" s="202" t="s">
        <v>389</v>
      </c>
      <c r="G61" s="204">
        <f>G59*G60</f>
        <v>0</v>
      </c>
      <c r="H61" s="204">
        <f t="shared" ref="H61:Q61" si="33">H59*H60</f>
        <v>67363940.907000005</v>
      </c>
      <c r="I61" s="204">
        <f t="shared" si="33"/>
        <v>3154245.7967999997</v>
      </c>
      <c r="J61" s="204">
        <f t="shared" si="33"/>
        <v>-4999802.5951884892</v>
      </c>
      <c r="K61" s="204">
        <f t="shared" si="33"/>
        <v>1251155.7616074276</v>
      </c>
      <c r="L61" s="204">
        <f t="shared" si="33"/>
        <v>4383080.8660577843</v>
      </c>
      <c r="M61" s="204">
        <f t="shared" si="33"/>
        <v>4345899.7184403241</v>
      </c>
      <c r="N61" s="204">
        <f t="shared" si="33"/>
        <v>3272383.51482441</v>
      </c>
      <c r="O61" s="204">
        <f t="shared" si="33"/>
        <v>2108295.9744340423</v>
      </c>
      <c r="P61" s="204">
        <f t="shared" si="33"/>
        <v>1345569.2057013842</v>
      </c>
      <c r="Q61" s="204">
        <f t="shared" si="33"/>
        <v>870055.29591557849</v>
      </c>
    </row>
    <row r="62" spans="1:26" ht="15.75" x14ac:dyDescent="0.25">
      <c r="A62" s="212"/>
      <c r="B62" s="212" t="str">
        <f>"Объем реализации на "&amp;G71&amp;" шаге = "&amp;'666'!H$398&amp;" ="</f>
        <v>Объем реализации на 6 шаге = 275000 =</v>
      </c>
      <c r="C62" s="201">
        <f>J$5</f>
        <v>275000</v>
      </c>
      <c r="E62" s="176">
        <v>4</v>
      </c>
      <c r="F62" s="202" t="s">
        <v>390</v>
      </c>
      <c r="G62" s="204">
        <f>G61</f>
        <v>0</v>
      </c>
      <c r="H62" s="205">
        <f>G62+H61</f>
        <v>67363940.907000005</v>
      </c>
      <c r="I62" s="205">
        <f t="shared" ref="I62" si="34">H62+I61</f>
        <v>70518186.703800008</v>
      </c>
      <c r="J62" s="205">
        <f t="shared" ref="J62" si="35">I62+J61</f>
        <v>65518384.108611517</v>
      </c>
      <c r="K62" s="205">
        <f t="shared" ref="K62" si="36">J62+K61</f>
        <v>66769539.870218948</v>
      </c>
      <c r="L62" s="205">
        <f t="shared" ref="L62" si="37">K62+L61</f>
        <v>71152620.736276731</v>
      </c>
      <c r="M62" s="205">
        <f t="shared" ref="M62" si="38">L62+M61</f>
        <v>75498520.454717055</v>
      </c>
      <c r="N62" s="205">
        <f t="shared" ref="N62" si="39">M62+N61</f>
        <v>78770903.96954146</v>
      </c>
      <c r="O62" s="205">
        <f t="shared" ref="O62" si="40">N62+O61</f>
        <v>80879199.943975508</v>
      </c>
      <c r="P62" s="205">
        <f t="shared" ref="P62" si="41">O62+P61</f>
        <v>82224769.149676889</v>
      </c>
      <c r="Q62" s="205">
        <f>P62+Q61</f>
        <v>83094824.445592463</v>
      </c>
    </row>
    <row r="63" spans="1:26" x14ac:dyDescent="0.25">
      <c r="A63" s="212"/>
      <c r="B63" s="212" t="str">
        <f>"Объем реализации на "&amp;G72&amp;" шаге = "&amp;'666'!H$398&amp;" ="</f>
        <v>Объем реализации на 7 шаге = 275000 =</v>
      </c>
      <c r="C63" s="201">
        <f>K$5</f>
        <v>275000</v>
      </c>
    </row>
    <row r="64" spans="1:26" x14ac:dyDescent="0.25">
      <c r="A64" s="212"/>
      <c r="B64" s="212" t="str">
        <f>"Объем реализации на "&amp;G73&amp;" шаге = "&amp;'666'!H$398&amp;" ="</f>
        <v>Объем реализации на 8 шаге = 275000 =</v>
      </c>
      <c r="C64" s="201">
        <f t="shared" ref="C64:C66" si="42">K$5</f>
        <v>275000</v>
      </c>
    </row>
    <row r="65" spans="1:8" x14ac:dyDescent="0.25">
      <c r="A65" s="212"/>
      <c r="B65" s="212" t="str">
        <f>"Объем реализации на "&amp;G74&amp;" шаге = "&amp;'666'!H$398&amp;" ="</f>
        <v>Объем реализации на 9 шаге = 275000 =</v>
      </c>
      <c r="C65" s="201">
        <f t="shared" si="42"/>
        <v>275000</v>
      </c>
      <c r="G65" s="212">
        <v>0</v>
      </c>
      <c r="H65" s="212">
        <f>ROUND(1/POWER((1+0.2), G65),3)</f>
        <v>1</v>
      </c>
    </row>
    <row r="66" spans="1:8" x14ac:dyDescent="0.25">
      <c r="A66" s="212"/>
      <c r="B66" s="212" t="str">
        <f>"Объем реализации на "&amp;G75&amp;" шаге = "&amp;'666'!H$398&amp;" ="</f>
        <v>Объем реализации на 10 шаге = 275000 =</v>
      </c>
      <c r="C66" s="201">
        <f t="shared" si="42"/>
        <v>275000</v>
      </c>
      <c r="G66" s="212">
        <v>1</v>
      </c>
      <c r="H66" s="212">
        <f t="shared" ref="H66:H75" si="43">ROUND(1/POWER((1+0.2), G66),3)</f>
        <v>0.83299999999999996</v>
      </c>
    </row>
    <row r="67" spans="1:8" ht="15.75" thickBot="1" x14ac:dyDescent="0.3">
      <c r="A67" s="212"/>
      <c r="B67" s="212"/>
      <c r="C67" s="212"/>
      <c r="G67" s="212">
        <v>2</v>
      </c>
      <c r="H67" s="212">
        <f t="shared" si="43"/>
        <v>0.69399999999999995</v>
      </c>
    </row>
    <row r="68" spans="1:8" ht="15.75" thickBot="1" x14ac:dyDescent="0.3">
      <c r="A68" s="212"/>
      <c r="B68" s="222" t="s">
        <v>432</v>
      </c>
      <c r="C68" s="212"/>
      <c r="G68" s="212">
        <v>3</v>
      </c>
      <c r="H68" s="212">
        <f t="shared" si="43"/>
        <v>0.57899999999999996</v>
      </c>
    </row>
    <row r="69" spans="1:8" x14ac:dyDescent="0.25">
      <c r="A69" s="212"/>
      <c r="B69" s="212" t="str">
        <f>"Объем реализации на "&amp;G65&amp;" шаге = "</f>
        <v xml:space="preserve">Объем реализации на 0 шаге = </v>
      </c>
      <c r="C69" s="201">
        <v>0</v>
      </c>
      <c r="G69" s="212">
        <v>4</v>
      </c>
      <c r="H69" s="212">
        <f t="shared" si="43"/>
        <v>0.48199999999999998</v>
      </c>
    </row>
    <row r="70" spans="1:8" x14ac:dyDescent="0.25">
      <c r="A70" s="212"/>
      <c r="B70" s="212" t="str">
        <f>"Объем реализации на "&amp;G66&amp;" шаге = "</f>
        <v xml:space="preserve">Объем реализации на 1 шаге = </v>
      </c>
      <c r="C70" s="201">
        <v>0</v>
      </c>
      <c r="G70" s="212">
        <v>5</v>
      </c>
      <c r="H70" s="212">
        <f t="shared" si="43"/>
        <v>0.40200000000000002</v>
      </c>
    </row>
    <row r="71" spans="1:8" x14ac:dyDescent="0.25">
      <c r="A71" s="212"/>
      <c r="B71" s="212" t="str">
        <f>"Объем реализации на "&amp;G67&amp;" шаге = "&amp;'666'!D$398&amp;" = "</f>
        <v xml:space="preserve">Объем реализации на 2 шаге = 55000 = </v>
      </c>
      <c r="C71" s="201">
        <f>Q$5</f>
        <v>55000</v>
      </c>
      <c r="G71" s="212">
        <v>6</v>
      </c>
      <c r="H71" s="212">
        <f t="shared" si="43"/>
        <v>0.33500000000000002</v>
      </c>
    </row>
    <row r="72" spans="1:8" x14ac:dyDescent="0.25">
      <c r="A72" s="212"/>
      <c r="B72" s="212" t="str">
        <f>"Объем реализации на "&amp;G68&amp;" шаге = "&amp;'666'!E$398&amp;" = "</f>
        <v xml:space="preserve">Объем реализации на 3 шаге = 110000 = </v>
      </c>
      <c r="C72" s="201">
        <f>R$5</f>
        <v>110000</v>
      </c>
      <c r="G72" s="212">
        <v>7</v>
      </c>
      <c r="H72" s="212">
        <f t="shared" si="43"/>
        <v>0.27900000000000003</v>
      </c>
    </row>
    <row r="73" spans="1:8" x14ac:dyDescent="0.25">
      <c r="A73" s="212"/>
      <c r="B73" s="212" t="str">
        <f>"Объем реализации на "&amp;G69&amp;" шаге = "&amp;'666'!F$398&amp;" = "</f>
        <v xml:space="preserve">Объем реализации на 4 шаге = 192500 = </v>
      </c>
      <c r="C73" s="201">
        <f>S$5</f>
        <v>192500</v>
      </c>
      <c r="G73" s="212">
        <v>8</v>
      </c>
      <c r="H73" s="212">
        <f t="shared" si="43"/>
        <v>0.23300000000000001</v>
      </c>
    </row>
    <row r="74" spans="1:8" x14ac:dyDescent="0.25">
      <c r="A74" s="212"/>
      <c r="B74" s="212" t="str">
        <f>"Объем реализации на "&amp;G70&amp;" шаге = "&amp;'666'!G$398&amp;" = "</f>
        <v xml:space="preserve">Объем реализации на 5 шаге = 247500 = </v>
      </c>
      <c r="C74" s="201">
        <f>T$5</f>
        <v>247500</v>
      </c>
      <c r="G74" s="212">
        <v>9</v>
      </c>
      <c r="H74" s="212">
        <f t="shared" si="43"/>
        <v>0.19400000000000001</v>
      </c>
    </row>
    <row r="75" spans="1:8" x14ac:dyDescent="0.25">
      <c r="A75" s="212"/>
      <c r="B75" s="212" t="str">
        <f>"Объем реализации на "&amp;G71&amp;" шаге = "&amp;'666'!H$398&amp;" = "</f>
        <v xml:space="preserve">Объем реализации на 6 шаге = 275000 = </v>
      </c>
      <c r="C75" s="201">
        <f>U$5</f>
        <v>275000</v>
      </c>
      <c r="G75" s="212">
        <v>10</v>
      </c>
      <c r="H75" s="212">
        <f t="shared" si="43"/>
        <v>0.16200000000000001</v>
      </c>
    </row>
    <row r="76" spans="1:8" x14ac:dyDescent="0.25">
      <c r="A76" s="212"/>
      <c r="B76" s="212" t="str">
        <f>"Объем реализации на "&amp;G72&amp;" шаге = "&amp;'666'!H$398&amp;" = "</f>
        <v xml:space="preserve">Объем реализации на 7 шаге = 275000 = </v>
      </c>
      <c r="C76" s="201">
        <f>V$5</f>
        <v>275000</v>
      </c>
    </row>
    <row r="77" spans="1:8" x14ac:dyDescent="0.25">
      <c r="A77" s="212"/>
      <c r="B77" s="212" t="str">
        <f>"Объем реализации на "&amp;G73&amp;" шаге = "&amp;'666'!H$398&amp;" = "</f>
        <v xml:space="preserve">Объем реализации на 8 шаге = 275000 = </v>
      </c>
      <c r="C77" s="201">
        <f t="shared" ref="C77:C79" si="44">V$5</f>
        <v>275000</v>
      </c>
    </row>
    <row r="78" spans="1:8" x14ac:dyDescent="0.25">
      <c r="A78" s="212"/>
      <c r="B78" s="212" t="str">
        <f>"Объем реализации на "&amp;G74&amp;" шаге = "&amp;'666'!H$398&amp;" = "</f>
        <v xml:space="preserve">Объем реализации на 9 шаге = 275000 = </v>
      </c>
      <c r="C78" s="201">
        <f t="shared" si="44"/>
        <v>275000</v>
      </c>
    </row>
    <row r="79" spans="1:8" x14ac:dyDescent="0.25">
      <c r="A79" s="212"/>
      <c r="B79" s="212" t="str">
        <f>"Объем реализации на "&amp;G75&amp;" шаге = "&amp;'666'!H$398&amp;" = "</f>
        <v xml:space="preserve">Объем реализации на 10 шаге = 275000 = </v>
      </c>
      <c r="C79" s="201">
        <f t="shared" si="44"/>
        <v>275000</v>
      </c>
    </row>
    <row r="80" spans="1:8" ht="15.75" thickBot="1" x14ac:dyDescent="0.3">
      <c r="A80" s="212"/>
      <c r="B80" s="212"/>
      <c r="C80" s="212"/>
    </row>
    <row r="81" spans="1:3" ht="15.75" thickBot="1" x14ac:dyDescent="0.3">
      <c r="A81" s="212"/>
      <c r="B81" s="222" t="s">
        <v>394</v>
      </c>
      <c r="C81" s="212"/>
    </row>
    <row r="82" spans="1:3" x14ac:dyDescent="0.25">
      <c r="A82" s="212"/>
      <c r="B82" s="212" t="str">
        <f>"Выручка с НДС на "&amp;G65&amp;" шаге = Объем реализации * Цена единицы НДС = "</f>
        <v xml:space="preserve">Выручка с НДС на 0 шаге = Объем реализации * Цена единицы НДС = </v>
      </c>
      <c r="C82" s="212">
        <f>C56*F$6</f>
        <v>0</v>
      </c>
    </row>
    <row r="83" spans="1:3" x14ac:dyDescent="0.25">
      <c r="A83" s="212"/>
      <c r="B83" s="212" t="str">
        <f>"Выручка с НДС на "&amp;G66&amp;" шаге = Объем реализации * Цена единицы НДС = "</f>
        <v xml:space="preserve">Выручка с НДС на 1 шаге = Объем реализации * Цена единицы НДС = </v>
      </c>
      <c r="C83" s="212">
        <f t="shared" ref="C83:C92" si="45">C57*F$6</f>
        <v>0</v>
      </c>
    </row>
    <row r="84" spans="1:3" x14ac:dyDescent="0.25">
      <c r="A84" s="212"/>
      <c r="B84" s="212" t="str">
        <f>"Выручка с НДС на "&amp;G67&amp;" шаге = Объем реализации * Цена единицы НДС = "&amp;C58&amp;" * "&amp;F$6&amp;" ="</f>
        <v>Выручка с НДС на 2 шаге = Объем реализации * Цена единицы НДС = 55000 * 997,08 =</v>
      </c>
      <c r="C84" s="212">
        <f t="shared" si="45"/>
        <v>54839399.999999993</v>
      </c>
    </row>
    <row r="85" spans="1:3" x14ac:dyDescent="0.25">
      <c r="A85" s="212"/>
      <c r="B85" s="212" t="str">
        <f>"Выручка с НДС на "&amp;G68&amp;" шаге = Объем реализации * Цена единицы НДС = "&amp;C59&amp;" * "&amp;F$6&amp;" ="</f>
        <v>Выручка с НДС на 3 шаге = Объем реализации * Цена единицы НДС = 110000 * 997,08 =</v>
      </c>
      <c r="C85" s="212">
        <f t="shared" si="45"/>
        <v>109678799.99999999</v>
      </c>
    </row>
    <row r="86" spans="1:3" x14ac:dyDescent="0.25">
      <c r="A86" s="212"/>
      <c r="B86" s="212" t="str">
        <f>"Выручка с НДС на "&amp;G69&amp;" шаге = Объем реализации * Цена единицы НДС = "&amp;C60&amp;" * "&amp;F$6&amp;" ="</f>
        <v>Выручка с НДС на 4 шаге = Объем реализации * Цена единицы НДС = 192500 * 997,08 =</v>
      </c>
      <c r="C86" s="212">
        <f t="shared" si="45"/>
        <v>191937900</v>
      </c>
    </row>
    <row r="87" spans="1:3" x14ac:dyDescent="0.25">
      <c r="A87" s="212"/>
      <c r="B87" s="212" t="str">
        <f>"Выручка с НДС на "&amp;G70&amp;" шаге = Объем реализации * Цена единицы НДС = "&amp;C61&amp;" * "&amp;F$6&amp;" ="</f>
        <v>Выручка с НДС на 5 шаге = Объем реализации * Цена единицы НДС = 247500 * 997,08 =</v>
      </c>
      <c r="C87" s="212">
        <f t="shared" si="45"/>
        <v>246777299.99999997</v>
      </c>
    </row>
    <row r="88" spans="1:3" x14ac:dyDescent="0.25">
      <c r="A88" s="212"/>
      <c r="B88" s="212" t="str">
        <f>"Выручка с НДС на "&amp;G71&amp;" шаге = Объем реализации * Цена единицы НДС = "&amp;C62&amp;" * "&amp;F$6&amp;" ="</f>
        <v>Выручка с НДС на 6 шаге = Объем реализации * Цена единицы НДС = 275000 * 997,08 =</v>
      </c>
      <c r="C88" s="212">
        <f t="shared" si="45"/>
        <v>274197000</v>
      </c>
    </row>
    <row r="89" spans="1:3" x14ac:dyDescent="0.25">
      <c r="A89" s="212"/>
      <c r="B89" s="212" t="str">
        <f>"Выручка с НДС на "&amp;G72&amp;" шаге = Объем реализации * Цена единицы НДС = "&amp;C63&amp;" * "&amp;F$6&amp;" ="</f>
        <v>Выручка с НДС на 7 шаге = Объем реализации * Цена единицы НДС = 275000 * 997,08 =</v>
      </c>
      <c r="C89" s="212">
        <f t="shared" si="45"/>
        <v>274197000</v>
      </c>
    </row>
    <row r="90" spans="1:3" x14ac:dyDescent="0.25">
      <c r="A90" s="212"/>
      <c r="B90" s="212" t="str">
        <f>"Выручка с НДС на "&amp;G73&amp;" шаге = Объем реализации * Цена единицы НДС = "&amp;C64&amp;" * "&amp;F$6&amp;" ="</f>
        <v>Выручка с НДС на 8 шаге = Объем реализации * Цена единицы НДС = 275000 * 997,08 =</v>
      </c>
      <c r="C90" s="212">
        <f t="shared" si="45"/>
        <v>274197000</v>
      </c>
    </row>
    <row r="91" spans="1:3" x14ac:dyDescent="0.25">
      <c r="A91" s="212"/>
      <c r="B91" s="212" t="str">
        <f>"Выручка с НДС на "&amp;G74&amp;" шаге = Объем реализации * Цена единицы НДС = "&amp;C65&amp;" * "&amp;F$6&amp;" ="</f>
        <v>Выручка с НДС на 9 шаге = Объем реализации * Цена единицы НДС = 275000 * 997,08 =</v>
      </c>
      <c r="C91" s="212">
        <f t="shared" si="45"/>
        <v>274197000</v>
      </c>
    </row>
    <row r="92" spans="1:3" x14ac:dyDescent="0.25">
      <c r="A92" s="212"/>
      <c r="B92" s="212" t="str">
        <f>"Выручка с НДС на "&amp;G75&amp;" шаге = Объем реализации * Цена единицы НДС = "&amp;C66&amp;" * "&amp;F$6&amp;" ="</f>
        <v>Выручка с НДС на 10 шаге = Объем реализации * Цена единицы НДС = 275000 * 997,08 =</v>
      </c>
      <c r="C92" s="212">
        <f t="shared" si="45"/>
        <v>274197000</v>
      </c>
    </row>
    <row r="93" spans="1:3" ht="15.75" thickBot="1" x14ac:dyDescent="0.3">
      <c r="A93" s="212"/>
      <c r="B93" s="212"/>
      <c r="C93" s="212"/>
    </row>
    <row r="94" spans="1:3" ht="15.75" thickBot="1" x14ac:dyDescent="0.3">
      <c r="A94" s="212"/>
      <c r="B94" s="221" t="s">
        <v>395</v>
      </c>
      <c r="C94" s="212"/>
    </row>
    <row r="95" spans="1:3" x14ac:dyDescent="0.25">
      <c r="A95" s="212"/>
      <c r="B95" s="212" t="str">
        <f>"Выручка с НДС на "&amp;G65&amp;" шаге = Объем реализации * Цена единицы НДС = "</f>
        <v xml:space="preserve">Выручка с НДС на 0 шаге = Объем реализации * Цена единицы НДС = </v>
      </c>
      <c r="C95" s="212">
        <f>C69*F$6</f>
        <v>0</v>
      </c>
    </row>
    <row r="96" spans="1:3" x14ac:dyDescent="0.25">
      <c r="A96" s="212"/>
      <c r="B96" s="212" t="str">
        <f>"Выручка с НДС на "&amp;G66&amp;" шаге = Объем реализации * Цена единицы НДС = "</f>
        <v xml:space="preserve">Выручка с НДС на 1 шаге = Объем реализации * Цена единицы НДС = </v>
      </c>
      <c r="C96" s="212">
        <f t="shared" ref="C96:C105" si="46">C70*F$6</f>
        <v>0</v>
      </c>
    </row>
    <row r="97" spans="1:3" x14ac:dyDescent="0.25">
      <c r="A97" s="212"/>
      <c r="B97" s="212" t="str">
        <f>"Выручка с НДС на "&amp;G67&amp;" шаге = Объем реализации * Цена единицы НДС = "&amp;C71&amp;" * "&amp;F$6&amp;" ="</f>
        <v>Выручка с НДС на 2 шаге = Объем реализации * Цена единицы НДС = 55000 * 997,08 =</v>
      </c>
      <c r="C97" s="212">
        <f t="shared" si="46"/>
        <v>54839399.999999993</v>
      </c>
    </row>
    <row r="98" spans="1:3" x14ac:dyDescent="0.25">
      <c r="A98" s="212"/>
      <c r="B98" s="212" t="str">
        <f>"Выручка с НДС на "&amp;G68&amp;" шаге = Объем реализации * Цена единицы НДС = "&amp;C72&amp;" * "&amp;F$6&amp;" ="</f>
        <v>Выручка с НДС на 3 шаге = Объем реализации * Цена единицы НДС = 110000 * 997,08 =</v>
      </c>
      <c r="C98" s="212">
        <f t="shared" si="46"/>
        <v>109678799.99999999</v>
      </c>
    </row>
    <row r="99" spans="1:3" x14ac:dyDescent="0.25">
      <c r="A99" s="212"/>
      <c r="B99" s="212" t="str">
        <f>"Выручка с НДС на "&amp;G69&amp;" шаге = Объем реализации * Цена единицы НДС = "&amp;C73&amp;" * "&amp;F$6&amp;" ="</f>
        <v>Выручка с НДС на 4 шаге = Объем реализации * Цена единицы НДС = 192500 * 997,08 =</v>
      </c>
      <c r="C99" s="212">
        <f t="shared" si="46"/>
        <v>191937900</v>
      </c>
    </row>
    <row r="100" spans="1:3" x14ac:dyDescent="0.25">
      <c r="A100" s="212"/>
      <c r="B100" s="212" t="str">
        <f>"Выручка с НДС на "&amp;G70&amp;" шаге = Объем реализации * Цена единицы НДС = "&amp;C74&amp;" * "&amp;F$6&amp;" ="</f>
        <v>Выручка с НДС на 5 шаге = Объем реализации * Цена единицы НДС = 247500 * 997,08 =</v>
      </c>
      <c r="C100" s="212">
        <f t="shared" si="46"/>
        <v>246777299.99999997</v>
      </c>
    </row>
    <row r="101" spans="1:3" x14ac:dyDescent="0.25">
      <c r="A101" s="212"/>
      <c r="B101" s="212" t="str">
        <f>"Выручка с НДС на "&amp;G71&amp;" шаге = Объем реализации * Цена единицы НДС = "&amp;C75&amp;" * "&amp;F$6&amp;" ="</f>
        <v>Выручка с НДС на 6 шаге = Объем реализации * Цена единицы НДС = 275000 * 997,08 =</v>
      </c>
      <c r="C101" s="212">
        <f t="shared" si="46"/>
        <v>274197000</v>
      </c>
    </row>
    <row r="102" spans="1:3" x14ac:dyDescent="0.25">
      <c r="A102" s="212"/>
      <c r="B102" s="212" t="str">
        <f>"Выручка с НДС на "&amp;G72&amp;" шаге = Объем реализации * Цена единицы НДС = "&amp;C76&amp;" * "&amp;F$6&amp;" ="</f>
        <v>Выручка с НДС на 7 шаге = Объем реализации * Цена единицы НДС = 275000 * 997,08 =</v>
      </c>
      <c r="C102" s="212">
        <f t="shared" si="46"/>
        <v>274197000</v>
      </c>
    </row>
    <row r="103" spans="1:3" x14ac:dyDescent="0.25">
      <c r="A103" s="212"/>
      <c r="B103" s="212" t="str">
        <f>"Выручка с НДС на "&amp;G73&amp;" шаге = Объем реализации * Цена единицы НДС = "&amp;C77&amp;" * "&amp;F$6&amp;" ="</f>
        <v>Выручка с НДС на 8 шаге = Объем реализации * Цена единицы НДС = 275000 * 997,08 =</v>
      </c>
      <c r="C103" s="212">
        <f t="shared" si="46"/>
        <v>274197000</v>
      </c>
    </row>
    <row r="104" spans="1:3" x14ac:dyDescent="0.25">
      <c r="A104" s="212"/>
      <c r="B104" s="212" t="str">
        <f>"Выручка с НДС на "&amp;G74&amp;" шаге = Объем реализации * Цена единицы НДС = "&amp;C78&amp;" * "&amp;F$6&amp;" ="</f>
        <v>Выручка с НДС на 9 шаге = Объем реализации * Цена единицы НДС = 275000 * 997,08 =</v>
      </c>
      <c r="C104" s="212">
        <f t="shared" si="46"/>
        <v>274197000</v>
      </c>
    </row>
    <row r="105" spans="1:3" x14ac:dyDescent="0.25">
      <c r="A105" s="212"/>
      <c r="B105" s="212" t="str">
        <f>"Выручка с НДС на "&amp;G75&amp;" шаге = Объем реализации * Цена единицы НДС = "&amp;C79&amp;" * "&amp;F$6&amp;" ="</f>
        <v>Выручка с НДС на 10 шаге = Объем реализации * Цена единицы НДС = 275000 * 997,08 =</v>
      </c>
      <c r="C105" s="212">
        <f t="shared" si="46"/>
        <v>274197000</v>
      </c>
    </row>
    <row r="106" spans="1:3" ht="15.75" thickBot="1" x14ac:dyDescent="0.3">
      <c r="A106" s="212"/>
      <c r="B106" s="206"/>
      <c r="C106" s="212"/>
    </row>
    <row r="107" spans="1:3" ht="15.75" thickBot="1" x14ac:dyDescent="0.3">
      <c r="A107" s="212"/>
      <c r="B107" s="221" t="s">
        <v>394</v>
      </c>
      <c r="C107" s="212"/>
    </row>
    <row r="108" spans="1:3" x14ac:dyDescent="0.25">
      <c r="A108" s="212"/>
      <c r="B108" s="218" t="str">
        <f>"НДС в выручке на "&amp;G65&amp;" шаге = (Выручка с НДС / 120) * 20 = "</f>
        <v xml:space="preserve">НДС в выручке на 0 шаге = (Выручка с НДС / 120) * 20 = </v>
      </c>
      <c r="C108" s="212">
        <f>(C82/120)*20</f>
        <v>0</v>
      </c>
    </row>
    <row r="109" spans="1:3" x14ac:dyDescent="0.25">
      <c r="A109" s="212"/>
      <c r="B109" s="218" t="str">
        <f>"НДС в выручке на "&amp;G66&amp;" шаге = (Выручка с НДС / 120) * 20 = "</f>
        <v xml:space="preserve">НДС в выручке на 1 шаге = (Выручка с НДС / 120) * 20 = </v>
      </c>
      <c r="C109" s="212">
        <f t="shared" ref="C109:C118" si="47">(C83/120)*20</f>
        <v>0</v>
      </c>
    </row>
    <row r="110" spans="1:3" x14ac:dyDescent="0.25">
      <c r="A110" s="212"/>
      <c r="B110" s="218" t="str">
        <f>"НДС в выручке на "&amp;G67&amp;" шаге = (Выручка с НДС / 120) * 20 = "</f>
        <v xml:space="preserve">НДС в выручке на 2 шаге = (Выручка с НДС / 120) * 20 = </v>
      </c>
      <c r="C110" s="212">
        <f t="shared" si="47"/>
        <v>9139899.9999999981</v>
      </c>
    </row>
    <row r="111" spans="1:3" x14ac:dyDescent="0.25">
      <c r="A111" s="212"/>
      <c r="B111" s="218" t="str">
        <f>"НДС в выручке на "&amp;G68&amp;" шаге = (Выручка с НДС / 120) * 20 = "</f>
        <v xml:space="preserve">НДС в выручке на 3 шаге = (Выручка с НДС / 120) * 20 = </v>
      </c>
      <c r="C111" s="212">
        <f t="shared" si="47"/>
        <v>18279799.999999996</v>
      </c>
    </row>
    <row r="112" spans="1:3" x14ac:dyDescent="0.25">
      <c r="A112" s="212"/>
      <c r="B112" s="218" t="str">
        <f>"НДС в выручке на "&amp;G69&amp;" шаге = (Выручка с НДС / 120) * 20 = "</f>
        <v xml:space="preserve">НДС в выручке на 4 шаге = (Выручка с НДС / 120) * 20 = </v>
      </c>
      <c r="C112" s="212">
        <f t="shared" si="47"/>
        <v>31989650</v>
      </c>
    </row>
    <row r="113" spans="1:3" x14ac:dyDescent="0.25">
      <c r="A113" s="212"/>
      <c r="B113" s="218" t="str">
        <f>"НДС в выручке на "&amp;G70&amp;" шаге = (Выручка с НДС / 120) * 20 = "</f>
        <v xml:space="preserve">НДС в выручке на 5 шаге = (Выручка с НДС / 120) * 20 = </v>
      </c>
      <c r="C113" s="212">
        <f t="shared" si="47"/>
        <v>41129549.999999993</v>
      </c>
    </row>
    <row r="114" spans="1:3" x14ac:dyDescent="0.25">
      <c r="A114" s="212"/>
      <c r="B114" s="218" t="str">
        <f>"НДС в выручке на "&amp;G71&amp;" шаге = (Выручка с НДС / 120) * 20 = "</f>
        <v xml:space="preserve">НДС в выручке на 6 шаге = (Выручка с НДС / 120) * 20 = </v>
      </c>
      <c r="C114" s="212">
        <f t="shared" si="47"/>
        <v>45699500</v>
      </c>
    </row>
    <row r="115" spans="1:3" x14ac:dyDescent="0.25">
      <c r="A115" s="212"/>
      <c r="B115" s="218" t="str">
        <f>"НДС в выручке на "&amp;G72&amp;" шаге = (Выручка с НДС / 120) * 20 = "</f>
        <v xml:space="preserve">НДС в выручке на 7 шаге = (Выручка с НДС / 120) * 20 = </v>
      </c>
      <c r="C115" s="212">
        <f t="shared" si="47"/>
        <v>45699500</v>
      </c>
    </row>
    <row r="116" spans="1:3" x14ac:dyDescent="0.25">
      <c r="A116" s="212"/>
      <c r="B116" s="218" t="str">
        <f>"НДС в выручке на "&amp;G73&amp;" шаге = (Выручка с НДС / 120) * 20 = "</f>
        <v xml:space="preserve">НДС в выручке на 8 шаге = (Выручка с НДС / 120) * 20 = </v>
      </c>
      <c r="C116" s="212">
        <f t="shared" si="47"/>
        <v>45699500</v>
      </c>
    </row>
    <row r="117" spans="1:3" x14ac:dyDescent="0.25">
      <c r="A117" s="212"/>
      <c r="B117" s="218" t="str">
        <f>"НДС в выручке на "&amp;G74&amp;" шаге = (Выручка с НДС / 120) * 20 = "</f>
        <v xml:space="preserve">НДС в выручке на 9 шаге = (Выручка с НДС / 120) * 20 = </v>
      </c>
      <c r="C117" s="212">
        <f t="shared" si="47"/>
        <v>45699500</v>
      </c>
    </row>
    <row r="118" spans="1:3" x14ac:dyDescent="0.25">
      <c r="A118" s="212"/>
      <c r="B118" s="218" t="str">
        <f>"НДС в выручке на "&amp;G75&amp;" шаге = (Выручка с НДС / 120) * 20 = "</f>
        <v xml:space="preserve">НДС в выручке на 10 шаге = (Выручка с НДС / 120) * 20 = </v>
      </c>
      <c r="C118" s="212">
        <f t="shared" si="47"/>
        <v>45699500</v>
      </c>
    </row>
    <row r="119" spans="1:3" ht="15.75" thickBot="1" x14ac:dyDescent="0.3">
      <c r="A119" s="212"/>
      <c r="B119" s="219"/>
      <c r="C119" s="212"/>
    </row>
    <row r="120" spans="1:3" ht="15.75" thickBot="1" x14ac:dyDescent="0.3">
      <c r="A120" s="212"/>
      <c r="B120" s="220" t="s">
        <v>395</v>
      </c>
      <c r="C120" s="212"/>
    </row>
    <row r="121" spans="1:3" x14ac:dyDescent="0.25">
      <c r="A121" s="212"/>
      <c r="B121" s="218" t="str">
        <f>"НДС в выручке на "&amp;G65&amp;" шаге = (Выручка с НДС / 120) * 20 = "</f>
        <v xml:space="preserve">НДС в выручке на 0 шаге = (Выручка с НДС / 120) * 20 = </v>
      </c>
      <c r="C121" s="212">
        <f>(C95/120)*20</f>
        <v>0</v>
      </c>
    </row>
    <row r="122" spans="1:3" x14ac:dyDescent="0.25">
      <c r="A122" s="212"/>
      <c r="B122" s="218" t="str">
        <f>"НДС в выручке на "&amp;G66&amp;" шаге = (Выручка с НДС / 120) * 20 = "</f>
        <v xml:space="preserve">НДС в выручке на 1 шаге = (Выручка с НДС / 120) * 20 = </v>
      </c>
      <c r="C122" s="212">
        <f t="shared" ref="C122:C131" si="48">(C96/120)*20</f>
        <v>0</v>
      </c>
    </row>
    <row r="123" spans="1:3" x14ac:dyDescent="0.25">
      <c r="A123" s="212"/>
      <c r="B123" s="218" t="str">
        <f>"НДС в выручке на "&amp;G67&amp;" шаге = (Выручка с НДС / 120) * 20 = "</f>
        <v xml:space="preserve">НДС в выручке на 2 шаге = (Выручка с НДС / 120) * 20 = </v>
      </c>
      <c r="C123" s="212">
        <f t="shared" si="48"/>
        <v>9139899.9999999981</v>
      </c>
    </row>
    <row r="124" spans="1:3" x14ac:dyDescent="0.25">
      <c r="A124" s="212"/>
      <c r="B124" s="218" t="str">
        <f>"НДС в выручке на "&amp;G68&amp;" шаге = (Выручка с НДС / 120) * 20 = "</f>
        <v xml:space="preserve">НДС в выручке на 3 шаге = (Выручка с НДС / 120) * 20 = </v>
      </c>
      <c r="C124" s="212">
        <f t="shared" si="48"/>
        <v>18279799.999999996</v>
      </c>
    </row>
    <row r="125" spans="1:3" x14ac:dyDescent="0.25">
      <c r="A125" s="212"/>
      <c r="B125" s="218" t="str">
        <f>"НДС в выручке на "&amp;G69&amp;" шаге = (Выручка с НДС / 120) * 20 = "</f>
        <v xml:space="preserve">НДС в выручке на 4 шаге = (Выручка с НДС / 120) * 20 = </v>
      </c>
      <c r="C125" s="212">
        <f t="shared" si="48"/>
        <v>31989650</v>
      </c>
    </row>
    <row r="126" spans="1:3" x14ac:dyDescent="0.25">
      <c r="A126" s="212"/>
      <c r="B126" s="218" t="str">
        <f>"НДС в выручке на "&amp;G70&amp;" шаге = (Выручка с НДС / 120) * 20 = "</f>
        <v xml:space="preserve">НДС в выручке на 5 шаге = (Выручка с НДС / 120) * 20 = </v>
      </c>
      <c r="C126" s="212">
        <f t="shared" si="48"/>
        <v>41129549.999999993</v>
      </c>
    </row>
    <row r="127" spans="1:3" x14ac:dyDescent="0.25">
      <c r="A127" s="212"/>
      <c r="B127" s="218" t="str">
        <f>"НДС в выручке на "&amp;G71&amp;" шаге = (Выручка с НДС / 120) * 20 = "</f>
        <v xml:space="preserve">НДС в выручке на 6 шаге = (Выручка с НДС / 120) * 20 = </v>
      </c>
      <c r="C127" s="212">
        <f t="shared" si="48"/>
        <v>45699500</v>
      </c>
    </row>
    <row r="128" spans="1:3" x14ac:dyDescent="0.25">
      <c r="A128" s="212"/>
      <c r="B128" s="218" t="str">
        <f>"НДС в выручке на "&amp;G72&amp;" шаге = (Выручка с НДС / 120) * 20 = "</f>
        <v xml:space="preserve">НДС в выручке на 7 шаге = (Выручка с НДС / 120) * 20 = </v>
      </c>
      <c r="C128" s="212">
        <f t="shared" si="48"/>
        <v>45699500</v>
      </c>
    </row>
    <row r="129" spans="1:3" x14ac:dyDescent="0.25">
      <c r="A129" s="212"/>
      <c r="B129" s="218" t="str">
        <f>"НДС в выручке на "&amp;G73&amp;" шаге = (Выручка с НДС / 120) * 20 = "</f>
        <v xml:space="preserve">НДС в выручке на 8 шаге = (Выручка с НДС / 120) * 20 = </v>
      </c>
      <c r="C129" s="212">
        <f t="shared" si="48"/>
        <v>45699500</v>
      </c>
    </row>
    <row r="130" spans="1:3" x14ac:dyDescent="0.25">
      <c r="A130" s="212"/>
      <c r="B130" s="218" t="str">
        <f>"НДС в выручке на "&amp;G74&amp;" шаге = (Выручка с НДС / 120) * 20 = "</f>
        <v xml:space="preserve">НДС в выручке на 9 шаге = (Выручка с НДС / 120) * 20 = </v>
      </c>
      <c r="C130" s="212">
        <f t="shared" si="48"/>
        <v>45699500</v>
      </c>
    </row>
    <row r="131" spans="1:3" x14ac:dyDescent="0.25">
      <c r="A131" s="212"/>
      <c r="B131" s="218" t="str">
        <f>"НДС в выручке на "&amp;G75&amp;" шаге = (Выручка с НДС / 120) * 20 = "</f>
        <v xml:space="preserve">НДС в выручке на 10 шаге = (Выручка с НДС / 120) * 20 = </v>
      </c>
      <c r="C131" s="212">
        <f t="shared" si="48"/>
        <v>45699500</v>
      </c>
    </row>
    <row r="132" spans="1:3" ht="15.75" thickBot="1" x14ac:dyDescent="0.3">
      <c r="A132" s="212"/>
      <c r="B132" s="219"/>
      <c r="C132" s="212"/>
    </row>
    <row r="133" spans="1:3" ht="15.75" thickBot="1" x14ac:dyDescent="0.3">
      <c r="A133" s="212"/>
      <c r="B133" s="221" t="s">
        <v>394</v>
      </c>
      <c r="C133" s="212"/>
    </row>
    <row r="134" spans="1:3" x14ac:dyDescent="0.25">
      <c r="A134" s="212"/>
      <c r="B134" s="219" t="str">
        <f>"Выручка без НДС на "&amp;G65&amp;" шаге = Выручка с НДС - НДС в выручке = "</f>
        <v xml:space="preserve">Выручка без НДС на 0 шаге = Выручка с НДС - НДС в выручке = </v>
      </c>
      <c r="C134" s="212">
        <f t="shared" ref="C134:C144" si="49">C82-C108</f>
        <v>0</v>
      </c>
    </row>
    <row r="135" spans="1:3" x14ac:dyDescent="0.25">
      <c r="A135" s="212"/>
      <c r="B135" s="219" t="str">
        <f>"Выручка без НДС на "&amp;G66&amp;" шаге = Выручка с НДС - НДС в выручке = "</f>
        <v xml:space="preserve">Выручка без НДС на 1 шаге = Выручка с НДС - НДС в выручке = </v>
      </c>
      <c r="C135" s="212">
        <f t="shared" si="49"/>
        <v>0</v>
      </c>
    </row>
    <row r="136" spans="1:3" x14ac:dyDescent="0.25">
      <c r="A136" s="212"/>
      <c r="B136" s="219" t="str">
        <f>"Выручка без НДС на "&amp;G67&amp;" шаге = Выручка с НДС - НДС в выручке = "</f>
        <v xml:space="preserve">Выручка без НДС на 2 шаге = Выручка с НДС - НДС в выручке = </v>
      </c>
      <c r="C136" s="212">
        <f>C84-C110</f>
        <v>45699499.999999993</v>
      </c>
    </row>
    <row r="137" spans="1:3" x14ac:dyDescent="0.25">
      <c r="A137" s="212"/>
      <c r="B137" s="219" t="str">
        <f>"Выручка без НДС на "&amp;G68&amp;" шаге = Выручка с НДС - НДС в выручке = "</f>
        <v xml:space="preserve">Выручка без НДС на 3 шаге = Выручка с НДС - НДС в выручке = </v>
      </c>
      <c r="C137" s="212">
        <f t="shared" si="49"/>
        <v>91398999.999999985</v>
      </c>
    </row>
    <row r="138" spans="1:3" x14ac:dyDescent="0.25">
      <c r="A138" s="212"/>
      <c r="B138" s="219" t="str">
        <f>"Выручка без НДС на "&amp;G69&amp;" шаге = Выручка с НДС - НДС в выручке = "</f>
        <v xml:space="preserve">Выручка без НДС на 4 шаге = Выручка с НДС - НДС в выручке = </v>
      </c>
      <c r="C138" s="212">
        <f t="shared" si="49"/>
        <v>159948250</v>
      </c>
    </row>
    <row r="139" spans="1:3" x14ac:dyDescent="0.25">
      <c r="A139" s="212"/>
      <c r="B139" s="219" t="str">
        <f>"Выручка без НДС на "&amp;G70&amp;" шаге = Выручка с НДС - НДС в выручке = "</f>
        <v xml:space="preserve">Выручка без НДС на 5 шаге = Выручка с НДС - НДС в выручке = </v>
      </c>
      <c r="C139" s="212">
        <f t="shared" si="49"/>
        <v>205647749.99999997</v>
      </c>
    </row>
    <row r="140" spans="1:3" x14ac:dyDescent="0.25">
      <c r="A140" s="212"/>
      <c r="B140" s="219" t="str">
        <f>"Выручка без НДС на "&amp;G71&amp;" шаге = Выручка с НДС - НДС в выручке = "</f>
        <v xml:space="preserve">Выручка без НДС на 6 шаге = Выручка с НДС - НДС в выручке = </v>
      </c>
      <c r="C140" s="212">
        <f t="shared" si="49"/>
        <v>228497500</v>
      </c>
    </row>
    <row r="141" spans="1:3" x14ac:dyDescent="0.25">
      <c r="A141" s="212"/>
      <c r="B141" s="219" t="str">
        <f>"Выручка без НДС на "&amp;G72&amp;" шаге = Выручка с НДС - НДС в выручке = "</f>
        <v xml:space="preserve">Выручка без НДС на 7 шаге = Выручка с НДС - НДС в выручке = </v>
      </c>
      <c r="C141" s="212">
        <f t="shared" si="49"/>
        <v>228497500</v>
      </c>
    </row>
    <row r="142" spans="1:3" x14ac:dyDescent="0.25">
      <c r="A142" s="212"/>
      <c r="B142" s="219" t="str">
        <f>"Выручка без НДС на "&amp;G73&amp;" шаге = Выручка с НДС - НДС в выручке = "</f>
        <v xml:space="preserve">Выручка без НДС на 8 шаге = Выручка с НДС - НДС в выручке = </v>
      </c>
      <c r="C142" s="212">
        <f t="shared" si="49"/>
        <v>228497500</v>
      </c>
    </row>
    <row r="143" spans="1:3" x14ac:dyDescent="0.25">
      <c r="A143" s="212"/>
      <c r="B143" s="219" t="str">
        <f>"Выручка без НДС на "&amp;G74&amp;" шаге = Выручка с НДС - НДС в выручке = "</f>
        <v xml:space="preserve">Выручка без НДС на 9 шаге = Выручка с НДС - НДС в выручке = </v>
      </c>
      <c r="C143" s="212">
        <f t="shared" si="49"/>
        <v>228497500</v>
      </c>
    </row>
    <row r="144" spans="1:3" x14ac:dyDescent="0.25">
      <c r="A144" s="212"/>
      <c r="B144" s="219" t="str">
        <f>"Выручка без НДС на "&amp;G75&amp;" шаге = Выручка с НДС - НДС в выручке = "</f>
        <v xml:space="preserve">Выручка без НДС на 10 шаге = Выручка с НДС - НДС в выручке = </v>
      </c>
      <c r="C144" s="212">
        <f t="shared" si="49"/>
        <v>228497500</v>
      </c>
    </row>
    <row r="145" spans="1:3" ht="15.75" thickBot="1" x14ac:dyDescent="0.3">
      <c r="A145" s="212"/>
      <c r="B145" s="219"/>
      <c r="C145" s="212"/>
    </row>
    <row r="146" spans="1:3" ht="15.75" thickBot="1" x14ac:dyDescent="0.3">
      <c r="A146" s="212"/>
      <c r="B146" s="220" t="s">
        <v>395</v>
      </c>
      <c r="C146" s="212"/>
    </row>
    <row r="147" spans="1:3" x14ac:dyDescent="0.25">
      <c r="A147" s="212"/>
      <c r="B147" s="219" t="str">
        <f>"Выручка без НДС на "&amp;G65&amp;" шаге = Выручка с НДС - НДС в выручке = "</f>
        <v xml:space="preserve">Выручка без НДС на 0 шаге = Выручка с НДС - НДС в выручке = </v>
      </c>
      <c r="C147" s="212">
        <f t="shared" ref="C147:C157" si="50">C95-C121</f>
        <v>0</v>
      </c>
    </row>
    <row r="148" spans="1:3" x14ac:dyDescent="0.25">
      <c r="A148" s="212"/>
      <c r="B148" s="219" t="str">
        <f>"Выручка без НДС на "&amp;G66&amp;" шаге = Выручка с НДС - НДС в выручке = "</f>
        <v xml:space="preserve">Выручка без НДС на 1 шаге = Выручка с НДС - НДС в выручке = </v>
      </c>
      <c r="C148" s="212">
        <f>C96-C122</f>
        <v>0</v>
      </c>
    </row>
    <row r="149" spans="1:3" x14ac:dyDescent="0.25">
      <c r="A149" s="212"/>
      <c r="B149" s="219" t="str">
        <f>"Выручка без НДС на "&amp;G67&amp;" шаге = Выручка с НДС - НДС в выручке = "</f>
        <v xml:space="preserve">Выручка без НДС на 2 шаге = Выручка с НДС - НДС в выручке = </v>
      </c>
      <c r="C149" s="212">
        <f>C97-C123</f>
        <v>45699499.999999993</v>
      </c>
    </row>
    <row r="150" spans="1:3" x14ac:dyDescent="0.25">
      <c r="A150" s="212"/>
      <c r="B150" s="219" t="str">
        <f>"Выручка без НДС на "&amp;G68&amp;" шаге = Выручка с НДС - НДС в выручке = "</f>
        <v xml:space="preserve">Выручка без НДС на 3 шаге = Выручка с НДС - НДС в выручке = </v>
      </c>
      <c r="C150" s="212">
        <f t="shared" si="50"/>
        <v>91398999.999999985</v>
      </c>
    </row>
    <row r="151" spans="1:3" x14ac:dyDescent="0.25">
      <c r="A151" s="212"/>
      <c r="B151" s="219" t="str">
        <f>"Выручка без НДС на "&amp;G69&amp;" шаге = Выручка с НДС - НДС в выручке = "</f>
        <v xml:space="preserve">Выручка без НДС на 4 шаге = Выручка с НДС - НДС в выручке = </v>
      </c>
      <c r="C151" s="212">
        <f t="shared" si="50"/>
        <v>159948250</v>
      </c>
    </row>
    <row r="152" spans="1:3" x14ac:dyDescent="0.25">
      <c r="A152" s="212"/>
      <c r="B152" s="219" t="str">
        <f>"Выручка без НДС на "&amp;G70&amp;" шаге = Выручка с НДС - НДС в выручке = "</f>
        <v xml:space="preserve">Выручка без НДС на 5 шаге = Выручка с НДС - НДС в выручке = </v>
      </c>
      <c r="C152" s="212">
        <f t="shared" si="50"/>
        <v>205647749.99999997</v>
      </c>
    </row>
    <row r="153" spans="1:3" x14ac:dyDescent="0.25">
      <c r="A153" s="212"/>
      <c r="B153" s="219" t="str">
        <f>"Выручка без НДС на "&amp;G71&amp;" шаге = Выручка с НДС - НДС в выручке = "</f>
        <v xml:space="preserve">Выручка без НДС на 6 шаге = Выручка с НДС - НДС в выручке = </v>
      </c>
      <c r="C153" s="212">
        <f t="shared" si="50"/>
        <v>228497500</v>
      </c>
    </row>
    <row r="154" spans="1:3" x14ac:dyDescent="0.25">
      <c r="A154" s="212"/>
      <c r="B154" s="219" t="str">
        <f>"Выручка без НДС на "&amp;G72&amp;" шаге = Выручка с НДС - НДС в выручке = "</f>
        <v xml:space="preserve">Выручка без НДС на 7 шаге = Выручка с НДС - НДС в выручке = </v>
      </c>
      <c r="C154" s="212">
        <f t="shared" si="50"/>
        <v>228497500</v>
      </c>
    </row>
    <row r="155" spans="1:3" x14ac:dyDescent="0.25">
      <c r="A155" s="212"/>
      <c r="B155" s="219" t="str">
        <f>"Выручка без НДС на "&amp;G73&amp;" шаге = Выручка с НДС - НДС в выручке = "</f>
        <v xml:space="preserve">Выручка без НДС на 8 шаге = Выручка с НДС - НДС в выручке = </v>
      </c>
      <c r="C155" s="212">
        <f t="shared" si="50"/>
        <v>228497500</v>
      </c>
    </row>
    <row r="156" spans="1:3" x14ac:dyDescent="0.25">
      <c r="A156" s="212"/>
      <c r="B156" s="219" t="str">
        <f>"Выручка без НДС на "&amp;G74&amp;" шаге = Выручка с НДС - НДС в выручке = "</f>
        <v xml:space="preserve">Выручка без НДС на 9 шаге = Выручка с НДС - НДС в выручке = </v>
      </c>
      <c r="C156" s="212">
        <f t="shared" si="50"/>
        <v>228497500</v>
      </c>
    </row>
    <row r="157" spans="1:3" x14ac:dyDescent="0.25">
      <c r="A157" s="212"/>
      <c r="B157" s="219" t="str">
        <f>"Выручка без НДС на "&amp;G75&amp;" шаге = Выручка с НДС - НДС в выручке = "</f>
        <v xml:space="preserve">Выручка без НДС на 10 шаге = Выручка с НДС - НДС в выручке = </v>
      </c>
      <c r="C157" s="212">
        <f t="shared" si="50"/>
        <v>228497500</v>
      </c>
    </row>
    <row r="158" spans="1:3" ht="15.75" thickBot="1" x14ac:dyDescent="0.3">
      <c r="A158" s="212"/>
      <c r="B158" s="219"/>
      <c r="C158" s="212"/>
    </row>
    <row r="159" spans="1:3" ht="15.75" thickBot="1" x14ac:dyDescent="0.3">
      <c r="A159" s="212"/>
      <c r="B159" s="221" t="s">
        <v>394</v>
      </c>
      <c r="C159" s="212"/>
    </row>
    <row r="160" spans="1:3" x14ac:dyDescent="0.25">
      <c r="A160" s="270" t="str">
        <f>"Затраты на материалы на "&amp;G65&amp;" шаге = Затраты на материалы * Объем реализации = "&amp;'666'!C$342&amp;"*"&amp;C56&amp;"="</f>
        <v>Затраты на материалы на 0 шаге = Затраты на материалы * Объем реализации = 354,88*0=</v>
      </c>
      <c r="B160" s="270"/>
      <c r="C160" s="201">
        <f>'666'!C$342*C56</f>
        <v>0</v>
      </c>
    </row>
    <row r="161" spans="1:3" x14ac:dyDescent="0.25">
      <c r="A161" s="270" t="str">
        <f>"Затраты на материалы на "&amp;G66&amp;" шаге = Затраты на материалы * Объем реализации = "&amp;'666'!C$342&amp;"*"&amp;C57&amp;"="</f>
        <v>Затраты на материалы на 1 шаге = Затраты на материалы * Объем реализации = 354,88*0=</v>
      </c>
      <c r="B161" s="270"/>
      <c r="C161" s="201">
        <f>'666'!C$342*C57</f>
        <v>0</v>
      </c>
    </row>
    <row r="162" spans="1:3" x14ac:dyDescent="0.25">
      <c r="A162" s="270" t="str">
        <f>"Затраты на материалы на "&amp;G67&amp;" шаге = Затраты на материалы * Объем реализации = "&amp;'666'!C$342&amp;"*"&amp;C58&amp;"="</f>
        <v>Затраты на материалы на 2 шаге = Затраты на материалы * Объем реализации = 354,88*55000=</v>
      </c>
      <c r="B162" s="270"/>
      <c r="C162" s="201">
        <f>'666'!C$342*C58</f>
        <v>19518400</v>
      </c>
    </row>
    <row r="163" spans="1:3" x14ac:dyDescent="0.25">
      <c r="A163" s="270" t="str">
        <f>"Затраты на материалы на "&amp;G68&amp;" шаге = Затраты на материалы * Объем реализации = "&amp;'666'!C$342&amp;"*"&amp;C59&amp;"="</f>
        <v>Затраты на материалы на 3 шаге = Затраты на материалы * Объем реализации = 354,88*110000=</v>
      </c>
      <c r="B163" s="270"/>
      <c r="C163" s="201">
        <f>'666'!C$342*C59</f>
        <v>39036800</v>
      </c>
    </row>
    <row r="164" spans="1:3" x14ac:dyDescent="0.25">
      <c r="A164" s="270" t="str">
        <f>"Затраты на материалы на "&amp;G69&amp;" шаге = Затраты на материалы * Объем реализации = "&amp;'666'!C$342&amp;"*"&amp;C60&amp;"="</f>
        <v>Затраты на материалы на 4 шаге = Затраты на материалы * Объем реализации = 354,88*192500=</v>
      </c>
      <c r="B164" s="270"/>
      <c r="C164" s="201">
        <f>'666'!C$342*C60</f>
        <v>68314400</v>
      </c>
    </row>
    <row r="165" spans="1:3" x14ac:dyDescent="0.25">
      <c r="A165" s="270" t="str">
        <f>"Затраты на материалы на "&amp;G70&amp;" шаге = Затраты на материалы * Объем реализации = "&amp;'666'!C$342&amp;"*"&amp;C61&amp;"="</f>
        <v>Затраты на материалы на 5 шаге = Затраты на материалы * Объем реализации = 354,88*247500=</v>
      </c>
      <c r="B165" s="270"/>
      <c r="C165" s="201">
        <f>'666'!C$342*C61</f>
        <v>87832800</v>
      </c>
    </row>
    <row r="166" spans="1:3" x14ac:dyDescent="0.25">
      <c r="A166" s="270" t="str">
        <f>"Затраты на материалы на "&amp;G71&amp;" шаге = Затраты на материалы * Объем реализации = "&amp;'666'!C$342&amp;"*"&amp;C62&amp;"="</f>
        <v>Затраты на материалы на 6 шаге = Затраты на материалы * Объем реализации = 354,88*275000=</v>
      </c>
      <c r="B166" s="270"/>
      <c r="C166" s="201">
        <f>'666'!C$342*C62</f>
        <v>97592000</v>
      </c>
    </row>
    <row r="167" spans="1:3" x14ac:dyDescent="0.25">
      <c r="A167" s="270" t="str">
        <f>"Затраты на материалы на "&amp;G72&amp;" шаге = Затраты на материалы * Объем реализации = "&amp;'666'!C$342&amp;"*"&amp;C63&amp;"="</f>
        <v>Затраты на материалы на 7 шаге = Затраты на материалы * Объем реализации = 354,88*275000=</v>
      </c>
      <c r="B167" s="270"/>
      <c r="C167" s="201">
        <f>'666'!C$342*C63</f>
        <v>97592000</v>
      </c>
    </row>
    <row r="168" spans="1:3" x14ac:dyDescent="0.25">
      <c r="A168" s="270" t="str">
        <f>"Затраты на материалы на "&amp;G73&amp;" шаге = Затраты на материалы * Объем реализации = "&amp;'666'!C$342&amp;"*"&amp;C64&amp;"="</f>
        <v>Затраты на материалы на 8 шаге = Затраты на материалы * Объем реализации = 354,88*275000=</v>
      </c>
      <c r="B168" s="270"/>
      <c r="C168" s="201">
        <f>'666'!C$342*C64</f>
        <v>97592000</v>
      </c>
    </row>
    <row r="169" spans="1:3" x14ac:dyDescent="0.25">
      <c r="A169" s="270" t="str">
        <f>"Затраты на материалы на "&amp;G74&amp;" шаге = Затраты на материалы * Объем реализации = "&amp;'666'!C$342&amp;"*"&amp;C65&amp;"="</f>
        <v>Затраты на материалы на 9 шаге = Затраты на материалы * Объем реализации = 354,88*275000=</v>
      </c>
      <c r="B169" s="270"/>
      <c r="C169" s="201">
        <f>'666'!C$342*C65</f>
        <v>97592000</v>
      </c>
    </row>
    <row r="170" spans="1:3" x14ac:dyDescent="0.25">
      <c r="A170" s="270" t="str">
        <f>"Затраты на материалы на "&amp;G75&amp;" шаге = Затраты на материалы * Объем реализации = "&amp;'666'!C$342&amp;"*"&amp;C66&amp;"="</f>
        <v>Затраты на материалы на 10 шаге = Затраты на материалы * Объем реализации = 354,88*275000=</v>
      </c>
      <c r="B170" s="270"/>
      <c r="C170" s="201">
        <f>'666'!C$342*C66</f>
        <v>97592000</v>
      </c>
    </row>
    <row r="171" spans="1:3" ht="15.75" thickBot="1" x14ac:dyDescent="0.3">
      <c r="A171" s="212"/>
      <c r="B171" s="219"/>
      <c r="C171" s="212"/>
    </row>
    <row r="172" spans="1:3" ht="15.75" thickBot="1" x14ac:dyDescent="0.3">
      <c r="A172" s="212"/>
      <c r="B172" s="220" t="s">
        <v>395</v>
      </c>
      <c r="C172" s="212"/>
    </row>
    <row r="173" spans="1:3" x14ac:dyDescent="0.25">
      <c r="A173" s="270" t="str">
        <f>"Затраты на материалы на "&amp;G65&amp;" шаге = Затраты на материалы * Объем реализации = "&amp;'666'!C$342&amp;"*"&amp;C69&amp;"="</f>
        <v>Затраты на материалы на 0 шаге = Затраты на материалы * Объем реализации = 354,88*0=</v>
      </c>
      <c r="B173" s="270"/>
      <c r="C173" s="201">
        <f>'666'!C$342*C69</f>
        <v>0</v>
      </c>
    </row>
    <row r="174" spans="1:3" x14ac:dyDescent="0.25">
      <c r="A174" s="270" t="str">
        <f>"Затраты на материалы на "&amp;G66&amp;" шаге = Затраты на материалы * Объем реализации = "&amp;'666'!C$342&amp;"*"&amp;C70&amp;"="</f>
        <v>Затраты на материалы на 1 шаге = Затраты на материалы * Объем реализации = 354,88*0=</v>
      </c>
      <c r="B174" s="270"/>
      <c r="C174" s="201">
        <f>'666'!C$342*C70</f>
        <v>0</v>
      </c>
    </row>
    <row r="175" spans="1:3" x14ac:dyDescent="0.25">
      <c r="A175" s="270" t="str">
        <f>"Затраты на материалы на "&amp;G67&amp;" шаге = Затраты на материалы * Объем реализации = "&amp;'666'!C$342&amp;"*"&amp;C71&amp;"="</f>
        <v>Затраты на материалы на 2 шаге = Затраты на материалы * Объем реализации = 354,88*55000=</v>
      </c>
      <c r="B175" s="270"/>
      <c r="C175" s="201">
        <f>'666'!C$342*C71</f>
        <v>19518400</v>
      </c>
    </row>
    <row r="176" spans="1:3" x14ac:dyDescent="0.25">
      <c r="A176" s="270" t="str">
        <f>"Затраты на материалы на "&amp;G68&amp;" шаге = Затраты на материалы * Объем реализации = "&amp;'666'!C$342&amp;"*"&amp;C72&amp;"="</f>
        <v>Затраты на материалы на 3 шаге = Затраты на материалы * Объем реализации = 354,88*110000=</v>
      </c>
      <c r="B176" s="270"/>
      <c r="C176" s="201">
        <f>'666'!C$342*C72</f>
        <v>39036800</v>
      </c>
    </row>
    <row r="177" spans="1:3" x14ac:dyDescent="0.25">
      <c r="A177" s="270" t="str">
        <f>"Затраты на материалы на "&amp;G69&amp;" шаге = Затраты на материалы * Объем реализации = "&amp;'666'!C$342&amp;"*"&amp;C73&amp;"="</f>
        <v>Затраты на материалы на 4 шаге = Затраты на материалы * Объем реализации = 354,88*192500=</v>
      </c>
      <c r="B177" s="270"/>
      <c r="C177" s="201">
        <f>'666'!C$342*C73</f>
        <v>68314400</v>
      </c>
    </row>
    <row r="178" spans="1:3" x14ac:dyDescent="0.25">
      <c r="A178" s="270" t="str">
        <f>"Затраты на материалы на "&amp;G70&amp;" шаге = Затраты на материалы * Объем реализации = "&amp;'666'!C$342&amp;"*"&amp;C74&amp;"="</f>
        <v>Затраты на материалы на 5 шаге = Затраты на материалы * Объем реализации = 354,88*247500=</v>
      </c>
      <c r="B178" s="270"/>
      <c r="C178" s="201">
        <f>'666'!C$342*C74</f>
        <v>87832800</v>
      </c>
    </row>
    <row r="179" spans="1:3" x14ac:dyDescent="0.25">
      <c r="A179" s="270" t="str">
        <f>"Затраты на материалы на "&amp;G71&amp;" шаге = Затраты на материалы * Объем реализации = "&amp;'666'!C$342&amp;"*"&amp;C75&amp;"="</f>
        <v>Затраты на материалы на 6 шаге = Затраты на материалы * Объем реализации = 354,88*275000=</v>
      </c>
      <c r="B179" s="270"/>
      <c r="C179" s="201">
        <f>'666'!C$342*C75</f>
        <v>97592000</v>
      </c>
    </row>
    <row r="180" spans="1:3" x14ac:dyDescent="0.25">
      <c r="A180" s="270" t="str">
        <f>"Затраты на материалы на "&amp;G72&amp;" шаге = Затраты на материалы * Объем реализации = "&amp;'666'!C$342&amp;"*"&amp;C76&amp;"="</f>
        <v>Затраты на материалы на 7 шаге = Затраты на материалы * Объем реализации = 354,88*275000=</v>
      </c>
      <c r="B180" s="270"/>
      <c r="C180" s="201">
        <f>'666'!C$342*C76</f>
        <v>97592000</v>
      </c>
    </row>
    <row r="181" spans="1:3" x14ac:dyDescent="0.25">
      <c r="A181" s="270" t="str">
        <f>"Затраты на материалы на "&amp;G73&amp;" шаге = Затраты на материалы * Объем реализации = "&amp;'666'!C$342&amp;"*"&amp;C77&amp;"="</f>
        <v>Затраты на материалы на 8 шаге = Затраты на материалы * Объем реализации = 354,88*275000=</v>
      </c>
      <c r="B181" s="270"/>
      <c r="C181" s="201">
        <f>'666'!C$342*C77</f>
        <v>97592000</v>
      </c>
    </row>
    <row r="182" spans="1:3" x14ac:dyDescent="0.25">
      <c r="A182" s="270" t="str">
        <f>"Затраты на материалы на "&amp;G74&amp;" шаге = Затраты на материалы * Объем реализации = "&amp;'666'!C$342&amp;"*"&amp;C78&amp;"="</f>
        <v>Затраты на материалы на 9 шаге = Затраты на материалы * Объем реализации = 354,88*275000=</v>
      </c>
      <c r="B182" s="270"/>
      <c r="C182" s="201">
        <f>'666'!C$342*C78</f>
        <v>97592000</v>
      </c>
    </row>
    <row r="183" spans="1:3" x14ac:dyDescent="0.25">
      <c r="A183" s="270" t="str">
        <f>"Затраты на материалы на "&amp;G75&amp;" шаге = Затраты на материалы * Объем реализации = "&amp;'666'!C$342&amp;"*"&amp;C79&amp;"="</f>
        <v>Затраты на материалы на 10 шаге = Затраты на материалы * Объем реализации = 354,88*275000=</v>
      </c>
      <c r="B183" s="270"/>
      <c r="C183" s="201">
        <f>'666'!C$342*C79</f>
        <v>97592000</v>
      </c>
    </row>
    <row r="184" spans="1:3" ht="15.75" thickBot="1" x14ac:dyDescent="0.3">
      <c r="A184" s="212"/>
      <c r="B184" s="219"/>
      <c r="C184" s="212"/>
    </row>
    <row r="185" spans="1:3" ht="15.75" thickBot="1" x14ac:dyDescent="0.3">
      <c r="A185" s="212"/>
      <c r="B185" s="221" t="s">
        <v>394</v>
      </c>
      <c r="C185" s="212"/>
    </row>
    <row r="186" spans="1:3" x14ac:dyDescent="0.25">
      <c r="A186" s="270" t="str">
        <f>"Затраты на элктроэнергию на "&amp;G65&amp;" шаге = Затраты на элктроэнергию * Объем реализации = "&amp;'666'!C$343&amp;" * "&amp;C56&amp;" = "</f>
        <v xml:space="preserve">Затраты на элктроэнергию на 0 шаге = Затраты на элктроэнергию * Объем реализации = 13,69 * 0 = </v>
      </c>
      <c r="B186" s="270"/>
      <c r="C186" s="201">
        <f>'666'!C$343*C56</f>
        <v>0</v>
      </c>
    </row>
    <row r="187" spans="1:3" x14ac:dyDescent="0.25">
      <c r="A187" s="270" t="str">
        <f>"Затраты на элктроэнергию на "&amp;G66&amp;" шаге = Затраты на элктроэнергию * Объем реализации = "&amp;'666'!C$343&amp;" * "&amp;C57&amp;" = "</f>
        <v xml:space="preserve">Затраты на элктроэнергию на 1 шаге = Затраты на элктроэнергию * Объем реализации = 13,69 * 0 = </v>
      </c>
      <c r="B187" s="270"/>
      <c r="C187" s="201">
        <f>'666'!C$343*C57</f>
        <v>0</v>
      </c>
    </row>
    <row r="188" spans="1:3" x14ac:dyDescent="0.25">
      <c r="A188" s="270" t="str">
        <f>"Затраты на элктроэнергию на "&amp;G67&amp;" шаге = Затраты на элктроэнергию * Объем реализации = "&amp;'666'!C$343&amp;" * "&amp;C58&amp;" = "</f>
        <v xml:space="preserve">Затраты на элктроэнергию на 2 шаге = Затраты на элктроэнергию * Объем реализации = 13,69 * 55000 = </v>
      </c>
      <c r="B188" s="270"/>
      <c r="C188" s="201">
        <f>'666'!C$343*C58</f>
        <v>752950</v>
      </c>
    </row>
    <row r="189" spans="1:3" x14ac:dyDescent="0.25">
      <c r="A189" s="270" t="str">
        <f>"Затраты на элктроэнергию на "&amp;G68&amp;" шаге = Затраты на элктроэнергию * Объем реализации = "&amp;'666'!C$343&amp;" * "&amp;C59&amp;" = "</f>
        <v xml:space="preserve">Затраты на элктроэнергию на 3 шаге = Затраты на элктроэнергию * Объем реализации = 13,69 * 110000 = </v>
      </c>
      <c r="B189" s="270"/>
      <c r="C189" s="201">
        <f>'666'!C$343*C59</f>
        <v>1505900</v>
      </c>
    </row>
    <row r="190" spans="1:3" x14ac:dyDescent="0.25">
      <c r="A190" s="270" t="str">
        <f>"Затраты на элктроэнергию на "&amp;G69&amp;" шаге = Затраты на элктроэнергию * Объем реализации = "&amp;'666'!C$343&amp;" * "&amp;C60&amp;" = "</f>
        <v xml:space="preserve">Затраты на элктроэнергию на 4 шаге = Затраты на элктроэнергию * Объем реализации = 13,69 * 192500 = </v>
      </c>
      <c r="B190" s="270"/>
      <c r="C190" s="201">
        <f>'666'!C$343*C60</f>
        <v>2635325</v>
      </c>
    </row>
    <row r="191" spans="1:3" x14ac:dyDescent="0.25">
      <c r="A191" s="270" t="str">
        <f>"Затраты на элктроэнергию на "&amp;G70&amp;" шаге = Затраты на элктроэнергию * Объем реализации = "&amp;'666'!C$343&amp;" * "&amp;C61&amp;" = "</f>
        <v xml:space="preserve">Затраты на элктроэнергию на 5 шаге = Затраты на элктроэнергию * Объем реализации = 13,69 * 247500 = </v>
      </c>
      <c r="B191" s="270"/>
      <c r="C191" s="201">
        <f>'666'!C$343*C61</f>
        <v>3388275</v>
      </c>
    </row>
    <row r="192" spans="1:3" x14ac:dyDescent="0.25">
      <c r="A192" s="270" t="str">
        <f>"Затраты на элктроэнергию на "&amp;G71&amp;" шаге = Затраты на элктроэнергию * Объем реализации = "&amp;'666'!C$343&amp;" * "&amp;C62&amp;" = "</f>
        <v xml:space="preserve">Затраты на элктроэнергию на 6 шаге = Затраты на элктроэнергию * Объем реализации = 13,69 * 275000 = </v>
      </c>
      <c r="B192" s="270"/>
      <c r="C192" s="201">
        <f>'666'!C$343*C62</f>
        <v>3764750</v>
      </c>
    </row>
    <row r="193" spans="1:3" x14ac:dyDescent="0.25">
      <c r="A193" s="270" t="str">
        <f>"Затраты на элктроэнергию на "&amp;G72&amp;" шаге = Затраты на элктроэнергию * Объем реализации = "&amp;'666'!C$343&amp;" * "&amp;C63&amp;" = "</f>
        <v xml:space="preserve">Затраты на элктроэнергию на 7 шаге = Затраты на элктроэнергию * Объем реализации = 13,69 * 275000 = </v>
      </c>
      <c r="B193" s="270"/>
      <c r="C193" s="201">
        <f>'666'!C$343*C63</f>
        <v>3764750</v>
      </c>
    </row>
    <row r="194" spans="1:3" x14ac:dyDescent="0.25">
      <c r="A194" s="270" t="str">
        <f>"Затраты на элктроэнергию на "&amp;G73&amp;" шаге = Затраты на элктроэнергию * Объем реализации = "&amp;'666'!C$343&amp;" * "&amp;C64&amp;" = "</f>
        <v xml:space="preserve">Затраты на элктроэнергию на 8 шаге = Затраты на элктроэнергию * Объем реализации = 13,69 * 275000 = </v>
      </c>
      <c r="B194" s="270"/>
      <c r="C194" s="201">
        <f>'666'!C$343*C64</f>
        <v>3764750</v>
      </c>
    </row>
    <row r="195" spans="1:3" x14ac:dyDescent="0.25">
      <c r="A195" s="270" t="str">
        <f>"Затраты на элктроэнергию на "&amp;G74&amp;" шаге = Затраты на элктроэнергию * Объем реализации = "&amp;'666'!C$343&amp;" * "&amp;C65&amp;" = "</f>
        <v xml:space="preserve">Затраты на элктроэнергию на 9 шаге = Затраты на элктроэнергию * Объем реализации = 13,69 * 275000 = </v>
      </c>
      <c r="B195" s="270"/>
      <c r="C195" s="201">
        <f>'666'!C$343*C65</f>
        <v>3764750</v>
      </c>
    </row>
    <row r="196" spans="1:3" x14ac:dyDescent="0.25">
      <c r="A196" s="270" t="str">
        <f>"Затраты на элктроэнергию на "&amp;G75&amp;" шаге = Затраты на элктроэнергию * Объем реализации = "&amp;'666'!C$343&amp;" * "&amp;C66&amp;" = "</f>
        <v xml:space="preserve">Затраты на элктроэнергию на 10 шаге = Затраты на элктроэнергию * Объем реализации = 13,69 * 275000 = </v>
      </c>
      <c r="B196" s="270"/>
      <c r="C196" s="201">
        <f>'666'!C$343*C66</f>
        <v>3764750</v>
      </c>
    </row>
    <row r="197" spans="1:3" ht="15.75" thickBot="1" x14ac:dyDescent="0.3">
      <c r="A197" s="212"/>
      <c r="B197" s="219"/>
      <c r="C197" s="212"/>
    </row>
    <row r="198" spans="1:3" ht="15.75" thickBot="1" x14ac:dyDescent="0.3">
      <c r="A198" s="212"/>
      <c r="B198" s="220" t="s">
        <v>395</v>
      </c>
      <c r="C198" s="212"/>
    </row>
    <row r="199" spans="1:3" x14ac:dyDescent="0.25">
      <c r="A199" s="270" t="str">
        <f>"Затраты на элктроэнергию на "&amp;G65&amp;" шаге = Затраты на элктроэнергию * Объем реализации = "&amp;'666'!C$343&amp;" * "&amp;C69&amp;" = "</f>
        <v xml:space="preserve">Затраты на элктроэнергию на 0 шаге = Затраты на элктроэнергию * Объем реализации = 13,69 * 0 = </v>
      </c>
      <c r="B199" s="270"/>
      <c r="C199" s="201">
        <f>'666'!C$343*C69</f>
        <v>0</v>
      </c>
    </row>
    <row r="200" spans="1:3" x14ac:dyDescent="0.25">
      <c r="A200" s="270" t="str">
        <f>"Затраты на элктроэнергию на "&amp;G66&amp;" шаге = Затраты на элктроэнергию * Объем реализации = "&amp;'666'!C$343&amp;" * "&amp;C70&amp;" = "</f>
        <v xml:space="preserve">Затраты на элктроэнергию на 1 шаге = Затраты на элктроэнергию * Объем реализации = 13,69 * 0 = </v>
      </c>
      <c r="B200" s="270"/>
      <c r="C200" s="201">
        <f>'666'!C$343*C70</f>
        <v>0</v>
      </c>
    </row>
    <row r="201" spans="1:3" x14ac:dyDescent="0.25">
      <c r="A201" s="270" t="str">
        <f>"Затраты на элктроэнергию на "&amp;G67&amp;" шаге = Затраты на элктроэнергию * Объем реализации = "&amp;'666'!C$343&amp;" * "&amp;C71&amp;" = "</f>
        <v xml:space="preserve">Затраты на элктроэнергию на 2 шаге = Затраты на элктроэнергию * Объем реализации = 13,69 * 55000 = </v>
      </c>
      <c r="B201" s="270"/>
      <c r="C201" s="201">
        <f>'666'!C$343*C71</f>
        <v>752950</v>
      </c>
    </row>
    <row r="202" spans="1:3" x14ac:dyDescent="0.25">
      <c r="A202" s="270" t="str">
        <f>"Затраты на элктроэнергию на "&amp;G68&amp;" шаге = Затраты на элктроэнергию * Объем реализации = "&amp;'666'!C$343&amp;" * "&amp;C72&amp;" = "</f>
        <v xml:space="preserve">Затраты на элктроэнергию на 3 шаге = Затраты на элктроэнергию * Объем реализации = 13,69 * 110000 = </v>
      </c>
      <c r="B202" s="270"/>
      <c r="C202" s="201">
        <f>'666'!C$343*C72</f>
        <v>1505900</v>
      </c>
    </row>
    <row r="203" spans="1:3" x14ac:dyDescent="0.25">
      <c r="A203" s="270" t="str">
        <f>"Затраты на элктроэнергию на "&amp;G69&amp;" шаге = Затраты на элктроэнергию * Объем реализации = "&amp;'666'!C$343&amp;" * "&amp;C73&amp;" = "</f>
        <v xml:space="preserve">Затраты на элктроэнергию на 4 шаге = Затраты на элктроэнергию * Объем реализации = 13,69 * 192500 = </v>
      </c>
      <c r="B203" s="270"/>
      <c r="C203" s="201">
        <f>'666'!C$343*C73</f>
        <v>2635325</v>
      </c>
    </row>
    <row r="204" spans="1:3" x14ac:dyDescent="0.25">
      <c r="A204" s="270" t="str">
        <f>"Затраты на элктроэнергию на "&amp;G70&amp;" шаге = Затраты на элктроэнергию * Объем реализации = "&amp;'666'!C$343&amp;" * "&amp;C74&amp;" = "</f>
        <v xml:space="preserve">Затраты на элктроэнергию на 5 шаге = Затраты на элктроэнергию * Объем реализации = 13,69 * 247500 = </v>
      </c>
      <c r="B204" s="270"/>
      <c r="C204" s="201">
        <f>'666'!C$343*C74</f>
        <v>3388275</v>
      </c>
    </row>
    <row r="205" spans="1:3" x14ac:dyDescent="0.25">
      <c r="A205" s="270" t="str">
        <f>"Затраты на элктроэнергию на "&amp;G71&amp;" шаге = Затраты на элктроэнергию * Объем реализации = "&amp;'666'!C$343&amp;" * "&amp;C75&amp;" = "</f>
        <v xml:space="preserve">Затраты на элктроэнергию на 6 шаге = Затраты на элктроэнергию * Объем реализации = 13,69 * 275000 = </v>
      </c>
      <c r="B205" s="270"/>
      <c r="C205" s="201">
        <f>'666'!C$343*C75</f>
        <v>3764750</v>
      </c>
    </row>
    <row r="206" spans="1:3" x14ac:dyDescent="0.25">
      <c r="A206" s="270" t="str">
        <f>"Затраты на элктроэнергию на "&amp;G72&amp;" шаге = Затраты на элктроэнергию * Объем реализации = "&amp;'666'!C$343&amp;" * "&amp;C76&amp;" = "</f>
        <v xml:space="preserve">Затраты на элктроэнергию на 7 шаге = Затраты на элктроэнергию * Объем реализации = 13,69 * 275000 = </v>
      </c>
      <c r="B206" s="270"/>
      <c r="C206" s="201">
        <f>'666'!C$343*C76</f>
        <v>3764750</v>
      </c>
    </row>
    <row r="207" spans="1:3" x14ac:dyDescent="0.25">
      <c r="A207" s="270" t="str">
        <f>"Затраты на элктроэнергию на "&amp;G73&amp;" шаге = Затраты на элктроэнергию * Объем реализации = "&amp;'666'!C$343&amp;" * "&amp;C77&amp;" = "</f>
        <v xml:space="preserve">Затраты на элктроэнергию на 8 шаге = Затраты на элктроэнергию * Объем реализации = 13,69 * 275000 = </v>
      </c>
      <c r="B207" s="270"/>
      <c r="C207" s="201">
        <f>'666'!C$343*C77</f>
        <v>3764750</v>
      </c>
    </row>
    <row r="208" spans="1:3" x14ac:dyDescent="0.25">
      <c r="A208" s="270" t="str">
        <f>"Затраты на элктроэнергию на "&amp;G74&amp;" шаге = Затраты на элктроэнергию * Объем реализации = "&amp;'666'!C$343&amp;" * "&amp;C78&amp;" = "</f>
        <v xml:space="preserve">Затраты на элктроэнергию на 9 шаге = Затраты на элктроэнергию * Объем реализации = 13,69 * 275000 = </v>
      </c>
      <c r="B208" s="270"/>
      <c r="C208" s="201">
        <f>'666'!C$343*C78</f>
        <v>3764750</v>
      </c>
    </row>
    <row r="209" spans="1:3" x14ac:dyDescent="0.25">
      <c r="A209" s="270" t="str">
        <f>"Затраты на элктроэнергию на "&amp;G75&amp;" шаге = Затраты на элктроэнергию * Объем реализации = "&amp;'666'!C$343&amp;" * "&amp;C79&amp;" = "</f>
        <v xml:space="preserve">Затраты на элктроэнергию на 10 шаге = Затраты на элктроэнергию * Объем реализации = 13,69 * 275000 = </v>
      </c>
      <c r="B209" s="270"/>
      <c r="C209" s="201">
        <f>'666'!C$343*C79</f>
        <v>3764750</v>
      </c>
    </row>
    <row r="210" spans="1:3" ht="15.75" thickBot="1" x14ac:dyDescent="0.3">
      <c r="A210" s="212"/>
      <c r="B210" s="219"/>
      <c r="C210" s="212"/>
    </row>
    <row r="211" spans="1:3" ht="15.75" thickBot="1" x14ac:dyDescent="0.3">
      <c r="A211" s="212"/>
      <c r="B211" s="221" t="s">
        <v>394</v>
      </c>
      <c r="C211" s="212"/>
    </row>
    <row r="212" spans="1:3" x14ac:dyDescent="0.25">
      <c r="A212" s="270" t="str">
        <f>"Оплату труда производственного труда на "&amp;G65&amp;" шаге =  "&amp;'666'!A$345&amp;" * Объем реализации = "&amp;'666'!C$345&amp;" * "&amp;C56&amp;" *0,9 ="</f>
        <v>Оплату труда производственного труда на 0 шаге =  Оплата труда с начислением на изделие * Объем реализации = 54,46 * 0 *0,9 =</v>
      </c>
      <c r="B212" s="270"/>
      <c r="C212" s="201">
        <f>('666'!C$345*C56)*0.9</f>
        <v>0</v>
      </c>
    </row>
    <row r="213" spans="1:3" x14ac:dyDescent="0.25">
      <c r="A213" s="270" t="str">
        <f>"Оплату труда производственного труда на "&amp;G66&amp;" шаге =  "&amp;'666'!A$345&amp;" * Объем реализации = "&amp;'666'!C$345&amp;" * "&amp;C57&amp;" *0,9 ="</f>
        <v>Оплату труда производственного труда на 1 шаге =  Оплата труда с начислением на изделие * Объем реализации = 54,46 * 0 *0,9 =</v>
      </c>
      <c r="B213" s="270"/>
      <c r="C213" s="201">
        <f>('666'!C$345*C57)*0.9</f>
        <v>0</v>
      </c>
    </row>
    <row r="214" spans="1:3" x14ac:dyDescent="0.25">
      <c r="A214" s="270" t="str">
        <f>"Оплату труда производственного труда на "&amp;G67&amp;" шаге =  "&amp;'666'!A$345&amp;" * Объем реализации = "&amp;'666'!C$345&amp;" * "&amp;C58&amp;" *0,9 ="</f>
        <v>Оплату труда производственного труда на 2 шаге =  Оплата труда с начислением на изделие * Объем реализации = 54,46 * 55000 *0,9 =</v>
      </c>
      <c r="B214" s="270"/>
      <c r="C214" s="201">
        <f>('666'!C$345*C58)*0.9</f>
        <v>2695770</v>
      </c>
    </row>
    <row r="215" spans="1:3" x14ac:dyDescent="0.25">
      <c r="A215" s="270" t="str">
        <f>"Оплату труда производственного труда на "&amp;G68&amp;" шаге =  "&amp;'666'!A$345&amp;" * Объем реализации = "&amp;'666'!C$345&amp;" * "&amp;C59&amp;" *0,9 ="</f>
        <v>Оплату труда производственного труда на 3 шаге =  Оплата труда с начислением на изделие * Объем реализации = 54,46 * 110000 *0,9 =</v>
      </c>
      <c r="B215" s="270"/>
      <c r="C215" s="201">
        <f>('666'!C$345*C59)*0.9</f>
        <v>5391540</v>
      </c>
    </row>
    <row r="216" spans="1:3" x14ac:dyDescent="0.25">
      <c r="A216" s="270" t="str">
        <f>"Оплату труда производственного труда на "&amp;G69&amp;" шаге =  "&amp;'666'!A$345&amp;" * Объем реализации = "&amp;'666'!C$345&amp;" * "&amp;C60&amp;" *0,9 ="</f>
        <v>Оплату труда производственного труда на 4 шаге =  Оплата труда с начислением на изделие * Объем реализации = 54,46 * 192500 *0,9 =</v>
      </c>
      <c r="B216" s="270"/>
      <c r="C216" s="201">
        <f>('666'!C$345*C60)*0.9</f>
        <v>9435195</v>
      </c>
    </row>
    <row r="217" spans="1:3" x14ac:dyDescent="0.25">
      <c r="A217" s="270" t="str">
        <f>"Оплату труда производственного труда на "&amp;G70&amp;" шаге =  "&amp;'666'!A$345&amp;" * Объем реализации = "&amp;'666'!C$345&amp;" * "&amp;C61&amp;" *0,9 ="</f>
        <v>Оплату труда производственного труда на 5 шаге =  Оплата труда с начислением на изделие * Объем реализации = 54,46 * 247500 *0,9 =</v>
      </c>
      <c r="B217" s="270"/>
      <c r="C217" s="201">
        <f>('666'!C$345*C61)*0.9</f>
        <v>12130965</v>
      </c>
    </row>
    <row r="218" spans="1:3" x14ac:dyDescent="0.25">
      <c r="A218" s="270" t="str">
        <f>"Оплату труда производственного труда на "&amp;G71&amp;" шаге =  "&amp;'666'!A$345&amp;" * Объем реализации = "&amp;'666'!C$345&amp;" * "&amp;C62&amp;" *0,9 ="</f>
        <v>Оплату труда производственного труда на 6 шаге =  Оплата труда с начислением на изделие * Объем реализации = 54,46 * 275000 *0,9 =</v>
      </c>
      <c r="B218" s="270"/>
      <c r="C218" s="201">
        <f>('666'!C$345*C62)*0.9</f>
        <v>13478850</v>
      </c>
    </row>
    <row r="219" spans="1:3" x14ac:dyDescent="0.25">
      <c r="A219" s="270" t="str">
        <f>"Оплату труда производственного труда на "&amp;G72&amp;" шаге =  "&amp;'666'!A$345&amp;" * Объем реализации = "&amp;'666'!C$345&amp;" * "&amp;C63&amp;" *0,9 ="</f>
        <v>Оплату труда производственного труда на 7 шаге =  Оплата труда с начислением на изделие * Объем реализации = 54,46 * 275000 *0,9 =</v>
      </c>
      <c r="B219" s="270"/>
      <c r="C219" s="201">
        <f>('666'!C$345*C63)*0.9</f>
        <v>13478850</v>
      </c>
    </row>
    <row r="220" spans="1:3" x14ac:dyDescent="0.25">
      <c r="A220" s="270" t="str">
        <f>"Оплату труда производственного труда на "&amp;G73&amp;" шаге =  "&amp;'666'!A$345&amp;" * Объем реализации = "&amp;'666'!C$345&amp;" * "&amp;C64&amp;" *0,9 ="</f>
        <v>Оплату труда производственного труда на 8 шаге =  Оплата труда с начислением на изделие * Объем реализации = 54,46 * 275000 *0,9 =</v>
      </c>
      <c r="B220" s="270"/>
      <c r="C220" s="201">
        <f>('666'!C$345*C64)*0.9</f>
        <v>13478850</v>
      </c>
    </row>
    <row r="221" spans="1:3" x14ac:dyDescent="0.25">
      <c r="A221" s="270" t="str">
        <f>"Оплату труда производственного труда на "&amp;G74&amp;" шаге =  "&amp;'666'!A$345&amp;" * Объем реализации = "&amp;'666'!C$345&amp;" * "&amp;C65&amp;" *0,9 ="</f>
        <v>Оплату труда производственного труда на 9 шаге =  Оплата труда с начислением на изделие * Объем реализации = 54,46 * 275000 *0,9 =</v>
      </c>
      <c r="B221" s="270"/>
      <c r="C221" s="201">
        <f>('666'!C$345*C65)*0.9</f>
        <v>13478850</v>
      </c>
    </row>
    <row r="222" spans="1:3" x14ac:dyDescent="0.25">
      <c r="A222" s="270" t="str">
        <f>"Оплату труда производственного труда на "&amp;G75&amp;" шаге =  "&amp;'666'!A$345&amp;" * Объем реализации = "&amp;'666'!C$345&amp;" * "&amp;C66&amp;" *0,9 ="</f>
        <v>Оплату труда производственного труда на 10 шаге =  Оплата труда с начислением на изделие * Объем реализации = 54,46 * 275000 *0,9 =</v>
      </c>
      <c r="B222" s="270"/>
      <c r="C222" s="201">
        <f>('666'!C$345*C66)*0.9</f>
        <v>13478850</v>
      </c>
    </row>
    <row r="223" spans="1:3" ht="15.75" thickBot="1" x14ac:dyDescent="0.3">
      <c r="A223" s="212"/>
      <c r="B223" s="219"/>
      <c r="C223" s="212"/>
    </row>
    <row r="224" spans="1:3" ht="15.75" thickBot="1" x14ac:dyDescent="0.3">
      <c r="A224" s="212"/>
      <c r="B224" s="220" t="s">
        <v>395</v>
      </c>
      <c r="C224" s="212"/>
    </row>
    <row r="225" spans="1:3" x14ac:dyDescent="0.25">
      <c r="A225" s="270" t="str">
        <f>"Оплату труда производственного труда на "&amp;G65&amp;" шаге =  "&amp;'666'!A$345&amp;" * Объем реализации = ("&amp;'666'!C$345&amp;" * "&amp;C69&amp;") *1,05 ="</f>
        <v>Оплату труда производственного труда на 0 шаге =  Оплата труда с начислением на изделие * Объем реализации = (54,46 * 0) *1,05 =</v>
      </c>
      <c r="B225" s="270"/>
      <c r="C225" s="201">
        <f>('666'!C$345*C69)*1.05</f>
        <v>0</v>
      </c>
    </row>
    <row r="226" spans="1:3" x14ac:dyDescent="0.25">
      <c r="A226" s="270" t="str">
        <f>"Оплату труда производственного труда на "&amp;G66&amp;" шаге =  "&amp;'666'!A$345&amp;" * Объем реализации = ("&amp;'666'!C$345&amp;" * "&amp;C70&amp;") *1,05 ="</f>
        <v>Оплату труда производственного труда на 1 шаге =  Оплата труда с начислением на изделие * Объем реализации = (54,46 * 0) *1,05 =</v>
      </c>
      <c r="B226" s="270"/>
      <c r="C226" s="201">
        <f>('666'!C$345*C70)*1.05</f>
        <v>0</v>
      </c>
    </row>
    <row r="227" spans="1:3" x14ac:dyDescent="0.25">
      <c r="A227" s="270" t="str">
        <f>"Оплату труда производственного труда на "&amp;G67&amp;" шаге =  "&amp;'666'!A$345&amp;" * Объем реализации = ("&amp;'666'!C$345&amp;" * "&amp;C71&amp;") *1,05 ="</f>
        <v>Оплату труда производственного труда на 2 шаге =  Оплата труда с начислением на изделие * Объем реализации = (54,46 * 55000) *1,05 =</v>
      </c>
      <c r="B227" s="270"/>
      <c r="C227" s="201">
        <f>('666'!C$345*C71)*1.05</f>
        <v>3145065</v>
      </c>
    </row>
    <row r="228" spans="1:3" x14ac:dyDescent="0.25">
      <c r="A228" s="270" t="str">
        <f>"Оплату труда производственного труда на "&amp;G68&amp;" шаге =  "&amp;'666'!A$345&amp;" * Объем реализации = ("&amp;'666'!C$345&amp;" * "&amp;C72&amp;") *1,05 ="</f>
        <v>Оплату труда производственного труда на 3 шаге =  Оплата труда с начислением на изделие * Объем реализации = (54,46 * 110000) *1,05 =</v>
      </c>
      <c r="B228" s="270"/>
      <c r="C228" s="201">
        <f>('666'!C$345*C72)*1.05</f>
        <v>6290130</v>
      </c>
    </row>
    <row r="229" spans="1:3" x14ac:dyDescent="0.25">
      <c r="A229" s="270" t="str">
        <f>"Оплату труда производственного труда на "&amp;G69&amp;" шаге =  "&amp;'666'!A$345&amp;" * Объем реализации = ("&amp;'666'!C$345&amp;" * "&amp;C73&amp;") *1,05 ="</f>
        <v>Оплату труда производственного труда на 4 шаге =  Оплата труда с начислением на изделие * Объем реализации = (54,46 * 192500) *1,05 =</v>
      </c>
      <c r="B229" s="270"/>
      <c r="C229" s="201">
        <f>('666'!C$345*C73)*1.05</f>
        <v>11007727.5</v>
      </c>
    </row>
    <row r="230" spans="1:3" x14ac:dyDescent="0.25">
      <c r="A230" s="270" t="str">
        <f>"Оплату труда производственного труда на "&amp;G70&amp;" шаге =  "&amp;'666'!A$345&amp;" * Объем реализации = ("&amp;'666'!C$345&amp;" * "&amp;C74&amp;") *1,05 ="</f>
        <v>Оплату труда производственного труда на 5 шаге =  Оплата труда с начислением на изделие * Объем реализации = (54,46 * 247500) *1,05 =</v>
      </c>
      <c r="B230" s="270"/>
      <c r="C230" s="201">
        <f>('666'!C$345*C74)*1.05</f>
        <v>14152792.5</v>
      </c>
    </row>
    <row r="231" spans="1:3" x14ac:dyDescent="0.25">
      <c r="A231" s="270" t="str">
        <f>"Оплату труда производственного труда на "&amp;G71&amp;" шаге =  "&amp;'666'!A$345&amp;" * Объем реализации = ("&amp;'666'!C$345&amp;" * "&amp;C75&amp;") *1,05 ="</f>
        <v>Оплату труда производственного труда на 6 шаге =  Оплата труда с начислением на изделие * Объем реализации = (54,46 * 275000) *1,05 =</v>
      </c>
      <c r="B231" s="270"/>
      <c r="C231" s="201">
        <f>('666'!C$345*C75)*1.05</f>
        <v>15725325</v>
      </c>
    </row>
    <row r="232" spans="1:3" x14ac:dyDescent="0.25">
      <c r="A232" s="270" t="str">
        <f>"Оплату труда производственного труда на "&amp;G72&amp;" шаге =  "&amp;'666'!A$345&amp;" * Объем реализации = ("&amp;'666'!C$345&amp;" * "&amp;C76&amp;") *1,05 ="</f>
        <v>Оплату труда производственного труда на 7 шаге =  Оплата труда с начислением на изделие * Объем реализации = (54,46 * 275000) *1,05 =</v>
      </c>
      <c r="B232" s="270"/>
      <c r="C232" s="201">
        <f>('666'!C$345*C76)*1.05</f>
        <v>15725325</v>
      </c>
    </row>
    <row r="233" spans="1:3" x14ac:dyDescent="0.25">
      <c r="A233" s="270" t="str">
        <f>"Оплату труда производственного труда на "&amp;G73&amp;" шаге =  "&amp;'666'!A$345&amp;" * Объем реализации = ("&amp;'666'!C$345&amp;" * "&amp;C77&amp;") *1,05 ="</f>
        <v>Оплату труда производственного труда на 8 шаге =  Оплата труда с начислением на изделие * Объем реализации = (54,46 * 275000) *1,05 =</v>
      </c>
      <c r="B233" s="270"/>
      <c r="C233" s="201">
        <f>('666'!C$345*C77)*1.05</f>
        <v>15725325</v>
      </c>
    </row>
    <row r="234" spans="1:3" x14ac:dyDescent="0.25">
      <c r="A234" s="270" t="str">
        <f>"Оплату труда производственного труда на "&amp;G74&amp;" шаге =  "&amp;'666'!A$345&amp;" * Объем реализации = ("&amp;'666'!C$345&amp;" * "&amp;C78&amp;") *1,05 ="</f>
        <v>Оплату труда производственного труда на 9 шаге =  Оплата труда с начислением на изделие * Объем реализации = (54,46 * 275000) *1,05 =</v>
      </c>
      <c r="B234" s="270"/>
      <c r="C234" s="201">
        <f>('666'!C$345*C78)*1.05</f>
        <v>15725325</v>
      </c>
    </row>
    <row r="235" spans="1:3" x14ac:dyDescent="0.25">
      <c r="A235" s="270" t="str">
        <f>"Оплату труда производственного труда на "&amp;G75&amp;" шаге =  "&amp;'666'!A$345&amp;" * Объем реализации = ("&amp;'666'!C$345&amp;" * "&amp;C79&amp;") *1,05 ="</f>
        <v>Оплату труда производственного труда на 10 шаге =  Оплата труда с начислением на изделие * Объем реализации = (54,46 * 275000) *1,05 =</v>
      </c>
      <c r="B235" s="270"/>
      <c r="C235" s="201">
        <f>('666'!C$345*C79)*1.05</f>
        <v>15725325</v>
      </c>
    </row>
    <row r="236" spans="1:3" ht="15.75" thickBot="1" x14ac:dyDescent="0.3">
      <c r="A236" s="212"/>
      <c r="B236" s="219"/>
      <c r="C236" s="212"/>
    </row>
    <row r="237" spans="1:3" ht="15.75" thickBot="1" x14ac:dyDescent="0.3">
      <c r="A237" s="212"/>
      <c r="B237" s="221" t="s">
        <v>394</v>
      </c>
      <c r="C237" s="212"/>
    </row>
    <row r="238" spans="1:3" x14ac:dyDescent="0.25">
      <c r="A238" s="212"/>
      <c r="B238" s="219" t="str">
        <f>"Итого переменных издержек на "&amp;G65&amp;"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38" s="201">
        <f>C160+C186+C212</f>
        <v>0</v>
      </c>
    </row>
    <row r="239" spans="1:3" x14ac:dyDescent="0.25">
      <c r="A239" s="212"/>
      <c r="B239" s="219" t="str">
        <f>"Итого переменных издержек на "&amp;G66&amp;"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39" s="201">
        <f t="shared" ref="C239:C248" si="51">C161+C187+C213</f>
        <v>0</v>
      </c>
    </row>
    <row r="240" spans="1:3" x14ac:dyDescent="0.25">
      <c r="A240" s="212"/>
      <c r="B240" s="219" t="str">
        <f>"Итого переменных издержек на "&amp;G67&amp;"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40" s="201">
        <f t="shared" si="51"/>
        <v>22967120</v>
      </c>
    </row>
    <row r="241" spans="1:3" x14ac:dyDescent="0.25">
      <c r="A241" s="212"/>
      <c r="B241" s="219" t="str">
        <f>"Итого переменных издержек на "&amp;G68&amp;"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41" s="201">
        <f t="shared" si="51"/>
        <v>45934240</v>
      </c>
    </row>
    <row r="242" spans="1:3" x14ac:dyDescent="0.25">
      <c r="A242" s="212"/>
      <c r="B242" s="219" t="str">
        <f>"Итого переменных издержек на "&amp;G69&amp;"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42" s="201">
        <f t="shared" si="51"/>
        <v>80384920</v>
      </c>
    </row>
    <row r="243" spans="1:3" x14ac:dyDescent="0.25">
      <c r="A243" s="212"/>
      <c r="B243" s="219" t="str">
        <f>"Итого переменных издержек на "&amp;G70&amp;"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43" s="201">
        <f t="shared" si="51"/>
        <v>103352040</v>
      </c>
    </row>
    <row r="244" spans="1:3" x14ac:dyDescent="0.25">
      <c r="A244" s="212"/>
      <c r="B244" s="219" t="str">
        <f>"Итого переменных издержек на "&amp;G71&amp;"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44" s="201">
        <f t="shared" si="51"/>
        <v>114835600</v>
      </c>
    </row>
    <row r="245" spans="1:3" x14ac:dyDescent="0.25">
      <c r="A245" s="212"/>
      <c r="B245" s="219" t="str">
        <f>"Итого переменных издержек на "&amp;G72&amp;"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45" s="201">
        <f t="shared" si="51"/>
        <v>114835600</v>
      </c>
    </row>
    <row r="246" spans="1:3" x14ac:dyDescent="0.25">
      <c r="A246" s="212"/>
      <c r="B246" s="219" t="str">
        <f>"Итого переменных издержек на "&amp;G73&amp;"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46" s="201">
        <f t="shared" si="51"/>
        <v>114835600</v>
      </c>
    </row>
    <row r="247" spans="1:3" x14ac:dyDescent="0.25">
      <c r="A247" s="212"/>
      <c r="B247" s="219" t="str">
        <f>"Итого переменных издержек на "&amp;G74&amp;"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47" s="201">
        <f t="shared" si="51"/>
        <v>114835600</v>
      </c>
    </row>
    <row r="248" spans="1:3" x14ac:dyDescent="0.25">
      <c r="A248" s="212"/>
      <c r="B248" s="219" t="str">
        <f>"Итого переменных издержек на "&amp;G75&amp;"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48" s="201">
        <f t="shared" si="51"/>
        <v>114835600</v>
      </c>
    </row>
    <row r="249" spans="1:3" ht="15.75" thickBot="1" x14ac:dyDescent="0.3">
      <c r="A249" s="212"/>
      <c r="B249" s="219"/>
      <c r="C249" s="212"/>
    </row>
    <row r="250" spans="1:3" ht="15.75" thickBot="1" x14ac:dyDescent="0.3">
      <c r="A250" s="212"/>
      <c r="B250" s="220" t="s">
        <v>395</v>
      </c>
      <c r="C250" s="212"/>
    </row>
    <row r="251" spans="1:3" x14ac:dyDescent="0.25">
      <c r="A251" s="212"/>
      <c r="B251" s="219" t="str">
        <f>"Итого переменных издержек на "&amp;G65&amp;"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51" s="201">
        <f>C173+C199+C225</f>
        <v>0</v>
      </c>
    </row>
    <row r="252" spans="1:3" x14ac:dyDescent="0.25">
      <c r="A252" s="212"/>
      <c r="B252" s="219" t="str">
        <f>"Итого переменных издержек на "&amp;G66&amp;"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52" s="201">
        <f t="shared" ref="C252:C261" si="52">C174+C200+C226</f>
        <v>0</v>
      </c>
    </row>
    <row r="253" spans="1:3" x14ac:dyDescent="0.25">
      <c r="A253" s="212"/>
      <c r="B253" s="219" t="str">
        <f>"Итого переменных издержек на "&amp;G67&amp;"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53" s="201">
        <f t="shared" si="52"/>
        <v>23416415</v>
      </c>
    </row>
    <row r="254" spans="1:3" x14ac:dyDescent="0.25">
      <c r="A254" s="212"/>
      <c r="B254" s="219" t="str">
        <f>"Итого переменных издержек на "&amp;G68&amp;"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54" s="201">
        <f t="shared" si="52"/>
        <v>46832830</v>
      </c>
    </row>
    <row r="255" spans="1:3" x14ac:dyDescent="0.25">
      <c r="A255" s="212"/>
      <c r="B255" s="219" t="str">
        <f>"Итого переменных издержек на "&amp;G69&amp;"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55" s="201">
        <f t="shared" si="52"/>
        <v>81957452.5</v>
      </c>
    </row>
    <row r="256" spans="1:3" x14ac:dyDescent="0.25">
      <c r="A256" s="212"/>
      <c r="B256" s="219" t="str">
        <f>"Итого переменных издержек на "&amp;G70&amp;"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56" s="201">
        <f t="shared" si="52"/>
        <v>105373867.5</v>
      </c>
    </row>
    <row r="257" spans="1:3" x14ac:dyDescent="0.25">
      <c r="A257" s="212"/>
      <c r="B257" s="219" t="str">
        <f>"Итого переменных издержек на "&amp;G71&amp;"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57" s="201">
        <f t="shared" si="52"/>
        <v>117082075</v>
      </c>
    </row>
    <row r="258" spans="1:3" x14ac:dyDescent="0.25">
      <c r="A258" s="212"/>
      <c r="B258" s="219" t="str">
        <f>"Итого переменных издержек на "&amp;G72&amp;"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58" s="201">
        <f t="shared" si="52"/>
        <v>117082075</v>
      </c>
    </row>
    <row r="259" spans="1:3" x14ac:dyDescent="0.25">
      <c r="A259" s="212"/>
      <c r="B259" s="219" t="str">
        <f>"Итого переменных издержек на "&amp;G73&amp;"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59" s="201">
        <f t="shared" si="52"/>
        <v>117082075</v>
      </c>
    </row>
    <row r="260" spans="1:3" x14ac:dyDescent="0.25">
      <c r="A260" s="212"/>
      <c r="B260" s="219" t="str">
        <f>"Итого переменных издержек на "&amp;G74&amp;"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60" s="201">
        <f t="shared" si="52"/>
        <v>117082075</v>
      </c>
    </row>
    <row r="261" spans="1:3" x14ac:dyDescent="0.25">
      <c r="A261" s="212"/>
      <c r="B261" s="219" t="str">
        <f>"Итого переменных издержек на "&amp;G75&amp;"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61" s="201">
        <f t="shared" si="52"/>
        <v>117082075</v>
      </c>
    </row>
    <row r="262" spans="1:3" ht="15.75" thickBot="1" x14ac:dyDescent="0.3">
      <c r="A262" s="212"/>
      <c r="B262" s="219"/>
      <c r="C262" s="212"/>
    </row>
    <row r="263" spans="1:3" ht="15.75" thickBot="1" x14ac:dyDescent="0.3">
      <c r="A263" s="212"/>
      <c r="B263" s="221" t="s">
        <v>394</v>
      </c>
      <c r="C263" s="212"/>
    </row>
    <row r="264" spans="1:3" x14ac:dyDescent="0.25">
      <c r="A264" s="212"/>
      <c r="B264" s="219" t="str">
        <f>"Прибыль налогообложения на "&amp;G65&amp;"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64" s="201">
        <f>C134-(C251+D$23+D$24)</f>
        <v>0</v>
      </c>
    </row>
    <row r="265" spans="1:3" x14ac:dyDescent="0.25">
      <c r="A265" s="212"/>
      <c r="B265" s="219" t="str">
        <f>"Прибыль налогообложения на "&amp;G66&amp;"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65" s="201">
        <f>C135-(C252+E$23+E$24)</f>
        <v>0</v>
      </c>
    </row>
    <row r="266" spans="1:3" x14ac:dyDescent="0.25">
      <c r="A266" s="212"/>
      <c r="B266" s="219" t="str">
        <f>"Прибыль налогообложения на "&amp;G67&amp;"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66" s="201">
        <f>C136-(C240+F$23+F$24)</f>
        <v>-17935071.428648986</v>
      </c>
    </row>
    <row r="267" spans="1:3" x14ac:dyDescent="0.25">
      <c r="A267" s="212"/>
      <c r="B267" s="219" t="str">
        <f>"Прибыль налогообложения на "&amp;G68&amp;"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67" s="201">
        <f>C137-(C241+F$23+F$24)</f>
        <v>4797308.5713510066</v>
      </c>
    </row>
    <row r="268" spans="1:3" x14ac:dyDescent="0.25">
      <c r="A268" s="212"/>
      <c r="B268" s="219" t="str">
        <f>"Прибыль налогообложения на "&amp;G69&amp;"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68" s="201">
        <f t="shared" ref="C268:C274" si="53">C138-(C242+F$23+F$24)</f>
        <v>38895878.571351022</v>
      </c>
    </row>
    <row r="269" spans="1:3" x14ac:dyDescent="0.25">
      <c r="A269" s="212"/>
      <c r="B269" s="219" t="str">
        <f>"Прибыль налогообложения на "&amp;G70&amp;"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69" s="201">
        <f t="shared" si="53"/>
        <v>61628258.571350962</v>
      </c>
    </row>
    <row r="270" spans="1:3" x14ac:dyDescent="0.25">
      <c r="A270" s="212"/>
      <c r="B270" s="219" t="str">
        <f>"Прибыль налогообложения на "&amp;G71&amp;"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70" s="201">
        <f t="shared" si="53"/>
        <v>72994448.571350992</v>
      </c>
    </row>
    <row r="271" spans="1:3" x14ac:dyDescent="0.25">
      <c r="A271" s="212"/>
      <c r="B271" s="219" t="str">
        <f>"Прибыль налогообложения на "&amp;G72&amp;"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71" s="201">
        <f t="shared" si="53"/>
        <v>72994448.571350992</v>
      </c>
    </row>
    <row r="272" spans="1:3" x14ac:dyDescent="0.25">
      <c r="A272" s="212"/>
      <c r="B272" s="219" t="str">
        <f>"Прибыль налогообложения на "&amp;G73&amp;"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72" s="201">
        <f t="shared" si="53"/>
        <v>72994448.571350992</v>
      </c>
    </row>
    <row r="273" spans="1:3" x14ac:dyDescent="0.25">
      <c r="A273" s="212"/>
      <c r="B273" s="219" t="str">
        <f>"Прибыль налогообложения на "&amp;G74&amp;"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73" s="201">
        <f t="shared" si="53"/>
        <v>72994448.571350992</v>
      </c>
    </row>
    <row r="274" spans="1:3" x14ac:dyDescent="0.25">
      <c r="A274" s="212"/>
      <c r="B274" s="219" t="str">
        <f>"Прибыль налогообложения на "&amp;G75&amp;"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74" s="201">
        <f t="shared" si="53"/>
        <v>72994448.571350992</v>
      </c>
    </row>
    <row r="275" spans="1:3" ht="15.75" thickBot="1" x14ac:dyDescent="0.3">
      <c r="A275" s="212"/>
      <c r="B275" s="219"/>
      <c r="C275" s="212"/>
    </row>
    <row r="276" spans="1:3" ht="15.75" thickBot="1" x14ac:dyDescent="0.3">
      <c r="A276" s="212"/>
      <c r="B276" s="220" t="s">
        <v>395</v>
      </c>
      <c r="C276" s="212"/>
    </row>
    <row r="277" spans="1:3" x14ac:dyDescent="0.25">
      <c r="A277" s="212"/>
      <c r="B277" s="219" t="str">
        <f>"Прибыль налогообложения на "&amp;G65&amp;"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77" s="201">
        <f>C147-(C264+D$23+D$24)</f>
        <v>0</v>
      </c>
    </row>
    <row r="278" spans="1:3" x14ac:dyDescent="0.25">
      <c r="A278" s="212"/>
      <c r="B278" s="219" t="str">
        <f>"Прибыль налогообложения на "&amp;G66&amp;"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78" s="201">
        <f>C148-(C265+E$23+E$24)</f>
        <v>0</v>
      </c>
    </row>
    <row r="279" spans="1:3" x14ac:dyDescent="0.25">
      <c r="A279" s="212"/>
      <c r="B279" s="219" t="str">
        <f>"Прибыль налогообложения на "&amp;G67&amp;"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79" s="201">
        <f>C149-(C253+F$23+F$24)</f>
        <v>-18384366.428648986</v>
      </c>
    </row>
    <row r="280" spans="1:3" x14ac:dyDescent="0.25">
      <c r="A280" s="212"/>
      <c r="B280" s="219" t="str">
        <f>"Прибыль налогообложения на "&amp;G68&amp;"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80" s="201">
        <f>C150-(C254+F$23+F$24)</f>
        <v>3898718.5713510066</v>
      </c>
    </row>
    <row r="281" spans="1:3" x14ac:dyDescent="0.25">
      <c r="A281" s="212"/>
      <c r="B281" s="219" t="str">
        <f>"Прибыль налогообложения на "&amp;G69&amp;"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81" s="201">
        <f t="shared" ref="C281:C287" si="54">C151-(C255+F$23+F$24)</f>
        <v>37323346.071351022</v>
      </c>
    </row>
    <row r="282" spans="1:3" x14ac:dyDescent="0.25">
      <c r="A282" s="212"/>
      <c r="B282" s="219" t="str">
        <f>"Прибыль налогообложения на "&amp;G70&amp;"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82" s="201">
        <f t="shared" si="54"/>
        <v>59606431.071350962</v>
      </c>
    </row>
    <row r="283" spans="1:3" x14ac:dyDescent="0.25">
      <c r="A283" s="212"/>
      <c r="B283" s="219" t="str">
        <f>"Прибыль налогообложения на "&amp;G71&amp;"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83" s="201">
        <f t="shared" si="54"/>
        <v>70747973.571350992</v>
      </c>
    </row>
    <row r="284" spans="1:3" x14ac:dyDescent="0.25">
      <c r="A284" s="212"/>
      <c r="B284" s="219" t="str">
        <f>"Прибыль налогообложения на "&amp;G72&amp;"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84" s="201">
        <f t="shared" si="54"/>
        <v>70747973.571350992</v>
      </c>
    </row>
    <row r="285" spans="1:3" x14ac:dyDescent="0.25">
      <c r="A285" s="212"/>
      <c r="B285" s="219" t="str">
        <f>"Прибыль налогообложения на "&amp;G73&amp;"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85" s="201">
        <f t="shared" si="54"/>
        <v>70747973.571350992</v>
      </c>
    </row>
    <row r="286" spans="1:3" x14ac:dyDescent="0.25">
      <c r="A286" s="212"/>
      <c r="B286" s="219" t="str">
        <f>"Прибыль налогообложения на "&amp;G74&amp;"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86" s="201">
        <f t="shared" si="54"/>
        <v>70747973.571350992</v>
      </c>
    </row>
    <row r="287" spans="1:3" x14ac:dyDescent="0.25">
      <c r="A287" s="212"/>
      <c r="B287" s="219" t="str">
        <f>"Прибыль налогообложения на "&amp;G75&amp;"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87" s="201">
        <f t="shared" si="54"/>
        <v>70747973.571350992</v>
      </c>
    </row>
    <row r="288" spans="1:3" ht="15.75" thickBot="1" x14ac:dyDescent="0.3">
      <c r="A288" s="212"/>
      <c r="B288" s="219"/>
      <c r="C288" s="212"/>
    </row>
    <row r="289" spans="1:3" ht="15.75" thickBot="1" x14ac:dyDescent="0.3">
      <c r="A289" s="212"/>
      <c r="B289" s="221" t="s">
        <v>394</v>
      </c>
      <c r="C289" s="212"/>
    </row>
    <row r="290" spans="1:3" x14ac:dyDescent="0.25">
      <c r="A290" s="212"/>
      <c r="B290" s="219" t="str">
        <f>"Налоги и сборы на "&amp;G65&amp;" шаге = 20% * Прибыль налогообложения = 20% * "&amp;ROUND(C277,2)&amp;" ="</f>
        <v>Налоги и сборы на 0 шаге = 20% * Прибыль налогообложения = 20% * 0 =</v>
      </c>
      <c r="C290" s="201">
        <f>20%*C277</f>
        <v>0</v>
      </c>
    </row>
    <row r="291" spans="1:3" x14ac:dyDescent="0.25">
      <c r="A291" s="212"/>
      <c r="B291" s="219" t="str">
        <f>"Налоги и сборы на "&amp;G66&amp;" шаге = 20% * Прибыль налогообложения = 20% * "&amp;ROUND(C278,2)&amp;" ="</f>
        <v>Налоги и сборы на 1 шаге = 20% * Прибыль налогообложения = 20% * 0 =</v>
      </c>
      <c r="C291" s="201">
        <f t="shared" ref="C291" si="55">20%*C278</f>
        <v>0</v>
      </c>
    </row>
    <row r="292" spans="1:3" x14ac:dyDescent="0.25">
      <c r="A292" s="212"/>
      <c r="B292" s="219" t="str">
        <f>"Налоги и сборы на "&amp;G67&amp;" шаге = 20% * Прибыль налогообложения = 20% * 0 ="</f>
        <v>Налоги и сборы на 2 шаге = 20% * Прибыль налогообложения = 20% * 0 =</v>
      </c>
      <c r="C292" s="201">
        <v>0</v>
      </c>
    </row>
    <row r="293" spans="1:3" x14ac:dyDescent="0.25">
      <c r="A293" s="212"/>
      <c r="B293" s="219" t="str">
        <f>"Налоги и сборы на "&amp;G68&amp;" шаге = 20% * Прибыль налогообложения = 20% * 0 ="</f>
        <v>Налоги и сборы на 3 шаге = 20% * Прибыль налогообложения = 20% * 0 =</v>
      </c>
      <c r="C293" s="201">
        <f>C267*20%</f>
        <v>959461.7142702014</v>
      </c>
    </row>
    <row r="294" spans="1:3" x14ac:dyDescent="0.25">
      <c r="A294" s="212"/>
      <c r="B294" s="219" t="str">
        <f>"Налоги и сборы на "&amp;G69&amp;" шаге = 20% * Прибыль налогообложения = 20% * "&amp;ROUND(C281,2)&amp;" ="</f>
        <v>Налоги и сборы на 4 шаге = 20% * Прибыль налогообложения = 20% * 37323346,07 =</v>
      </c>
      <c r="C294" s="201">
        <f t="shared" ref="C294:C300" si="56">C268*20%</f>
        <v>7779175.7142702043</v>
      </c>
    </row>
    <row r="295" spans="1:3" x14ac:dyDescent="0.25">
      <c r="A295" s="212"/>
      <c r="B295" s="219" t="str">
        <f>"Налоги и сборы на "&amp;G70&amp;" шаге = 20% * Прибыль налогообложения = 20% * "&amp;ROUND(C282,2)&amp;" ="</f>
        <v>Налоги и сборы на 5 шаге = 20% * Прибыль налогообложения = 20% * 59606431,07 =</v>
      </c>
      <c r="C295" s="201">
        <f t="shared" si="56"/>
        <v>12325651.714270193</v>
      </c>
    </row>
    <row r="296" spans="1:3" x14ac:dyDescent="0.25">
      <c r="A296" s="212"/>
      <c r="B296" s="219" t="str">
        <f>"Налоги и сборы на "&amp;G71&amp;" шаге = 20% * Прибыль налогообложения = 20% * "&amp;ROUND(C283,2)&amp;" ="</f>
        <v>Налоги и сборы на 6 шаге = 20% * Прибыль налогообложения = 20% * 70747973,57 =</v>
      </c>
      <c r="C296" s="201">
        <f t="shared" si="56"/>
        <v>14598889.714270199</v>
      </c>
    </row>
    <row r="297" spans="1:3" x14ac:dyDescent="0.25">
      <c r="A297" s="212"/>
      <c r="B297" s="219" t="str">
        <f>"Налоги и сборы на "&amp;G72&amp;" шаге = 20% * Прибыль налогообложения = 20% * "&amp;ROUND(C284,2)&amp;" ="</f>
        <v>Налоги и сборы на 7 шаге = 20% * Прибыль налогообложения = 20% * 70747973,57 =</v>
      </c>
      <c r="C297" s="201">
        <f t="shared" si="56"/>
        <v>14598889.714270199</v>
      </c>
    </row>
    <row r="298" spans="1:3" x14ac:dyDescent="0.25">
      <c r="A298" s="212"/>
      <c r="B298" s="219" t="str">
        <f>"Налоги и сборы на "&amp;G73&amp;" шаге = 20% * Прибыль налогообложения = 20% * "&amp;ROUND(C285,2)&amp;" ="</f>
        <v>Налоги и сборы на 8 шаге = 20% * Прибыль налогообложения = 20% * 70747973,57 =</v>
      </c>
      <c r="C298" s="201">
        <f t="shared" si="56"/>
        <v>14598889.714270199</v>
      </c>
    </row>
    <row r="299" spans="1:3" x14ac:dyDescent="0.25">
      <c r="A299" s="212"/>
      <c r="B299" s="219" t="str">
        <f>"Налоги и сборы на "&amp;G74&amp;" шаге = 20% * Прибыль налогообложения = 20% * "&amp;ROUND(C286,2)&amp;" ="</f>
        <v>Налоги и сборы на 9 шаге = 20% * Прибыль налогообложения = 20% * 70747973,57 =</v>
      </c>
      <c r="C299" s="201">
        <f t="shared" si="56"/>
        <v>14598889.714270199</v>
      </c>
    </row>
    <row r="300" spans="1:3" x14ac:dyDescent="0.25">
      <c r="A300" s="212"/>
      <c r="B300" s="219" t="str">
        <f>"Налоги и сборы на "&amp;G75&amp;" шаге = 20% * Прибыль налогообложения = 20% * "&amp;ROUND(C287,2)&amp;" ="</f>
        <v>Налоги и сборы на 10 шаге = 20% * Прибыль налогообложения = 20% * 70747973,57 =</v>
      </c>
      <c r="C300" s="201">
        <f t="shared" si="56"/>
        <v>14598889.714270199</v>
      </c>
    </row>
    <row r="301" spans="1:3" ht="15.75" thickBot="1" x14ac:dyDescent="0.3">
      <c r="A301" s="212"/>
      <c r="B301" s="219"/>
      <c r="C301" s="212"/>
    </row>
    <row r="302" spans="1:3" ht="15.75" thickBot="1" x14ac:dyDescent="0.3">
      <c r="A302" s="212"/>
      <c r="B302" s="220" t="s">
        <v>395</v>
      </c>
      <c r="C302" s="212"/>
    </row>
    <row r="303" spans="1:3" x14ac:dyDescent="0.25">
      <c r="A303" s="212"/>
      <c r="B303" s="219" t="str">
        <f>"Налоги и сборы на "&amp;G65&amp;" шаге = 20% * Прибыль налогообложения = 20% * "&amp;ROUND(C290,2)&amp;" ="</f>
        <v>Налоги и сборы на 0 шаге = 20% * Прибыль налогообложения = 20% * 0 =</v>
      </c>
      <c r="C303" s="201">
        <f>20%*C290</f>
        <v>0</v>
      </c>
    </row>
    <row r="304" spans="1:3" x14ac:dyDescent="0.25">
      <c r="A304" s="212"/>
      <c r="B304" s="219" t="str">
        <f>"Налоги и сборы на "&amp;G66&amp;" шаге = 20% * Прибыль налогообложения = 20% * "&amp;ROUND(C291,2)&amp;" ="</f>
        <v>Налоги и сборы на 1 шаге = 20% * Прибыль налогообложения = 20% * 0 =</v>
      </c>
      <c r="C304" s="201">
        <f t="shared" ref="C304" si="57">20%*C291</f>
        <v>0</v>
      </c>
    </row>
    <row r="305" spans="1:3" x14ac:dyDescent="0.25">
      <c r="A305" s="212"/>
      <c r="B305" s="219" t="str">
        <f>"Налоги и сборы на "&amp;G67&amp;" шаге = 20% * Прибыль налогообложения = 20% * "&amp;ROUND(C292,2)&amp;" ="</f>
        <v>Налоги и сборы на 2 шаге = 20% * Прибыль налогообложения = 20% * 0 =</v>
      </c>
      <c r="C305" s="201">
        <v>0</v>
      </c>
    </row>
    <row r="306" spans="1:3" x14ac:dyDescent="0.25">
      <c r="A306" s="212"/>
      <c r="B306" s="219" t="str">
        <f>"Налоги и сборы на "&amp;G68&amp;" шаге = 20% * Прибыль налогообложения = 20% * "&amp;ROUND(C293,2)&amp;" ="</f>
        <v>Налоги и сборы на 3 шаге = 20% * Прибыль налогообложения = 20% * 959461,71 =</v>
      </c>
      <c r="C306" s="201">
        <v>0</v>
      </c>
    </row>
    <row r="307" spans="1:3" x14ac:dyDescent="0.25">
      <c r="A307" s="212"/>
      <c r="B307" s="219" t="str">
        <f>"Налоги и сборы на "&amp;G69&amp;" шаге = 20% * Прибыль налогообложения = 20% * "&amp;ROUND(C294,2)&amp;" ="</f>
        <v>Налоги и сборы на 4 шаге = 20% * Прибыль налогообложения = 20% * 7779175,71 =</v>
      </c>
      <c r="C307" s="201">
        <f t="shared" ref="C307:C313" si="58">20%*C281</f>
        <v>7464669.2142702043</v>
      </c>
    </row>
    <row r="308" spans="1:3" x14ac:dyDescent="0.25">
      <c r="A308" s="212"/>
      <c r="B308" s="219" t="str">
        <f>"Налоги и сборы на "&amp;G70&amp;" шаге = 20% * Прибыль налогообложения = 20% * "&amp;ROUND(C295,2)&amp;" ="</f>
        <v>Налоги и сборы на 5 шаге = 20% * Прибыль налогообложения = 20% * 12325651,71 =</v>
      </c>
      <c r="C308" s="201">
        <f t="shared" si="58"/>
        <v>11921286.214270193</v>
      </c>
    </row>
    <row r="309" spans="1:3" x14ac:dyDescent="0.25">
      <c r="A309" s="212"/>
      <c r="B309" s="219" t="str">
        <f>"Налоги и сборы на "&amp;G71&amp;" шаге = 20% * Прибыль налогообложения = 20% * "&amp;ROUND(C296,2)&amp;" ="</f>
        <v>Налоги и сборы на 6 шаге = 20% * Прибыль налогообложения = 20% * 14598889,71 =</v>
      </c>
      <c r="C309" s="201">
        <f t="shared" si="58"/>
        <v>14149594.714270199</v>
      </c>
    </row>
    <row r="310" spans="1:3" x14ac:dyDescent="0.25">
      <c r="A310" s="212"/>
      <c r="B310" s="219" t="str">
        <f>"Налоги и сборы на "&amp;G72&amp;" шаге = 20% * Прибыль налогообложения = 20% * "&amp;ROUND(C297,2)&amp;" ="</f>
        <v>Налоги и сборы на 7 шаге = 20% * Прибыль налогообложения = 20% * 14598889,71 =</v>
      </c>
      <c r="C310" s="201">
        <f t="shared" si="58"/>
        <v>14149594.714270199</v>
      </c>
    </row>
    <row r="311" spans="1:3" x14ac:dyDescent="0.25">
      <c r="A311" s="212"/>
      <c r="B311" s="219" t="str">
        <f>"Налоги и сборы на "&amp;G73&amp;" шаге = 20% * Прибыль налогообложения = 20% * "&amp;ROUND(C298,2)&amp;" ="</f>
        <v>Налоги и сборы на 8 шаге = 20% * Прибыль налогообложения = 20% * 14598889,71 =</v>
      </c>
      <c r="C311" s="201">
        <f t="shared" si="58"/>
        <v>14149594.714270199</v>
      </c>
    </row>
    <row r="312" spans="1:3" x14ac:dyDescent="0.25">
      <c r="A312" s="212"/>
      <c r="B312" s="219" t="str">
        <f>"Налоги и сборы на "&amp;G74&amp;" шаге = 20% * Прибыль налогообложения = 20% * "&amp;ROUND(C299,2)&amp;" ="</f>
        <v>Налоги и сборы на 9 шаге = 20% * Прибыль налогообложения = 20% * 14598889,71 =</v>
      </c>
      <c r="C312" s="201">
        <f t="shared" si="58"/>
        <v>14149594.714270199</v>
      </c>
    </row>
    <row r="313" spans="1:3" x14ac:dyDescent="0.25">
      <c r="A313" s="212"/>
      <c r="B313" s="219" t="str">
        <f>"Налоги и сборы на "&amp;G75&amp;" шаге = 20% * Прибыль налогообложения = 20% * "&amp;ROUND(C300,2)&amp;" ="</f>
        <v>Налоги и сборы на 10 шаге = 20% * Прибыль налогообложения = 20% * 14598889,71 =</v>
      </c>
      <c r="C313" s="201">
        <f t="shared" si="58"/>
        <v>14149594.714270199</v>
      </c>
    </row>
    <row r="314" spans="1:3" ht="15.75" thickBot="1" x14ac:dyDescent="0.3">
      <c r="A314" s="212"/>
      <c r="B314" s="219"/>
      <c r="C314" s="212"/>
    </row>
    <row r="315" spans="1:3" ht="15.75" thickBot="1" x14ac:dyDescent="0.3">
      <c r="A315" s="212"/>
      <c r="B315" s="221" t="s">
        <v>394</v>
      </c>
      <c r="C315" s="212"/>
    </row>
    <row r="316" spans="1:3" x14ac:dyDescent="0.25">
      <c r="A316" s="212"/>
      <c r="B316" s="219" t="str">
        <f>"Чистая прибыль на "&amp;G65&amp;" шаге = Прибыль налогооблажения - Налоги и сборы = "&amp;ROUND(C264,2)&amp;" - "&amp;ROUND(C290,2)&amp;" = "</f>
        <v xml:space="preserve">Чистая прибыль на 0 шаге = Прибыль налогооблажения - Налоги и сборы = 0 - 0 = </v>
      </c>
      <c r="C316" s="201">
        <f>C264-C290</f>
        <v>0</v>
      </c>
    </row>
    <row r="317" spans="1:3" x14ac:dyDescent="0.25">
      <c r="A317" s="212"/>
      <c r="B317" s="219" t="str">
        <f>"Чистая прибыль на "&amp;G66&amp;" шаге = Прибыль налогооблажения - Налоги и сборы = "&amp;ROUND(C265,2)&amp;" - "&amp;ROUND(C291,2)&amp;" = "</f>
        <v xml:space="preserve">Чистая прибыль на 1 шаге = Прибыль налогооблажения - Налоги и сборы = 0 - 0 = </v>
      </c>
      <c r="C317" s="201">
        <f t="shared" ref="C317:C326" si="59">C265-C291</f>
        <v>0</v>
      </c>
    </row>
    <row r="318" spans="1:3" x14ac:dyDescent="0.25">
      <c r="A318" s="212"/>
      <c r="B318" s="219" t="str">
        <f>"Чистая прибыль на "&amp;G67&amp;" шаге = Прибыль налогооблажения - Налоги и сборы = "&amp;ROUND(C266,2)&amp;" - "&amp;ROUND(C292,2)&amp;" = "</f>
        <v xml:space="preserve">Чистая прибыль на 2 шаге = Прибыль налогооблажения - Налоги и сборы = -17935071,43 - 0 = </v>
      </c>
      <c r="C318" s="201">
        <f t="shared" si="59"/>
        <v>-17935071.428648986</v>
      </c>
    </row>
    <row r="319" spans="1:3" x14ac:dyDescent="0.25">
      <c r="A319" s="212"/>
      <c r="B319" s="219" t="str">
        <f>"Чистая прибыль на "&amp;G68&amp;" шаге = Прибыль налогооблажения - Налоги и сборы = "&amp;ROUND(C267,2)&amp;" - "&amp;ROUND(C293,2)&amp;" = "</f>
        <v xml:space="preserve">Чистая прибыль на 3 шаге = Прибыль налогооблажения - Налоги и сборы = 4797308,57 - 959461,71 = </v>
      </c>
      <c r="C319" s="201">
        <f t="shared" si="59"/>
        <v>3837846.8570808051</v>
      </c>
    </row>
    <row r="320" spans="1:3" x14ac:dyDescent="0.25">
      <c r="A320" s="212"/>
      <c r="B320" s="219" t="str">
        <f>"Чистая прибыль на "&amp;G69&amp;" шаге = Прибыль налогооблажения - Налоги и сборы = "&amp;ROUND(C268,2)&amp;" - "&amp;ROUND(C294,2)&amp;" = "</f>
        <v xml:space="preserve">Чистая прибыль на 4 шаге = Прибыль налогооблажения - Налоги и сборы = 38895878,57 - 7779175,71 = </v>
      </c>
      <c r="C320" s="201">
        <f t="shared" si="59"/>
        <v>31116702.857080817</v>
      </c>
    </row>
    <row r="321" spans="1:3" x14ac:dyDescent="0.25">
      <c r="A321" s="212"/>
      <c r="B321" s="219" t="str">
        <f>"Чистая прибыль на "&amp;G70&amp;" шаге = Прибыль налогооблажения - Налоги и сборы = "&amp;ROUND(C269,2)&amp;" - "&amp;ROUND(C295,2)&amp;" = "</f>
        <v xml:space="preserve">Чистая прибыль на 5 шаге = Прибыль налогооблажения - Налоги и сборы = 61628258,57 - 12325651,71 = </v>
      </c>
      <c r="C321" s="201">
        <f t="shared" si="59"/>
        <v>49302606.857080773</v>
      </c>
    </row>
    <row r="322" spans="1:3" x14ac:dyDescent="0.25">
      <c r="A322" s="212"/>
      <c r="B322" s="219" t="str">
        <f>"Чистая прибыль на "&amp;G71&amp;" шаге = Прибыль налогооблажения - Налоги и сборы = "&amp;ROUND(C270,2)&amp;" - "&amp;ROUND(C296,2)&amp;" = "</f>
        <v xml:space="preserve">Чистая прибыль на 6 шаге = Прибыль налогооблажения - Налоги и сборы = 72994448,57 - 14598889,71 = </v>
      </c>
      <c r="C322" s="201">
        <f t="shared" si="59"/>
        <v>58395558.857080795</v>
      </c>
    </row>
    <row r="323" spans="1:3" x14ac:dyDescent="0.25">
      <c r="A323" s="212"/>
      <c r="B323" s="219" t="str">
        <f>"Чистая прибыль на "&amp;G72&amp;" шаге = Прибыль налогооблажения - Налоги и сборы = "&amp;ROUND(C271,2)&amp;" - "&amp;ROUND(C297,2)&amp;" = "</f>
        <v xml:space="preserve">Чистая прибыль на 7 шаге = Прибыль налогооблажения - Налоги и сборы = 72994448,57 - 14598889,71 = </v>
      </c>
      <c r="C323" s="201">
        <f t="shared" si="59"/>
        <v>58395558.857080795</v>
      </c>
    </row>
    <row r="324" spans="1:3" x14ac:dyDescent="0.25">
      <c r="A324" s="212"/>
      <c r="B324" s="219" t="str">
        <f>"Чистая прибыль на "&amp;G73&amp;" шаге = Прибыль налогооблажения - Налоги и сборы = "&amp;ROUND(C272,2)&amp;" - "&amp;ROUND(C298,2)&amp;" = "</f>
        <v xml:space="preserve">Чистая прибыль на 8 шаге = Прибыль налогооблажения - Налоги и сборы = 72994448,57 - 14598889,71 = </v>
      </c>
      <c r="C324" s="201">
        <f t="shared" si="59"/>
        <v>58395558.857080795</v>
      </c>
    </row>
    <row r="325" spans="1:3" x14ac:dyDescent="0.25">
      <c r="A325" s="212"/>
      <c r="B325" s="219" t="str">
        <f>"Чистая прибыль на "&amp;G74&amp;" шаге = Прибыль налогооблажения - Налоги и сборы = "&amp;ROUND(C273,2)&amp;" - "&amp;ROUND(C299,2)&amp;" = "</f>
        <v xml:space="preserve">Чистая прибыль на 9 шаге = Прибыль налогооблажения - Налоги и сборы = 72994448,57 - 14598889,71 = </v>
      </c>
      <c r="C325" s="201">
        <f t="shared" si="59"/>
        <v>58395558.857080795</v>
      </c>
    </row>
    <row r="326" spans="1:3" x14ac:dyDescent="0.25">
      <c r="A326" s="212"/>
      <c r="B326" s="219" t="str">
        <f>"Чистая прибыль на "&amp;G75&amp;" шаге = Прибыль налогооблажения - Налоги и сборы = "&amp;ROUND(C274,2)&amp;" - "&amp;ROUND(C300,2)&amp;" = "</f>
        <v xml:space="preserve">Чистая прибыль на 10 шаге = Прибыль налогооблажения - Налоги и сборы = 72994448,57 - 14598889,71 = </v>
      </c>
      <c r="C326" s="201">
        <f t="shared" si="59"/>
        <v>58395558.857080795</v>
      </c>
    </row>
    <row r="327" spans="1:3" ht="15.75" thickBot="1" x14ac:dyDescent="0.3">
      <c r="A327" s="212"/>
      <c r="B327" s="219"/>
      <c r="C327" s="212"/>
    </row>
    <row r="328" spans="1:3" ht="15.75" thickBot="1" x14ac:dyDescent="0.3">
      <c r="A328" s="212"/>
      <c r="B328" s="220" t="s">
        <v>395</v>
      </c>
      <c r="C328" s="212"/>
    </row>
    <row r="329" spans="1:3" x14ac:dyDescent="0.25">
      <c r="A329" s="212"/>
      <c r="B329" s="219" t="str">
        <f>"Чистая прибыль на "&amp;G65&amp;" шаге = Прибыль налогооблажения - Налоги и сборы = "&amp;ROUND(C277,2)&amp;" - "&amp;ROUND(C303,2)&amp;" = "</f>
        <v xml:space="preserve">Чистая прибыль на 0 шаге = Прибыль налогооблажения - Налоги и сборы = 0 - 0 = </v>
      </c>
      <c r="C329" s="201">
        <f>C277-C303</f>
        <v>0</v>
      </c>
    </row>
    <row r="330" spans="1:3" x14ac:dyDescent="0.25">
      <c r="A330" s="212"/>
      <c r="B330" s="219" t="str">
        <f>"Чистая прибыль на "&amp;G66&amp;" шаге = Прибыль налогооблажения - Налоги и сборы = "&amp;ROUND(C278,2)&amp;" - "&amp;ROUND(C304,2)&amp;" = "</f>
        <v xml:space="preserve">Чистая прибыль на 1 шаге = Прибыль налогооблажения - Налоги и сборы = 0 - 0 = </v>
      </c>
      <c r="C330" s="201">
        <f t="shared" ref="C330:C339" si="60">C278-C304</f>
        <v>0</v>
      </c>
    </row>
    <row r="331" spans="1:3" x14ac:dyDescent="0.25">
      <c r="A331" s="212"/>
      <c r="B331" s="219" t="str">
        <f>"Чистая прибыль на "&amp;G67&amp;" шаге = Прибыль налогооблажения - Налоги и сборы = "&amp;ROUND(C279,2)&amp;" - "&amp;ROUND(C305,2)&amp;" = "</f>
        <v xml:space="preserve">Чистая прибыль на 2 шаге = Прибыль налогооблажения - Налоги и сборы = -18384366,43 - 0 = </v>
      </c>
      <c r="C331" s="201">
        <f t="shared" si="60"/>
        <v>-18384366.428648986</v>
      </c>
    </row>
    <row r="332" spans="1:3" x14ac:dyDescent="0.25">
      <c r="A332" s="212"/>
      <c r="B332" s="219" t="str">
        <f>"Чистая прибыль на "&amp;G68&amp;" шаге = Прибыль налогооблажения - Налоги и сборы = "&amp;ROUND(C280,2)&amp;" - "&amp;ROUND(C306,2)&amp;" = "</f>
        <v xml:space="preserve">Чистая прибыль на 3 шаге = Прибыль налогооблажения - Налоги и сборы = 3898718,57 - 0 = </v>
      </c>
      <c r="C332" s="201">
        <f t="shared" si="60"/>
        <v>3898718.5713510066</v>
      </c>
    </row>
    <row r="333" spans="1:3" x14ac:dyDescent="0.25">
      <c r="A333" s="212"/>
      <c r="B333" s="219" t="str">
        <f>"Чистая прибыль на "&amp;G69&amp;" шаге = Прибыль налогооблажения - Налоги и сборы = "&amp;ROUND(C281,2)&amp;" - "&amp;ROUND(C307,2)&amp;" = "</f>
        <v xml:space="preserve">Чистая прибыль на 4 шаге = Прибыль налогооблажения - Налоги и сборы = 37323346,07 - 7464669,21 = </v>
      </c>
      <c r="C333" s="201">
        <f t="shared" si="60"/>
        <v>29858676.857080817</v>
      </c>
    </row>
    <row r="334" spans="1:3" x14ac:dyDescent="0.25">
      <c r="A334" s="212"/>
      <c r="B334" s="219" t="str">
        <f>"Чистая прибыль на "&amp;G70&amp;" шаге = Прибыль налогооблажения - Налоги и сборы = "&amp;ROUND(C282,2)&amp;" - "&amp;ROUND(C308,2)&amp;" = "</f>
        <v xml:space="preserve">Чистая прибыль на 5 шаге = Прибыль налогооблажения - Налоги и сборы = 59606431,07 - 11921286,21 = </v>
      </c>
      <c r="C334" s="201">
        <f t="shared" si="60"/>
        <v>47685144.857080773</v>
      </c>
    </row>
    <row r="335" spans="1:3" x14ac:dyDescent="0.25">
      <c r="A335" s="212"/>
      <c r="B335" s="219" t="str">
        <f>"Чистая прибыль на "&amp;G71&amp;" шаге = Прибыль налогооблажения - Налоги и сборы = "&amp;ROUND(C283,2)&amp;" - "&amp;ROUND(C309,2)&amp;" = "</f>
        <v xml:space="preserve">Чистая прибыль на 6 шаге = Прибыль налогооблажения - Налоги и сборы = 70747973,57 - 14149594,71 = </v>
      </c>
      <c r="C335" s="201">
        <f t="shared" si="60"/>
        <v>56598378.857080795</v>
      </c>
    </row>
    <row r="336" spans="1:3" x14ac:dyDescent="0.25">
      <c r="A336" s="212"/>
      <c r="B336" s="219" t="str">
        <f>"Чистая прибыль на "&amp;G72&amp;" шаге = Прибыль налогооблажения - Налоги и сборы = "&amp;ROUND(C284,2)&amp;" - "&amp;ROUND(C310,2)&amp;" = "</f>
        <v xml:space="preserve">Чистая прибыль на 7 шаге = Прибыль налогооблажения - Налоги и сборы = 70747973,57 - 14149594,71 = </v>
      </c>
      <c r="C336" s="201">
        <f t="shared" si="60"/>
        <v>56598378.857080795</v>
      </c>
    </row>
    <row r="337" spans="1:3" x14ac:dyDescent="0.25">
      <c r="A337" s="212"/>
      <c r="B337" s="219" t="str">
        <f>"Чистая прибыль на "&amp;G73&amp;" шаге = Прибыль налогооблажения - Налоги и сборы = "&amp;ROUND(C285,2)&amp;" - "&amp;ROUND(C311,2)&amp;" = "</f>
        <v xml:space="preserve">Чистая прибыль на 8 шаге = Прибыль налогооблажения - Налоги и сборы = 70747973,57 - 14149594,71 = </v>
      </c>
      <c r="C337" s="201">
        <f t="shared" si="60"/>
        <v>56598378.857080795</v>
      </c>
    </row>
    <row r="338" spans="1:3" x14ac:dyDescent="0.25">
      <c r="A338" s="212"/>
      <c r="B338" s="219" t="str">
        <f>"Чистая прибыль на "&amp;G74&amp;" шаге = Прибыль налогооблажения - Налоги и сборы = "&amp;ROUND(C286,2)&amp;" - "&amp;ROUND(C312,2)&amp;" = "</f>
        <v xml:space="preserve">Чистая прибыль на 9 шаге = Прибыль налогооблажения - Налоги и сборы = 70747973,57 - 14149594,71 = </v>
      </c>
      <c r="C338" s="201">
        <f t="shared" si="60"/>
        <v>56598378.857080795</v>
      </c>
    </row>
    <row r="339" spans="1:3" x14ac:dyDescent="0.25">
      <c r="A339" s="212"/>
      <c r="B339" s="219" t="str">
        <f>"Чистая прибыль на "&amp;G75&amp;" шаге = Прибыль налогооблажения - Налоги и сборы = "&amp;ROUND(C287,2)&amp;" - "&amp;ROUND(C313,2)&amp;" = "</f>
        <v xml:space="preserve">Чистая прибыль на 10 шаге = Прибыль налогооблажения - Налоги и сборы = 70747973,57 - 14149594,71 = </v>
      </c>
      <c r="C339" s="201">
        <f t="shared" si="60"/>
        <v>56598378.857080795</v>
      </c>
    </row>
    <row r="340" spans="1:3" ht="15.75" thickBot="1" x14ac:dyDescent="0.3">
      <c r="A340" s="212"/>
      <c r="B340" s="219"/>
      <c r="C340" s="212"/>
    </row>
    <row r="341" spans="1:3" ht="15.75" thickBot="1" x14ac:dyDescent="0.3">
      <c r="A341" s="212"/>
      <c r="B341" s="221" t="s">
        <v>394</v>
      </c>
      <c r="C341" s="212"/>
    </row>
    <row r="342" spans="1:3" x14ac:dyDescent="0.25">
      <c r="A342" s="212"/>
      <c r="B342" s="219" t="str">
        <f>"Денежный поток от ОД на "&amp;G65&amp;" шаге = Чистая прибыль + Амортизация = "&amp;C329&amp;" + 0 = "</f>
        <v xml:space="preserve">Денежный поток от ОД на 0 шаге = Чистая прибыль + Амортизация = 0 + 0 = </v>
      </c>
      <c r="C342" s="201">
        <v>0</v>
      </c>
    </row>
    <row r="343" spans="1:3" x14ac:dyDescent="0.25">
      <c r="A343" s="212"/>
      <c r="B343" s="219" t="str">
        <f>"Денежный поток от ОД на "&amp;G66&amp;" шаге = Чистая прибыль + Амортизация = "&amp;C330&amp;" + 0 = "</f>
        <v xml:space="preserve">Денежный поток от ОД на 1 шаге = Чистая прибыль + Амортизация = 0 + 0 = </v>
      </c>
      <c r="C343" s="201">
        <v>0</v>
      </c>
    </row>
    <row r="344" spans="1:3" x14ac:dyDescent="0.25">
      <c r="A344" s="212"/>
      <c r="B344" s="219" t="str">
        <f>"Денежный поток от ОД на "&amp;G67&amp;" шаге = Чистая прибыль + Амортизация = "&amp;ROUND(C331,2)&amp;" + "&amp;F$24&amp;" = "</f>
        <v xml:space="preserve">Денежный поток от ОД на 2 шаге = Чистая прибыль + Амортизация = -18384366,43 + 1866646,8 = </v>
      </c>
      <c r="C344" s="201">
        <f>C318+F$24</f>
        <v>-16068424.628648985</v>
      </c>
    </row>
    <row r="345" spans="1:3" x14ac:dyDescent="0.25">
      <c r="A345" s="212"/>
      <c r="B345" s="219" t="str">
        <f>"Денежный поток от ОД на "&amp;G68&amp;" шаге = Чистая прибыль + Амортизация = "&amp;ROUND(C332,2)&amp;" + "&amp;F$24&amp;" = "</f>
        <v xml:space="preserve">Денежный поток от ОД на 3 шаге = Чистая прибыль + Амортизация = 3898718,57 + 1866646,8 = </v>
      </c>
      <c r="C345" s="201">
        <f t="shared" ref="C345:C352" si="61">C319+F$24</f>
        <v>5704493.6570808049</v>
      </c>
    </row>
    <row r="346" spans="1:3" x14ac:dyDescent="0.25">
      <c r="A346" s="212"/>
      <c r="B346" s="219" t="str">
        <f>"Денежный поток от ОД на "&amp;G69&amp;" шаге = Чистая прибыль + Амортизация = "&amp;ROUND(C333,2)&amp;" + "&amp;F$24&amp;" = "</f>
        <v xml:space="preserve">Денежный поток от ОД на 4 шаге = Чистая прибыль + Амортизация = 29858676,86 + 1866646,8 = </v>
      </c>
      <c r="C346" s="201">
        <f t="shared" si="61"/>
        <v>32983349.657080818</v>
      </c>
    </row>
    <row r="347" spans="1:3" x14ac:dyDescent="0.25">
      <c r="A347" s="212"/>
      <c r="B347" s="219" t="str">
        <f>"Денежный поток от ОД на "&amp;G70&amp;" шаге = Чистая прибыль + Амортизация = "&amp;ROUND(C334,2)&amp;" + "&amp;F$24&amp;" = "</f>
        <v xml:space="preserve">Денежный поток от ОД на 5 шаге = Чистая прибыль + Амортизация = 47685144,86 + 1866646,8 = </v>
      </c>
      <c r="C347" s="201">
        <f t="shared" si="61"/>
        <v>51169253.65708077</v>
      </c>
    </row>
    <row r="348" spans="1:3" x14ac:dyDescent="0.25">
      <c r="A348" s="212"/>
      <c r="B348" s="219" t="str">
        <f>"Денежный поток от ОД на "&amp;G71&amp;" шаге = Чистая прибыль + Амортизация = "&amp;ROUND(C335,2)&amp;" + "&amp;F$24&amp;" = "</f>
        <v xml:space="preserve">Денежный поток от ОД на 6 шаге = Чистая прибыль + Амортизация = 56598378,86 + 1866646,8 = </v>
      </c>
      <c r="C348" s="201">
        <f t="shared" si="61"/>
        <v>60262205.657080792</v>
      </c>
    </row>
    <row r="349" spans="1:3" x14ac:dyDescent="0.25">
      <c r="A349" s="212"/>
      <c r="B349" s="219" t="str">
        <f>"Денежный поток от ОД на "&amp;G72&amp;" шаге = Чистая прибыль + Амортизация = "&amp;ROUND(C336,2)&amp;" + "&amp;F$24&amp;" = "</f>
        <v xml:space="preserve">Денежный поток от ОД на 7 шаге = Чистая прибыль + Амортизация = 56598378,86 + 1866646,8 = </v>
      </c>
      <c r="C349" s="201">
        <f t="shared" si="61"/>
        <v>60262205.657080792</v>
      </c>
    </row>
    <row r="350" spans="1:3" x14ac:dyDescent="0.25">
      <c r="A350" s="212"/>
      <c r="B350" s="219" t="str">
        <f>"Денежный поток от ОД на "&amp;G73&amp;" шаге = Чистая прибыль + Амортизация = "&amp;ROUND(C337,2)&amp;" + "&amp;F$24&amp;" = "</f>
        <v xml:space="preserve">Денежный поток от ОД на 8 шаге = Чистая прибыль + Амортизация = 56598378,86 + 1866646,8 = </v>
      </c>
      <c r="C350" s="201">
        <f t="shared" si="61"/>
        <v>60262205.657080792</v>
      </c>
    </row>
    <row r="351" spans="1:3" x14ac:dyDescent="0.25">
      <c r="A351" s="212"/>
      <c r="B351" s="219" t="str">
        <f>"Денежный поток от ОД на "&amp;G74&amp;" шаге = Чистая прибыль + Амортизация = "&amp;ROUND(C338,2)&amp;" + "&amp;F$24&amp;" = "</f>
        <v xml:space="preserve">Денежный поток от ОД на 9 шаге = Чистая прибыль + Амортизация = 56598378,86 + 1866646,8 = </v>
      </c>
      <c r="C351" s="201">
        <f t="shared" si="61"/>
        <v>60262205.657080792</v>
      </c>
    </row>
    <row r="352" spans="1:3" x14ac:dyDescent="0.25">
      <c r="A352" s="212"/>
      <c r="B352" s="219" t="str">
        <f>"Денежный поток от ОД на "&amp;G75&amp;" шаге = Чистая прибыль + Амортизация = "&amp;ROUND(C339,2)&amp;" + "&amp;F$24&amp;" = "</f>
        <v xml:space="preserve">Денежный поток от ОД на 10 шаге = Чистая прибыль + Амортизация = 56598378,86 + 1866646,8 = </v>
      </c>
      <c r="C352" s="201">
        <f t="shared" si="61"/>
        <v>60262205.657080792</v>
      </c>
    </row>
    <row r="353" spans="1:3" ht="15.75" thickBot="1" x14ac:dyDescent="0.3">
      <c r="A353" s="212"/>
      <c r="B353" s="219"/>
      <c r="C353" s="212"/>
    </row>
    <row r="354" spans="1:3" ht="15.75" thickBot="1" x14ac:dyDescent="0.3">
      <c r="A354" s="212"/>
      <c r="B354" s="220" t="s">
        <v>395</v>
      </c>
      <c r="C354" s="212"/>
    </row>
    <row r="355" spans="1:3" x14ac:dyDescent="0.25">
      <c r="A355" s="212"/>
      <c r="B355" s="219" t="str">
        <f>"Денежный поток от ОД на "&amp;G65&amp;" шаге = Чистая прибыль + Амортизация = "&amp;C342&amp;" + 0 = "</f>
        <v xml:space="preserve">Денежный поток от ОД на 0 шаге = Чистая прибыль + Амортизация = 0 + 0 = </v>
      </c>
      <c r="C355" s="201">
        <v>0</v>
      </c>
    </row>
    <row r="356" spans="1:3" x14ac:dyDescent="0.25">
      <c r="A356" s="212"/>
      <c r="B356" s="219" t="str">
        <f>"Денежный поток от ОД на "&amp;G66&amp;" шаге = Чистая прибыль + Амортизация = "&amp;C343&amp;" + 0 = "</f>
        <v xml:space="preserve">Денежный поток от ОД на 1 шаге = Чистая прибыль + Амортизация = 0 + 0 = </v>
      </c>
      <c r="C356" s="201">
        <v>0</v>
      </c>
    </row>
    <row r="357" spans="1:3" x14ac:dyDescent="0.25">
      <c r="A357" s="212"/>
      <c r="B357" s="219" t="str">
        <f>"Денежный поток от ОД на "&amp;G67&amp;" шаге = Чистая прибыль + Амортизация = "&amp;C344&amp;" + 0 = "</f>
        <v xml:space="preserve">Денежный поток от ОД на 2 шаге = Чистая прибыль + Амортизация = -16068424,628649 + 0 = </v>
      </c>
      <c r="C357" s="201">
        <f>C331+F$24</f>
        <v>-16517719.628648985</v>
      </c>
    </row>
    <row r="358" spans="1:3" x14ac:dyDescent="0.25">
      <c r="A358" s="212"/>
      <c r="B358" s="219" t="str">
        <f>"Денежный поток от ОД на "&amp;G68&amp;" шаге = Чистая прибыль + Амортизация = "&amp;C345&amp;" + 0 = "</f>
        <v xml:space="preserve">Денежный поток от ОД на 3 шаге = Чистая прибыль + Амортизация = 5704493,6570808 + 0 = </v>
      </c>
      <c r="C358" s="201">
        <f t="shared" ref="C358:C365" si="62">C332+F$24</f>
        <v>5765365.3713510064</v>
      </c>
    </row>
    <row r="359" spans="1:3" x14ac:dyDescent="0.25">
      <c r="A359" s="212"/>
      <c r="B359" s="219" t="str">
        <f>"Денежный поток от ОД на "&amp;G69&amp;" шаге = Чистая прибыль + Амортизация = "&amp;C346&amp;" + 0 = "</f>
        <v xml:space="preserve">Денежный поток от ОД на 4 шаге = Чистая прибыль + Амортизация = 32983349,6570808 + 0 = </v>
      </c>
      <c r="C359" s="201">
        <f t="shared" si="62"/>
        <v>31725323.657080818</v>
      </c>
    </row>
    <row r="360" spans="1:3" x14ac:dyDescent="0.25">
      <c r="A360" s="212"/>
      <c r="B360" s="219" t="str">
        <f>"Денежный поток от ОД на "&amp;G70&amp;" шаге = Чистая прибыль + Амортизация = "&amp;C347&amp;" + 0 = "</f>
        <v xml:space="preserve">Денежный поток от ОД на 5 шаге = Чистая прибыль + Амортизация = 51169253,6570808 + 0 = </v>
      </c>
      <c r="C360" s="201">
        <f t="shared" si="62"/>
        <v>49551791.65708077</v>
      </c>
    </row>
    <row r="361" spans="1:3" x14ac:dyDescent="0.25">
      <c r="A361" s="212"/>
      <c r="B361" s="219" t="str">
        <f>"Денежный поток от ОД на "&amp;G71&amp;" шаге = Чистая прибыль + Амортизация = "&amp;C348&amp;" + 0 = "</f>
        <v xml:space="preserve">Денежный поток от ОД на 6 шаге = Чистая прибыль + Амортизация = 60262205,6570808 + 0 = </v>
      </c>
      <c r="C361" s="201">
        <f t="shared" si="62"/>
        <v>58465025.657080792</v>
      </c>
    </row>
    <row r="362" spans="1:3" x14ac:dyDescent="0.25">
      <c r="A362" s="212"/>
      <c r="B362" s="219" t="str">
        <f>"Денежный поток от ОД на "&amp;G72&amp;" шаге = Чистая прибыль + Амортизация = "&amp;C349&amp;" + 0 = "</f>
        <v xml:space="preserve">Денежный поток от ОД на 7 шаге = Чистая прибыль + Амортизация = 60262205,6570808 + 0 = </v>
      </c>
      <c r="C362" s="201">
        <f t="shared" si="62"/>
        <v>58465025.657080792</v>
      </c>
    </row>
    <row r="363" spans="1:3" x14ac:dyDescent="0.25">
      <c r="A363" s="212"/>
      <c r="B363" s="219" t="str">
        <f>"Денежный поток от ОД на "&amp;G73&amp;" шаге = Чистая прибыль + Амортизация = "&amp;C350&amp;" + 0 = "</f>
        <v xml:space="preserve">Денежный поток от ОД на 8 шаге = Чистая прибыль + Амортизация = 60262205,6570808 + 0 = </v>
      </c>
      <c r="C363" s="201">
        <f t="shared" si="62"/>
        <v>58465025.657080792</v>
      </c>
    </row>
    <row r="364" spans="1:3" x14ac:dyDescent="0.25">
      <c r="A364" s="212"/>
      <c r="B364" s="219" t="str">
        <f>"Денежный поток от ОД на "&amp;G74&amp;" шаге = Чистая прибыль + Амортизация = "&amp;C351&amp;" + 0 = "</f>
        <v xml:space="preserve">Денежный поток от ОД на 9 шаге = Чистая прибыль + Амортизация = 60262205,6570808 + 0 = </v>
      </c>
      <c r="C364" s="201">
        <f t="shared" si="62"/>
        <v>58465025.657080792</v>
      </c>
    </row>
    <row r="365" spans="1:3" x14ac:dyDescent="0.25">
      <c r="A365" s="212"/>
      <c r="B365" s="219" t="str">
        <f>"Денежный поток от ОД на "&amp;G75&amp;" шаге = Чистая прибыль + Амортизация = "&amp;C352&amp;" + 0 = "</f>
        <v xml:space="preserve">Денежный поток от ОД на 10 шаге = Чистая прибыль + Амортизация = 60262205,6570808 + 0 = </v>
      </c>
      <c r="C365" s="201">
        <f t="shared" si="62"/>
        <v>58465025.657080792</v>
      </c>
    </row>
    <row r="366" spans="1:3" ht="15.75" thickBot="1" x14ac:dyDescent="0.3">
      <c r="A366" s="212"/>
      <c r="B366" s="219"/>
      <c r="C366" s="212"/>
    </row>
    <row r="367" spans="1:3" ht="15.75" thickBot="1" x14ac:dyDescent="0.3">
      <c r="A367" s="212"/>
      <c r="B367" s="221" t="s">
        <v>394</v>
      </c>
      <c r="C367" s="212"/>
    </row>
    <row r="368" spans="1:3" x14ac:dyDescent="0.25">
      <c r="A368" s="212"/>
      <c r="B368" s="219" t="str">
        <f>"ДП проекта на "&amp;G65&amp;" шаге = "&amp;B$32&amp;" + "&amp;B$28&amp;" = "&amp;C342&amp;" + "&amp;D$32&amp;" ="</f>
        <v>ДП проекта на 0 шаге = денежный поток (ДП) от ИД + денежный поток от ОД = 0 + -87599403 =</v>
      </c>
      <c r="C368" s="201">
        <f>D$30</f>
        <v>-87599403</v>
      </c>
    </row>
    <row r="369" spans="1:3" x14ac:dyDescent="0.25">
      <c r="A369" s="212"/>
      <c r="B369" s="219" t="str">
        <f>"ДП проекта на "&amp;G66&amp;" шаге = "&amp;B$32&amp;" + "&amp;B$28&amp;" = "&amp;C343&amp;" + "&amp;E$32&amp;" ="</f>
        <v>ДП проекта на 1 шаге = денежный поток (ДП) от ИД + денежный поток от ОД = 0 + -6396300 =</v>
      </c>
      <c r="C369" s="201">
        <f>E$30</f>
        <v>-6396300</v>
      </c>
    </row>
    <row r="370" spans="1:3" x14ac:dyDescent="0.25">
      <c r="A370" s="212"/>
      <c r="B370" s="219" t="str">
        <f>"ДП проекта на "&amp;G67&amp;" шаге = "&amp;B$32&amp;" + "&amp;B$28&amp;" = "&amp;ROUND(C344,2)&amp;" + "&amp;F$32&amp;" ="</f>
        <v>ДП проекта на 2 шаге = денежный поток (ДП) от ИД + денежный поток от ОД = -16068424,63 + 0 =</v>
      </c>
      <c r="C370" s="201">
        <f>C344</f>
        <v>-16068424.628648985</v>
      </c>
    </row>
    <row r="371" spans="1:3" x14ac:dyDescent="0.25">
      <c r="A371" s="212"/>
      <c r="B371" s="219" t="str">
        <f>"ДП проекта на "&amp;G68&amp;" шаге = "&amp;B$32&amp;" + "&amp;B$28&amp;" = "&amp;ROUND(C345,2)&amp;" + "&amp;F$32&amp;" ="</f>
        <v>ДП проекта на 3 шаге = денежный поток (ДП) от ИД + денежный поток от ОД = 5704493,66 + 0 =</v>
      </c>
      <c r="C371" s="201">
        <f t="shared" ref="C371:C378" si="63">C345</f>
        <v>5704493.6570808049</v>
      </c>
    </row>
    <row r="372" spans="1:3" x14ac:dyDescent="0.25">
      <c r="A372" s="212"/>
      <c r="B372" s="219" t="str">
        <f>"ДП проекта на "&amp;G69&amp;" шаге = "&amp;B$32&amp;" + "&amp;B$28&amp;" = "&amp;ROUND(C346,2)&amp;" + "&amp;F$32&amp;" ="</f>
        <v>ДП проекта на 4 шаге = денежный поток (ДП) от ИД + денежный поток от ОД = 32983349,66 + 0 =</v>
      </c>
      <c r="C372" s="201">
        <f t="shared" si="63"/>
        <v>32983349.657080818</v>
      </c>
    </row>
    <row r="373" spans="1:3" x14ac:dyDescent="0.25">
      <c r="A373" s="212"/>
      <c r="B373" s="219" t="str">
        <f>"ДП проекта на "&amp;G70&amp;" шаге = "&amp;B$32&amp;" + "&amp;B$28&amp;" = "&amp;ROUND(C347,2)&amp;" + "&amp;F$32&amp;" ="</f>
        <v>ДП проекта на 5 шаге = денежный поток (ДП) от ИД + денежный поток от ОД = 51169253,66 + 0 =</v>
      </c>
      <c r="C373" s="201">
        <f t="shared" si="63"/>
        <v>51169253.65708077</v>
      </c>
    </row>
    <row r="374" spans="1:3" x14ac:dyDescent="0.25">
      <c r="A374" s="212"/>
      <c r="B374" s="219" t="str">
        <f>"ДП проекта на "&amp;G71&amp;" шаге = "&amp;B$32&amp;" + "&amp;B$28&amp;" = "&amp;ROUND(C348,2)&amp;" + "&amp;F$32&amp;" ="</f>
        <v>ДП проекта на 6 шаге = денежный поток (ДП) от ИД + денежный поток от ОД = 60262205,66 + 0 =</v>
      </c>
      <c r="C374" s="201">
        <f t="shared" si="63"/>
        <v>60262205.657080792</v>
      </c>
    </row>
    <row r="375" spans="1:3" x14ac:dyDescent="0.25">
      <c r="A375" s="212"/>
      <c r="B375" s="219" t="str">
        <f>"ДП проекта на "&amp;G72&amp;" шаге = "&amp;B$32&amp;" + "&amp;B$28&amp;" = "&amp;ROUND(C349,2)&amp;" + "&amp;F$32&amp;" ="</f>
        <v>ДП проекта на 7 шаге = денежный поток (ДП) от ИД + денежный поток от ОД = 60262205,66 + 0 =</v>
      </c>
      <c r="C375" s="201">
        <f t="shared" si="63"/>
        <v>60262205.657080792</v>
      </c>
    </row>
    <row r="376" spans="1:3" x14ac:dyDescent="0.25">
      <c r="A376" s="212"/>
      <c r="B376" s="219" t="str">
        <f>"ДП проекта на "&amp;G73&amp;" шаге = "&amp;B$32&amp;" + "&amp;B$28&amp;" = "&amp;ROUND(C350,2)&amp;" + "&amp;F$32&amp;" ="</f>
        <v>ДП проекта на 8 шаге = денежный поток (ДП) от ИД + денежный поток от ОД = 60262205,66 + 0 =</v>
      </c>
      <c r="C376" s="201">
        <f t="shared" si="63"/>
        <v>60262205.657080792</v>
      </c>
    </row>
    <row r="377" spans="1:3" x14ac:dyDescent="0.25">
      <c r="A377" s="212"/>
      <c r="B377" s="219" t="str">
        <f>"ДП проекта на "&amp;G74&amp;" шаге = "&amp;B$32&amp;" + "&amp;B$28&amp;" = "&amp;ROUND(C351,2)&amp;" + "&amp;F$32&amp;" ="</f>
        <v>ДП проекта на 9 шаге = денежный поток (ДП) от ИД + денежный поток от ОД = 60262205,66 + 0 =</v>
      </c>
      <c r="C377" s="201">
        <f t="shared" si="63"/>
        <v>60262205.657080792</v>
      </c>
    </row>
    <row r="378" spans="1:3" x14ac:dyDescent="0.25">
      <c r="A378" s="212"/>
      <c r="B378" s="219" t="str">
        <f>"ДП проекта на "&amp;G75&amp;" шаге = "&amp;B$32&amp;" + "&amp;B$28&amp;" = "&amp;ROUND(C352,2)&amp;" + "&amp;F$32&amp;" ="</f>
        <v>ДП проекта на 10 шаге = денежный поток (ДП) от ИД + денежный поток от ОД = 60262205,66 + 0 =</v>
      </c>
      <c r="C378" s="201">
        <f t="shared" si="63"/>
        <v>60262205.657080792</v>
      </c>
    </row>
    <row r="379" spans="1:3" ht="15.75" thickBot="1" x14ac:dyDescent="0.3">
      <c r="A379" s="212"/>
      <c r="B379" s="219"/>
      <c r="C379" s="212"/>
    </row>
    <row r="380" spans="1:3" ht="15.75" thickBot="1" x14ac:dyDescent="0.3">
      <c r="A380" s="212"/>
      <c r="B380" s="220" t="s">
        <v>395</v>
      </c>
      <c r="C380" s="212"/>
    </row>
    <row r="381" spans="1:3" x14ac:dyDescent="0.25">
      <c r="A381" s="212"/>
      <c r="B381" s="219" t="str">
        <f>"ДП проекта на "&amp;G65&amp;" шаге = "&amp;B$32&amp;" + "&amp;B$28&amp;" = "&amp;C355&amp;" + "&amp;D$32&amp;" ="</f>
        <v>ДП проекта на 0 шаге = денежный поток (ДП) от ИД + денежный поток от ОД = 0 + -87599403 =</v>
      </c>
      <c r="C381" s="201">
        <f>D$30</f>
        <v>-87599403</v>
      </c>
    </row>
    <row r="382" spans="1:3" x14ac:dyDescent="0.25">
      <c r="A382" s="212"/>
      <c r="B382" s="219" t="str">
        <f>"ДП проекта на "&amp;G66&amp;" шаге = "&amp;B$32&amp;" + "&amp;B$28&amp;" = "&amp;C356&amp;" + "&amp;D$32&amp;" ="</f>
        <v>ДП проекта на 1 шаге = денежный поток (ДП) от ИД + денежный поток от ОД = 0 + -87599403 =</v>
      </c>
      <c r="C382" s="201">
        <f>E$30</f>
        <v>-6396300</v>
      </c>
    </row>
    <row r="383" spans="1:3" x14ac:dyDescent="0.25">
      <c r="A383" s="212"/>
      <c r="B383" s="219" t="str">
        <f>"ДП проекта на "&amp;G67&amp;" шаге = "&amp;B$32&amp;" + "&amp;B$28&amp;" = "&amp;C357&amp;" + "&amp;D$32&amp;" ="</f>
        <v>ДП проекта на 2 шаге = денежный поток (ДП) от ИД + денежный поток от ОД = -16517719,628649 + -87599403 =</v>
      </c>
      <c r="C383" s="201">
        <f>C357</f>
        <v>-16517719.628648985</v>
      </c>
    </row>
    <row r="384" spans="1:3" x14ac:dyDescent="0.25">
      <c r="A384" s="212"/>
      <c r="B384" s="219" t="str">
        <f>"ДП проекта на "&amp;G68&amp;" шаге = "&amp;B$32&amp;" + "&amp;B$28&amp;" = "&amp;C358&amp;" + "&amp;D$32&amp;" ="</f>
        <v>ДП проекта на 3 шаге = денежный поток (ДП) от ИД + денежный поток от ОД = 5765365,37135101 + -87599403 =</v>
      </c>
      <c r="C384" s="201">
        <f t="shared" ref="C384:C391" si="64">C358</f>
        <v>5765365.3713510064</v>
      </c>
    </row>
    <row r="385" spans="1:3" x14ac:dyDescent="0.25">
      <c r="A385" s="212"/>
      <c r="B385" s="219" t="str">
        <f>"ДП проекта на "&amp;G69&amp;" шаге = "&amp;B$32&amp;" + "&amp;B$28&amp;" = "&amp;C359&amp;" + "&amp;D$32&amp;" ="</f>
        <v>ДП проекта на 4 шаге = денежный поток (ДП) от ИД + денежный поток от ОД = 31725323,6570808 + -87599403 =</v>
      </c>
      <c r="C385" s="201">
        <f t="shared" si="64"/>
        <v>31725323.657080818</v>
      </c>
    </row>
    <row r="386" spans="1:3" x14ac:dyDescent="0.25">
      <c r="A386" s="212"/>
      <c r="B386" s="219" t="str">
        <f>"ДП проекта на "&amp;G70&amp;" шаге = "&amp;B$32&amp;" + "&amp;B$28&amp;" = "&amp;C360&amp;" + "&amp;D$32&amp;" ="</f>
        <v>ДП проекта на 5 шаге = денежный поток (ДП) от ИД + денежный поток от ОД = 49551791,6570808 + -87599403 =</v>
      </c>
      <c r="C386" s="201">
        <f t="shared" si="64"/>
        <v>49551791.65708077</v>
      </c>
    </row>
    <row r="387" spans="1:3" x14ac:dyDescent="0.25">
      <c r="A387" s="212"/>
      <c r="B387" s="219" t="str">
        <f>"ДП проекта на "&amp;G71&amp;" шаге = "&amp;B$32&amp;" + "&amp;B$28&amp;" = "&amp;C361&amp;" + "&amp;D$32&amp;" ="</f>
        <v>ДП проекта на 6 шаге = денежный поток (ДП) от ИД + денежный поток от ОД = 58465025,6570808 + -87599403 =</v>
      </c>
      <c r="C387" s="201">
        <f t="shared" si="64"/>
        <v>58465025.657080792</v>
      </c>
    </row>
    <row r="388" spans="1:3" x14ac:dyDescent="0.25">
      <c r="A388" s="212"/>
      <c r="B388" s="219" t="str">
        <f>"ДП проекта на "&amp;G72&amp;" шаге = "&amp;B$32&amp;" + "&amp;B$28&amp;" = "&amp;C362&amp;" + "&amp;D$32&amp;" ="</f>
        <v>ДП проекта на 7 шаге = денежный поток (ДП) от ИД + денежный поток от ОД = 58465025,6570808 + -87599403 =</v>
      </c>
      <c r="C388" s="201">
        <f t="shared" si="64"/>
        <v>58465025.657080792</v>
      </c>
    </row>
    <row r="389" spans="1:3" x14ac:dyDescent="0.25">
      <c r="A389" s="212"/>
      <c r="B389" s="219" t="str">
        <f>"ДП проекта на "&amp;G73&amp;" шаге = "&amp;B$32&amp;" + "&amp;B$28&amp;" = "&amp;C363&amp;" + "&amp;D$32&amp;" ="</f>
        <v>ДП проекта на 8 шаге = денежный поток (ДП) от ИД + денежный поток от ОД = 58465025,6570808 + -87599403 =</v>
      </c>
      <c r="C389" s="201">
        <f t="shared" si="64"/>
        <v>58465025.657080792</v>
      </c>
    </row>
    <row r="390" spans="1:3" x14ac:dyDescent="0.25">
      <c r="A390" s="212"/>
      <c r="B390" s="219" t="str">
        <f>"ДП проекта на "&amp;G74&amp;" шаге = "&amp;B$32&amp;" + "&amp;B$28&amp;" = "&amp;C364&amp;" + "&amp;D$32&amp;" ="</f>
        <v>ДП проекта на 9 шаге = денежный поток (ДП) от ИД + денежный поток от ОД = 58465025,6570808 + -87599403 =</v>
      </c>
      <c r="C390" s="201">
        <f t="shared" si="64"/>
        <v>58465025.657080792</v>
      </c>
    </row>
    <row r="391" spans="1:3" x14ac:dyDescent="0.25">
      <c r="A391" s="212"/>
      <c r="B391" s="219" t="str">
        <f>"ДП проекта на "&amp;G75&amp;" шаге = "&amp;B$32&amp;" + "&amp;B$28&amp;" = "&amp;C365&amp;" + "&amp;D$32&amp;" ="</f>
        <v>ДП проекта на 10 шаге = денежный поток (ДП) от ИД + денежный поток от ОД = 58465025,6570808 + -87599403 =</v>
      </c>
      <c r="C391" s="201">
        <f t="shared" si="64"/>
        <v>58465025.657080792</v>
      </c>
    </row>
    <row r="392" spans="1:3" ht="15.75" thickBot="1" x14ac:dyDescent="0.3">
      <c r="A392" s="212"/>
      <c r="B392" s="206"/>
      <c r="C392" s="212"/>
    </row>
    <row r="393" spans="1:3" ht="15.75" thickBot="1" x14ac:dyDescent="0.3">
      <c r="A393" s="212"/>
      <c r="B393" s="221" t="s">
        <v>394</v>
      </c>
      <c r="C393" s="212"/>
    </row>
    <row r="394" spans="1:3" x14ac:dyDescent="0.25">
      <c r="A394" s="212"/>
      <c r="B394" s="218" t="str">
        <f>B$36&amp;" на "&amp;G65&amp;" шаге = Коэффициент дисконтирования * ДП проекта = "&amp;H65&amp;" * "&amp;ROUND(C368,2)&amp;" ="</f>
        <v>дисконтированный ДП на 0 шаге = Коэффициент дисконтирования * ДП проекта = 1 * -87599403 =</v>
      </c>
      <c r="C394" s="201">
        <f>C368*H65</f>
        <v>-87599403</v>
      </c>
    </row>
    <row r="395" spans="1:3" x14ac:dyDescent="0.25">
      <c r="A395" s="212"/>
      <c r="B395" s="218" t="str">
        <f>B$36&amp;" на "&amp;G66&amp;" шаге = Коэффициент дисконтирования * ДП проекта = "&amp;H66&amp;" * "&amp;ROUND(C369,2)&amp;" ="</f>
        <v>дисконтированный ДП на 1 шаге = Коэффициент дисконтирования * ДП проекта = 0,833 * -6396300 =</v>
      </c>
      <c r="C395" s="201">
        <f>C369*H66</f>
        <v>-5328117.8999999994</v>
      </c>
    </row>
    <row r="396" spans="1:3" x14ac:dyDescent="0.25">
      <c r="A396" s="212"/>
      <c r="B396" s="218" t="str">
        <f>B$36&amp;" на "&amp;G67&amp;" шаге = Коэффициент дисконтирования * ДП проекта = "&amp;H67&amp;" * "&amp;ROUND(C370,2)&amp;" ="</f>
        <v>дисконтированный ДП на 2 шаге = Коэффициент дисконтирования * ДП проекта = 0,694 * -16068424,63 =</v>
      </c>
      <c r="C396" s="201">
        <f>C370*H67</f>
        <v>-11151486.692282395</v>
      </c>
    </row>
    <row r="397" spans="1:3" x14ac:dyDescent="0.25">
      <c r="A397" s="212"/>
      <c r="B397" s="218" t="str">
        <f>B$36&amp;" на "&amp;G68&amp;" шаге = Коэффициент дисконтирования * ДП проекта = "&amp;H68&amp;" * "&amp;ROUND(C371,2)&amp;" ="</f>
        <v>дисконтированный ДП на 3 шаге = Коэффициент дисконтирования * ДП проекта = 0,579 * 5704493,66 =</v>
      </c>
      <c r="C397" s="201">
        <f>C371*H68</f>
        <v>3302901.827449786</v>
      </c>
    </row>
    <row r="398" spans="1:3" x14ac:dyDescent="0.25">
      <c r="A398" s="212"/>
      <c r="B398" s="218" t="str">
        <f>B$36&amp;" на "&amp;G69&amp;" шаге = Коэффициент дисконтирования * ДП проекта = "&amp;H69&amp;" * "&amp;ROUND(C372,2)&amp;" ="</f>
        <v>дисконтированный ДП на 4 шаге = Коэффициент дисконтирования * ДП проекта = 0,482 * 32983349,66 =</v>
      </c>
      <c r="C398" s="201">
        <f>C372*H69</f>
        <v>15897974.534712953</v>
      </c>
    </row>
    <row r="399" spans="1:3" x14ac:dyDescent="0.25">
      <c r="A399" s="212"/>
      <c r="B399" s="218" t="str">
        <f>B$36&amp;" на "&amp;G70&amp;" шаге = Коэффициент дисконтирования * ДП проекта = "&amp;H70&amp;" * "&amp;ROUND(C373,2)&amp;" ="</f>
        <v>дисконтированный ДП на 5 шаге = Коэффициент дисконтирования * ДП проекта = 0,402 * 51169253,66 =</v>
      </c>
      <c r="C399" s="201">
        <f>C373*H70</f>
        <v>20570039.97014647</v>
      </c>
    </row>
    <row r="400" spans="1:3" x14ac:dyDescent="0.25">
      <c r="A400" s="212"/>
      <c r="B400" s="218" t="str">
        <f>B$36&amp;" на "&amp;G71&amp;" шаге = Коэффициент дисконтирования * ДП проекта = "&amp;H71&amp;" * "&amp;ROUND(C374,2)&amp;" ="</f>
        <v>дисконтированный ДП на 6 шаге = Коэффициент дисконтирования * ДП проекта = 0,335 * 60262205,66 =</v>
      </c>
      <c r="C400" s="201">
        <f>C374*H71</f>
        <v>20187838.895122066</v>
      </c>
    </row>
    <row r="401" spans="1:3" x14ac:dyDescent="0.25">
      <c r="A401" s="212"/>
      <c r="B401" s="218" t="str">
        <f>B$36&amp;" на "&amp;G72&amp;" шаге = Коэффициент дисконтирования * ДП проекта = "&amp;H72&amp;" * "&amp;ROUND(C375,2)&amp;" ="</f>
        <v>дисконтированный ДП на 7 шаге = Коэффициент дисконтирования * ДП проекта = 0,279 * 60262205,66 =</v>
      </c>
      <c r="C401" s="201">
        <f>C375*H72</f>
        <v>16813155.378325544</v>
      </c>
    </row>
    <row r="402" spans="1:3" x14ac:dyDescent="0.25">
      <c r="A402" s="212"/>
      <c r="B402" s="218" t="str">
        <f>B$36&amp;" на "&amp;G73&amp;" шаге = Коэффициент дисконтирования * ДП проекта = "&amp;H73&amp;" * "&amp;ROUND(C376,2)&amp;" ="</f>
        <v>дисконтированный ДП на 8 шаге = Коэффициент дисконтирования * ДП проекта = 0,233 * 60262205,66 =</v>
      </c>
      <c r="C402" s="201">
        <f>C376*H73</f>
        <v>14041093.918099826</v>
      </c>
    </row>
    <row r="403" spans="1:3" x14ac:dyDescent="0.25">
      <c r="A403" s="212"/>
      <c r="B403" s="218" t="str">
        <f>B$36&amp;" на "&amp;G74&amp;" шаге = Коэффициент дисконтирования * ДП проекта = "&amp;H74&amp;" * "&amp;ROUND(C377,2)&amp;" ="</f>
        <v>дисконтированный ДП на 9 шаге = Коэффициент дисконтирования * ДП проекта = 0,194 * 60262205,66 =</v>
      </c>
      <c r="C403" s="201">
        <f>C377*H74</f>
        <v>11690867.897473674</v>
      </c>
    </row>
    <row r="404" spans="1:3" x14ac:dyDescent="0.25">
      <c r="A404" s="212"/>
      <c r="B404" s="218" t="str">
        <f>B$36&amp;" на "&amp;G75&amp;" шаге = Коэффициент дисконтирования * ДП проекта = "&amp;H75&amp;" * "&amp;ROUND(C378,2)&amp;" ="</f>
        <v>дисконтированный ДП на 10 шаге = Коэффициент дисконтирования * ДП проекта = 0,162 * 60262205,66 =</v>
      </c>
      <c r="C404" s="201">
        <f>C378*H75</f>
        <v>9762477.3164470885</v>
      </c>
    </row>
    <row r="405" spans="1:3" ht="15.75" thickBot="1" x14ac:dyDescent="0.3">
      <c r="A405" s="212"/>
      <c r="B405" s="219"/>
      <c r="C405" s="212"/>
    </row>
    <row r="406" spans="1:3" ht="15.75" thickBot="1" x14ac:dyDescent="0.3">
      <c r="A406" s="212"/>
      <c r="B406" s="220" t="s">
        <v>395</v>
      </c>
      <c r="C406" s="212"/>
    </row>
    <row r="407" spans="1:3" x14ac:dyDescent="0.25">
      <c r="A407" s="212"/>
      <c r="B407" s="218" t="str">
        <f>B$36&amp;" на "&amp;G65&amp;" шаге = Коэффициент дисконтирования * ДП проекта = "&amp;H65&amp;" * "&amp;ROUND(C381,2)&amp;" ="</f>
        <v>дисконтированный ДП на 0 шаге = Коэффициент дисконтирования * ДП проекта = 1 * -87599403 =</v>
      </c>
      <c r="C407" s="201">
        <f>C381*H65</f>
        <v>-87599403</v>
      </c>
    </row>
    <row r="408" spans="1:3" x14ac:dyDescent="0.25">
      <c r="A408" s="212"/>
      <c r="B408" s="218" t="str">
        <f>B$36&amp;" на "&amp;G66&amp;" шаге = Коэффициент дисконтирования * ДП проекта = "&amp;H66&amp;" * "&amp;ROUND(C382,2)&amp;" ="</f>
        <v>дисконтированный ДП на 1 шаге = Коэффициент дисконтирования * ДП проекта = 0,833 * -6396300 =</v>
      </c>
      <c r="C408" s="201">
        <f>C382*H66</f>
        <v>-5328117.8999999994</v>
      </c>
    </row>
    <row r="409" spans="1:3" x14ac:dyDescent="0.25">
      <c r="A409" s="212"/>
      <c r="B409" s="218" t="str">
        <f>B$36&amp;" на "&amp;G67&amp;" шаге = Коэффициент дисконтирования * ДП проекта = "&amp;H67&amp;" * "&amp;ROUND(C383,2)&amp;" ="</f>
        <v>дисконтированный ДП на 2 шаге = Коэффициент дисконтирования * ДП проекта = 0,694 * -16517719,63 =</v>
      </c>
      <c r="C409" s="201">
        <f>C383*H67</f>
        <v>-11463297.422282394</v>
      </c>
    </row>
    <row r="410" spans="1:3" x14ac:dyDescent="0.25">
      <c r="A410" s="212"/>
      <c r="B410" s="218" t="str">
        <f>B$36&amp;" на "&amp;G68&amp;" шаге = Коэффициент дисконтирования * ДП проекта = "&amp;H68&amp;" * "&amp;ROUND(C384,2)&amp;" ="</f>
        <v>дисконтированный ДП на 3 шаге = Коэффициент дисконтирования * ДП проекта = 0,579 * 5765365,37 =</v>
      </c>
      <c r="C410" s="201">
        <f>C384*H68</f>
        <v>3338146.5500122323</v>
      </c>
    </row>
    <row r="411" spans="1:3" x14ac:dyDescent="0.25">
      <c r="A411" s="212"/>
      <c r="B411" s="218" t="str">
        <f>B$36&amp;" на "&amp;G69&amp;" шаге = Коэффициент дисконтирования * ДП проекта = "&amp;H69&amp;" * "&amp;ROUND(C385,2)&amp;" ="</f>
        <v>дисконтированный ДП на 4 шаге = Коэффициент дисконтирования * ДП проекта = 0,482 * 31725323,66 =</v>
      </c>
      <c r="C411" s="201">
        <f>C385*H69</f>
        <v>15291606.002712954</v>
      </c>
    </row>
    <row r="412" spans="1:3" x14ac:dyDescent="0.25">
      <c r="A412" s="212"/>
      <c r="B412" s="218" t="str">
        <f>B$36&amp;" на "&amp;G70&amp;" шаге = Коэффициент дисконтирования * ДП проекта = "&amp;H70&amp;" * "&amp;ROUND(C386,2)&amp;" ="</f>
        <v>дисконтированный ДП на 5 шаге = Коэффициент дисконтирования * ДП проекта = 0,402 * 49551791,66 =</v>
      </c>
      <c r="C412" s="201">
        <f>C386*H70</f>
        <v>19919820.24614647</v>
      </c>
    </row>
    <row r="413" spans="1:3" x14ac:dyDescent="0.25">
      <c r="A413" s="212"/>
      <c r="B413" s="218" t="str">
        <f>B$36&amp;" на "&amp;G71&amp;" шаге = Коэффициент дисконтирования * ДП проекта = "&amp;H71&amp;" * "&amp;ROUND(C387,2)&amp;" ="</f>
        <v>дисконтированный ДП на 6 шаге = Коэффициент дисконтирования * ДП проекта = 0,335 * 58465025,66 =</v>
      </c>
      <c r="C413" s="201">
        <f>C387*H71</f>
        <v>19585783.595122065</v>
      </c>
    </row>
    <row r="414" spans="1:3" x14ac:dyDescent="0.25">
      <c r="A414" s="212"/>
      <c r="B414" s="218" t="str">
        <f>B$36&amp;" на "&amp;G72&amp;" шаге = Коэффициент дисконтирования * ДП проекта = "&amp;H72&amp;" * "&amp;ROUND(C388,2)&amp;" ="</f>
        <v>дисконтированный ДП на 7 шаге = Коэффициент дисконтирования * ДП проекта = 0,279 * 58465025,66 =</v>
      </c>
      <c r="C414" s="201">
        <f>C388*H72</f>
        <v>16311742.158325542</v>
      </c>
    </row>
    <row r="415" spans="1:3" x14ac:dyDescent="0.25">
      <c r="A415" s="212"/>
      <c r="B415" s="218" t="str">
        <f>B$36&amp;" на "&amp;G73&amp;" шаге = Коэффициент дисконтирования * ДП проекта = "&amp;H73&amp;" * "&amp;ROUND(C389,2)&amp;" ="</f>
        <v>дисконтированный ДП на 8 шаге = Коэффициент дисконтирования * ДП проекта = 0,233 * 58465025,66 =</v>
      </c>
      <c r="C415" s="201">
        <f>C389*H73</f>
        <v>13622350.978099825</v>
      </c>
    </row>
    <row r="416" spans="1:3" x14ac:dyDescent="0.25">
      <c r="A416" s="212"/>
      <c r="B416" s="218" t="str">
        <f>B$36&amp;" на "&amp;G74&amp;" шаге = Коэффициент дисконтирования * ДП проекта = "&amp;H74&amp;" * "&amp;ROUND(C390,2)&amp;" ="</f>
        <v>дисконтированный ДП на 9 шаге = Коэффициент дисконтирования * ДП проекта = 0,194 * 58465025,66 =</v>
      </c>
      <c r="C416" s="201">
        <f>C390*H74</f>
        <v>11342214.977473674</v>
      </c>
    </row>
    <row r="417" spans="1:3" x14ac:dyDescent="0.25">
      <c r="A417" s="212"/>
      <c r="B417" s="218" t="str">
        <f>B$36&amp;" на "&amp;G75&amp;" шаге = Коэффициент дисконтирования * ДП проекта = "&amp;H75&amp;" * "&amp;ROUND(C391,2)&amp;" ="</f>
        <v>дисконтированный ДП на 10 шаге = Коэффициент дисконтирования * ДП проекта = 0,162 * 58465025,66 =</v>
      </c>
      <c r="C417" s="201">
        <f>C391*H75</f>
        <v>9471334.1564470883</v>
      </c>
    </row>
    <row r="418" spans="1:3" ht="15.75" thickBot="1" x14ac:dyDescent="0.3">
      <c r="A418" s="212"/>
      <c r="B418" s="219"/>
      <c r="C418" s="212"/>
    </row>
    <row r="419" spans="1:3" ht="15.75" thickBot="1" x14ac:dyDescent="0.3">
      <c r="A419" s="212"/>
      <c r="B419" s="221" t="s">
        <v>394</v>
      </c>
      <c r="C419" s="212"/>
    </row>
    <row r="420" spans="1:3" x14ac:dyDescent="0.25">
      <c r="A420" s="212"/>
      <c r="B420" s="219" t="str">
        <f>B$37&amp;" на "&amp;G65&amp;" шаге = Дисконтрированный ДП на "&amp;G65&amp;" шаге"</f>
        <v>ДДП накопленным итогом ЧДД на 0 шаге = Дисконтрированный ДП на 0 шаге</v>
      </c>
      <c r="C420" s="201">
        <f>C394</f>
        <v>-87599403</v>
      </c>
    </row>
    <row r="421" spans="1:3" x14ac:dyDescent="0.25">
      <c r="A421" s="212"/>
      <c r="B421" s="219" t="str">
        <f>B$37&amp;" на "&amp;G66&amp;" шаге = "&amp;B$37&amp;" на "&amp;G65&amp;" шаге + Дисконтрированный ДП на "&amp;G66&amp;" шаге"</f>
        <v>ДДП накопленным итогом ЧДД на 1 шаге = ДДП накопленным итогом ЧДД на 0 шаге + Дисконтрированный ДП на 1 шаге</v>
      </c>
      <c r="C421" s="201">
        <f>C420+C395</f>
        <v>-92927520.900000006</v>
      </c>
    </row>
    <row r="422" spans="1:3" x14ac:dyDescent="0.25">
      <c r="A422" s="212"/>
      <c r="B422" s="219" t="str">
        <f>B$37&amp;" на "&amp;G67&amp;" шаге = "&amp;B$37&amp;" на "&amp;G66&amp;" шаге + Дисконтрированный ДП на "&amp;G67&amp;" шаге"</f>
        <v>ДДП накопленным итогом ЧДД на 2 шаге = ДДП накопленным итогом ЧДД на 1 шаге + Дисконтрированный ДП на 2 шаге</v>
      </c>
      <c r="C422" s="201">
        <f t="shared" ref="C422:C429" si="65">C421+C396</f>
        <v>-104079007.5922824</v>
      </c>
    </row>
    <row r="423" spans="1:3" x14ac:dyDescent="0.25">
      <c r="A423" s="212"/>
      <c r="B423" s="219" t="str">
        <f>B$37&amp;" на "&amp;G68&amp;" шаге = "&amp;B$37&amp;" на "&amp;G67&amp;" шаге + Дисконтрированный ДП на "&amp;G68&amp;" шаге"</f>
        <v>ДДП накопленным итогом ЧДД на 3 шаге = ДДП накопленным итогом ЧДД на 2 шаге + Дисконтрированный ДП на 3 шаге</v>
      </c>
      <c r="C423" s="201">
        <f t="shared" si="65"/>
        <v>-100776105.76483262</v>
      </c>
    </row>
    <row r="424" spans="1:3" x14ac:dyDescent="0.25">
      <c r="A424" s="212"/>
      <c r="B424" s="219" t="str">
        <f>B$37&amp;" на "&amp;G69&amp;" шаге = "&amp;B$37&amp;" на "&amp;G68&amp;" шаге + Дисконтрированный ДП на "&amp;G69&amp;" шаге"</f>
        <v>ДДП накопленным итогом ЧДД на 4 шаге = ДДП накопленным итогом ЧДД на 3 шаге + Дисконтрированный ДП на 4 шаге</v>
      </c>
      <c r="C424" s="201">
        <f t="shared" si="65"/>
        <v>-84878131.23011966</v>
      </c>
    </row>
    <row r="425" spans="1:3" x14ac:dyDescent="0.25">
      <c r="A425" s="212"/>
      <c r="B425" s="219" t="str">
        <f>B$37&amp;" на "&amp;G70&amp;" шаге = "&amp;B$37&amp;" на "&amp;G69&amp;" шаге + Дисконтрированный ДП на "&amp;G70&amp;" шаге"</f>
        <v>ДДП накопленным итогом ЧДД на 5 шаге = ДДП накопленным итогом ЧДД на 4 шаге + Дисконтрированный ДП на 5 шаге</v>
      </c>
      <c r="C425" s="201">
        <f t="shared" si="65"/>
        <v>-64308091.259973191</v>
      </c>
    </row>
    <row r="426" spans="1:3" x14ac:dyDescent="0.25">
      <c r="A426" s="212"/>
      <c r="B426" s="219" t="str">
        <f>B$37&amp;" на "&amp;G71&amp;" шаге = "&amp;B$37&amp;" на "&amp;G70&amp;" шаге + Дисконтрированный ДП на "&amp;G71&amp;" шаге"</f>
        <v>ДДП накопленным итогом ЧДД на 6 шаге = ДДП накопленным итогом ЧДД на 5 шаге + Дисконтрированный ДП на 6 шаге</v>
      </c>
      <c r="C426" s="201">
        <f t="shared" si="65"/>
        <v>-44120252.364851125</v>
      </c>
    </row>
    <row r="427" spans="1:3" x14ac:dyDescent="0.25">
      <c r="A427" s="212"/>
      <c r="B427" s="219" t="str">
        <f>B$37&amp;" на "&amp;G72&amp;" шаге = "&amp;B$37&amp;" на "&amp;G71&amp;" шаге + Дисконтрированный ДП на "&amp;G72&amp;" шаге"</f>
        <v>ДДП накопленным итогом ЧДД на 7 шаге = ДДП накопленным итогом ЧДД на 6 шаге + Дисконтрированный ДП на 7 шаге</v>
      </c>
      <c r="C427" s="201">
        <f t="shared" si="65"/>
        <v>-27307096.98652558</v>
      </c>
    </row>
    <row r="428" spans="1:3" x14ac:dyDescent="0.25">
      <c r="A428" s="212"/>
      <c r="B428" s="219" t="str">
        <f>B$37&amp;" на "&amp;G73&amp;" шаге = "&amp;B$37&amp;" на "&amp;G72&amp;" шаге + Дисконтрированный ДП на "&amp;G73&amp;" шаге"</f>
        <v>ДДП накопленным итогом ЧДД на 8 шаге = ДДП накопленным итогом ЧДД на 7 шаге + Дисконтрированный ДП на 8 шаге</v>
      </c>
      <c r="C428" s="201">
        <f t="shared" si="65"/>
        <v>-13266003.068425754</v>
      </c>
    </row>
    <row r="429" spans="1:3" x14ac:dyDescent="0.25">
      <c r="A429" s="212"/>
      <c r="B429" s="219" t="str">
        <f>B$37&amp;" на "&amp;G74&amp;" шаге = "&amp;B$37&amp;" на "&amp;G73&amp;" шаге + Дисконтрированный ДП на "&amp;G74&amp;" шаге"</f>
        <v>ДДП накопленным итогом ЧДД на 9 шаге = ДДП накопленным итогом ЧДД на 8 шаге + Дисконтрированный ДП на 9 шаге</v>
      </c>
      <c r="C429" s="201">
        <f t="shared" si="65"/>
        <v>-1575135.1709520798</v>
      </c>
    </row>
    <row r="430" spans="1:3" x14ac:dyDescent="0.25">
      <c r="A430" s="212"/>
      <c r="B430" s="219" t="str">
        <f>B$37&amp;" на "&amp;G75&amp;" шаге = "&amp;B$37&amp;" на "&amp;G74&amp;" шаге + Дисконтрированный ДП на "&amp;G75&amp;" шаге"</f>
        <v>ДДП накопленным итогом ЧДД на 10 шаге = ДДП накопленным итогом ЧДД на 9 шаге + Дисконтрированный ДП на 10 шаге</v>
      </c>
      <c r="C430" s="201">
        <f>C429+C404</f>
        <v>8187342.1454950087</v>
      </c>
    </row>
    <row r="431" spans="1:3" ht="15.75" thickBot="1" x14ac:dyDescent="0.3">
      <c r="A431" s="212"/>
      <c r="B431" s="219"/>
      <c r="C431" s="212"/>
    </row>
    <row r="432" spans="1:3" ht="15.75" thickBot="1" x14ac:dyDescent="0.3">
      <c r="A432" s="212"/>
      <c r="B432" s="220" t="s">
        <v>395</v>
      </c>
      <c r="C432" s="212"/>
    </row>
    <row r="433" spans="1:3" x14ac:dyDescent="0.25">
      <c r="A433" s="212"/>
      <c r="B433" s="219" t="str">
        <f>B$37&amp;" на "&amp;G65&amp;" шаге = Дисконтрированный ДП на "&amp;G65&amp;" шаге"</f>
        <v>ДДП накопленным итогом ЧДД на 0 шаге = Дисконтрированный ДП на 0 шаге</v>
      </c>
      <c r="C433" s="201">
        <f>C407</f>
        <v>-87599403</v>
      </c>
    </row>
    <row r="434" spans="1:3" x14ac:dyDescent="0.25">
      <c r="A434" s="212"/>
      <c r="B434" s="219" t="str">
        <f>B$37&amp;" на "&amp;G66&amp;" шаге = "&amp;B$37&amp;" на "&amp;G65&amp;" шаге + Дисконтрированный ДП на "&amp;G66&amp;" шаге"</f>
        <v>ДДП накопленным итогом ЧДД на 1 шаге = ДДП накопленным итогом ЧДД на 0 шаге + Дисконтрированный ДП на 1 шаге</v>
      </c>
      <c r="C434" s="201">
        <f>C433+C408</f>
        <v>-92927520.900000006</v>
      </c>
    </row>
    <row r="435" spans="1:3" x14ac:dyDescent="0.25">
      <c r="A435" s="212"/>
      <c r="B435" s="219" t="str">
        <f>B$37&amp;" на "&amp;G67&amp;" шаге = "&amp;B$37&amp;" на "&amp;G66&amp;" шаге + Дисконтрированный ДП на "&amp;G67&amp;" шаге"</f>
        <v>ДДП накопленным итогом ЧДД на 2 шаге = ДДП накопленным итогом ЧДД на 1 шаге + Дисконтрированный ДП на 2 шаге</v>
      </c>
      <c r="C435" s="201">
        <f t="shared" ref="C435:C442" si="66">C434+C409</f>
        <v>-104390818.3222824</v>
      </c>
    </row>
    <row r="436" spans="1:3" x14ac:dyDescent="0.25">
      <c r="A436" s="212"/>
      <c r="B436" s="219" t="str">
        <f>B$37&amp;" на "&amp;G68&amp;" шаге = "&amp;B$37&amp;" на "&amp;G67&amp;" шаге + Дисконтрированный ДП на "&amp;G68&amp;" шаге"</f>
        <v>ДДП накопленным итогом ЧДД на 3 шаге = ДДП накопленным итогом ЧДД на 2 шаге + Дисконтрированный ДП на 3 шаге</v>
      </c>
      <c r="C436" s="201">
        <f t="shared" si="66"/>
        <v>-101052671.77227017</v>
      </c>
    </row>
    <row r="437" spans="1:3" x14ac:dyDescent="0.25">
      <c r="A437" s="212"/>
      <c r="B437" s="219" t="str">
        <f>B$37&amp;" на "&amp;G69&amp;" шаге = "&amp;B$37&amp;" на "&amp;G68&amp;" шаге + Дисконтрированный ДП на "&amp;G69&amp;" шаге"</f>
        <v>ДДП накопленным итогом ЧДД на 4 шаге = ДДП накопленным итогом ЧДД на 3 шаге + Дисконтрированный ДП на 4 шаге</v>
      </c>
      <c r="C437" s="201">
        <f t="shared" si="66"/>
        <v>-85761065.769557223</v>
      </c>
    </row>
    <row r="438" spans="1:3" x14ac:dyDescent="0.25">
      <c r="A438" s="212"/>
      <c r="B438" s="219" t="str">
        <f>B$37&amp;" на "&amp;G70&amp;" шаге = "&amp;B$37&amp;" на "&amp;G69&amp;" шаге + Дисконтрированный ДП на "&amp;G70&amp;" шаге"</f>
        <v>ДДП накопленным итогом ЧДД на 5 шаге = ДДП накопленным итогом ЧДД на 4 шаге + Дисконтрированный ДП на 5 шаге</v>
      </c>
      <c r="C438" s="201">
        <f t="shared" si="66"/>
        <v>-65841245.523410752</v>
      </c>
    </row>
    <row r="439" spans="1:3" x14ac:dyDescent="0.25">
      <c r="A439" s="212"/>
      <c r="B439" s="219" t="str">
        <f>B$37&amp;" на "&amp;G71&amp;" шаге = "&amp;B$37&amp;" на "&amp;G70&amp;" шаге + Дисконтрированный ДП на "&amp;G71&amp;" шаге"</f>
        <v>ДДП накопленным итогом ЧДД на 6 шаге = ДДП накопленным итогом ЧДД на 5 шаге + Дисконтрированный ДП на 6 шаге</v>
      </c>
      <c r="C439" s="201">
        <f t="shared" si="66"/>
        <v>-46255461.928288683</v>
      </c>
    </row>
    <row r="440" spans="1:3" x14ac:dyDescent="0.25">
      <c r="A440" s="212"/>
      <c r="B440" s="219" t="str">
        <f>B$37&amp;" на "&amp;G72&amp;" шаге = "&amp;B$37&amp;" на "&amp;G71&amp;" шаге + Дисконтрированный ДП на "&amp;G72&amp;" шаге"</f>
        <v>ДДП накопленным итогом ЧДД на 7 шаге = ДДП накопленным итогом ЧДД на 6 шаге + Дисконтрированный ДП на 7 шаге</v>
      </c>
      <c r="C440" s="201">
        <f t="shared" si="66"/>
        <v>-29943719.769963142</v>
      </c>
    </row>
    <row r="441" spans="1:3" x14ac:dyDescent="0.25">
      <c r="A441" s="212"/>
      <c r="B441" s="219" t="str">
        <f>B$37&amp;" на "&amp;G73&amp;" шаге = "&amp;B$37&amp;" на "&amp;G72&amp;" шаге + Дисконтрированный ДП на "&amp;G73&amp;" шаге"</f>
        <v>ДДП накопленным итогом ЧДД на 8 шаге = ДДП накопленным итогом ЧДД на 7 шаге + Дисконтрированный ДП на 8 шаге</v>
      </c>
      <c r="C441" s="201">
        <f t="shared" si="66"/>
        <v>-16321368.791863317</v>
      </c>
    </row>
    <row r="442" spans="1:3" x14ac:dyDescent="0.25">
      <c r="A442" s="212"/>
      <c r="B442" s="219" t="str">
        <f>B$37&amp;" на "&amp;G74&amp;" шаге = "&amp;B$37&amp;" на "&amp;G73&amp;" шаге + Дисконтрированный ДП на "&amp;G74&amp;" шаге"</f>
        <v>ДДП накопленным итогом ЧДД на 9 шаге = ДДП накопленным итогом ЧДД на 8 шаге + Дисконтрированный ДП на 9 шаге</v>
      </c>
      <c r="C442" s="201">
        <f t="shared" si="66"/>
        <v>-4979153.8143896423</v>
      </c>
    </row>
    <row r="443" spans="1:3" x14ac:dyDescent="0.25">
      <c r="A443" s="212"/>
      <c r="B443" s="219" t="str">
        <f>B$37&amp;" на "&amp;G75&amp;" шаге = "&amp;B$37&amp;" на "&amp;G74&amp;" шаге + Дисконтрированный ДП на "&amp;G75&amp;" шаге"</f>
        <v>ДДП накопленным итогом ЧДД на 10 шаге = ДДП накопленным итогом ЧДД на 9 шаге + Дисконтрированный ДП на 10 шаге</v>
      </c>
      <c r="C443" s="201">
        <f>C442+C417</f>
        <v>4492180.342057446</v>
      </c>
    </row>
    <row r="444" spans="1:3" ht="15.75" thickBot="1" x14ac:dyDescent="0.3">
      <c r="A444" s="212"/>
      <c r="B444" s="219"/>
      <c r="C444" s="212"/>
    </row>
    <row r="445" spans="1:3" ht="15.75" thickBot="1" x14ac:dyDescent="0.3">
      <c r="A445" s="212"/>
      <c r="B445" s="221" t="s">
        <v>394</v>
      </c>
      <c r="C445" s="212"/>
    </row>
    <row r="446" spans="1:3" x14ac:dyDescent="0.25">
      <c r="A446" s="212"/>
      <c r="B446" s="218" t="str">
        <f>B$39&amp;" на "&amp;G65&amp;" шаге = "&amp;B$38&amp;" * Коэффициент дисконтрирования = "&amp;C82&amp;" * "&amp;H65&amp;" ="</f>
        <v>Дисконтрированные притоки на 0 шаге = Притоки * Коэффициент дисконтрирования = 0 * 1 =</v>
      </c>
      <c r="C446" s="212">
        <f>C82*H65</f>
        <v>0</v>
      </c>
    </row>
    <row r="447" spans="1:3" x14ac:dyDescent="0.25">
      <c r="A447" s="212"/>
      <c r="B447" s="218" t="str">
        <f>B$39&amp;" на "&amp;G66&amp;" шаге = "&amp;B$38&amp;" * Коэффициент дисконтрирования = "&amp;C83&amp;" * "&amp;H66&amp;" ="</f>
        <v>Дисконтрированные притоки на 1 шаге = Притоки * Коэффициент дисконтрирования = 0 * 0,833 =</v>
      </c>
      <c r="C447" s="212">
        <f>C83*H66</f>
        <v>0</v>
      </c>
    </row>
    <row r="448" spans="1:3" x14ac:dyDescent="0.25">
      <c r="A448" s="212"/>
      <c r="B448" s="218" t="str">
        <f>B$39&amp;" на "&amp;G67&amp;" шаге = "&amp;B$38&amp;" * Коэффициент дисконтрирования = "&amp;C84&amp;" * "&amp;H67&amp;" ="</f>
        <v>Дисконтрированные притоки на 2 шаге = Притоки * Коэффициент дисконтрирования = 54839400 * 0,694 =</v>
      </c>
      <c r="C448" s="212">
        <f>C84*H67</f>
        <v>38058543.599999994</v>
      </c>
    </row>
    <row r="449" spans="1:3" x14ac:dyDescent="0.25">
      <c r="A449" s="212"/>
      <c r="B449" s="218" t="str">
        <f>B$39&amp;" на "&amp;G68&amp;" шаге = "&amp;B$38&amp;" * Коэффициент дисконтрирования = "&amp;C85&amp;" * "&amp;H68&amp;" ="</f>
        <v>Дисконтрированные притоки на 3 шаге = Притоки * Коэффициент дисконтрирования = 109678800 * 0,579 =</v>
      </c>
      <c r="C449" s="212">
        <f>C85*H68</f>
        <v>63504025.199999988</v>
      </c>
    </row>
    <row r="450" spans="1:3" x14ac:dyDescent="0.25">
      <c r="A450" s="212"/>
      <c r="B450" s="218" t="str">
        <f>B$39&amp;" на "&amp;G69&amp;" шаге = "&amp;B$38&amp;" * Коэффициент дисконтрирования = "&amp;C86&amp;" * "&amp;H69&amp;" ="</f>
        <v>Дисконтрированные притоки на 4 шаге = Притоки * Коэффициент дисконтрирования = 191937900 * 0,482 =</v>
      </c>
      <c r="C450" s="212">
        <f>C86*H69</f>
        <v>92514067.799999997</v>
      </c>
    </row>
    <row r="451" spans="1:3" x14ac:dyDescent="0.25">
      <c r="A451" s="212"/>
      <c r="B451" s="218" t="str">
        <f>B$39&amp;" на "&amp;G70&amp;" шаге = "&amp;B$38&amp;" * Коэффициент дисконтрирования = "&amp;C87&amp;" * "&amp;H70&amp;" ="</f>
        <v>Дисконтрированные притоки на 5 шаге = Притоки * Коэффициент дисконтрирования = 246777300 * 0,402 =</v>
      </c>
      <c r="C451" s="212">
        <f>C87*H70</f>
        <v>99204474.599999994</v>
      </c>
    </row>
    <row r="452" spans="1:3" x14ac:dyDescent="0.25">
      <c r="A452" s="212"/>
      <c r="B452" s="218" t="str">
        <f>B$39&amp;" на "&amp;G71&amp;" шаге = "&amp;B$38&amp;" * Коэффициент дисконтрирования = "&amp;C88&amp;" * "&amp;H71&amp;" ="</f>
        <v>Дисконтрированные притоки на 6 шаге = Притоки * Коэффициент дисконтрирования = 274197000 * 0,335 =</v>
      </c>
      <c r="C452" s="212">
        <f>C88*H71</f>
        <v>91855995</v>
      </c>
    </row>
    <row r="453" spans="1:3" x14ac:dyDescent="0.25">
      <c r="A453" s="212"/>
      <c r="B453" s="218" t="str">
        <f>B$39&amp;" на "&amp;G72&amp;" шаге = "&amp;B$38&amp;" * Коэффициент дисконтрирования = "&amp;C89&amp;" * "&amp;H72&amp;" ="</f>
        <v>Дисконтрированные притоки на 7 шаге = Притоки * Коэффициент дисконтрирования = 274197000 * 0,279 =</v>
      </c>
      <c r="C453" s="212">
        <f>C89*H72</f>
        <v>76500963</v>
      </c>
    </row>
    <row r="454" spans="1:3" x14ac:dyDescent="0.25">
      <c r="A454" s="212"/>
      <c r="B454" s="218" t="str">
        <f>B$39&amp;" на "&amp;G73&amp;" шаге = "&amp;B$38&amp;" * Коэффициент дисконтрирования = "&amp;C90&amp;" * "&amp;H73&amp;" ="</f>
        <v>Дисконтрированные притоки на 8 шаге = Притоки * Коэффициент дисконтрирования = 274197000 * 0,233 =</v>
      </c>
      <c r="C454" s="212">
        <f>C90*H73</f>
        <v>63887901</v>
      </c>
    </row>
    <row r="455" spans="1:3" x14ac:dyDescent="0.25">
      <c r="A455" s="212"/>
      <c r="B455" s="218" t="str">
        <f>B$39&amp;" на "&amp;G74&amp;" шаге = "&amp;B$38&amp;" * Коэффициент дисконтрирования = "&amp;C91&amp;" * "&amp;H74&amp;" ="</f>
        <v>Дисконтрированные притоки на 9 шаге = Притоки * Коэффициент дисконтрирования = 274197000 * 0,194 =</v>
      </c>
      <c r="C455" s="212">
        <f>C91*H74</f>
        <v>53194218</v>
      </c>
    </row>
    <row r="456" spans="1:3" x14ac:dyDescent="0.25">
      <c r="A456" s="212"/>
      <c r="B456" s="218" t="str">
        <f>B$39&amp;" на "&amp;G75&amp;" шаге = "&amp;B$38&amp;" * Коэффициент дисконтрирования = "&amp;C92&amp;" * "&amp;H75&amp;" ="</f>
        <v>Дисконтрированные притоки на 10 шаге = Притоки * Коэффициент дисконтрирования = 274197000 * 0,162 =</v>
      </c>
      <c r="C456" s="212">
        <f>C92*H75</f>
        <v>44419914</v>
      </c>
    </row>
    <row r="457" spans="1:3" ht="15.75" thickBot="1" x14ac:dyDescent="0.3">
      <c r="A457" s="212"/>
      <c r="B457" s="218" t="s">
        <v>436</v>
      </c>
      <c r="C457" s="212">
        <f>SUM(C446:C456)</f>
        <v>623140102.19999993</v>
      </c>
    </row>
    <row r="458" spans="1:3" ht="15.75" thickBot="1" x14ac:dyDescent="0.3">
      <c r="A458" s="212"/>
      <c r="B458" s="220" t="s">
        <v>395</v>
      </c>
      <c r="C458" s="212"/>
    </row>
    <row r="459" spans="1:3" x14ac:dyDescent="0.25">
      <c r="A459" s="212"/>
      <c r="B459" s="218" t="str">
        <f>B$39&amp;" на "&amp;G65&amp;" шаге = "&amp;B$38&amp;" * Коэффициент дисконтрирования = "&amp;C95&amp;" * "&amp;H65&amp;" ="</f>
        <v>Дисконтрированные притоки на 0 шаге = Притоки * Коэффициент дисконтрирования = 0 * 1 =</v>
      </c>
      <c r="C459" s="212">
        <f>C95*H65</f>
        <v>0</v>
      </c>
    </row>
    <row r="460" spans="1:3" x14ac:dyDescent="0.25">
      <c r="A460" s="212"/>
      <c r="B460" s="218" t="str">
        <f>B$39&amp;" на "&amp;G66&amp;" шаге = "&amp;B$38&amp;" * Коэффициент дисконтрирования = "&amp;C96&amp;" * "&amp;H66&amp;" ="</f>
        <v>Дисконтрированные притоки на 1 шаге = Притоки * Коэффициент дисконтрирования = 0 * 0,833 =</v>
      </c>
      <c r="C460" s="212">
        <f>C96*H66</f>
        <v>0</v>
      </c>
    </row>
    <row r="461" spans="1:3" x14ac:dyDescent="0.25">
      <c r="A461" s="212"/>
      <c r="B461" s="218" t="str">
        <f>B$39&amp;" на "&amp;G67&amp;" шаге = "&amp;B$38&amp;" * Коэффициент дисконтрирования = "&amp;C97&amp;" * "&amp;H67&amp;" ="</f>
        <v>Дисконтрированные притоки на 2 шаге = Притоки * Коэффициент дисконтрирования = 54839400 * 0,694 =</v>
      </c>
      <c r="C461" s="212">
        <f>C97*H67</f>
        <v>38058543.599999994</v>
      </c>
    </row>
    <row r="462" spans="1:3" x14ac:dyDescent="0.25">
      <c r="A462" s="212"/>
      <c r="B462" s="218" t="str">
        <f>B$39&amp;" на "&amp;G68&amp;" шаге = "&amp;B$38&amp;" * Коэффициент дисконтрирования = "&amp;C98&amp;" * "&amp;H68&amp;" ="</f>
        <v>Дисконтрированные притоки на 3 шаге = Притоки * Коэффициент дисконтрирования = 109678800 * 0,579 =</v>
      </c>
      <c r="C462" s="212">
        <f>C98*H68</f>
        <v>63504025.199999988</v>
      </c>
    </row>
    <row r="463" spans="1:3" x14ac:dyDescent="0.25">
      <c r="A463" s="212"/>
      <c r="B463" s="218" t="str">
        <f>B$39&amp;" на "&amp;G69&amp;" шаге = "&amp;B$38&amp;" * Коэффициент дисконтрирования = "&amp;C99&amp;" * "&amp;H69&amp;" ="</f>
        <v>Дисконтрированные притоки на 4 шаге = Притоки * Коэффициент дисконтрирования = 191937900 * 0,482 =</v>
      </c>
      <c r="C463" s="212">
        <f>C99*H69</f>
        <v>92514067.799999997</v>
      </c>
    </row>
    <row r="464" spans="1:3" x14ac:dyDescent="0.25">
      <c r="A464" s="212"/>
      <c r="B464" s="218" t="str">
        <f>B$39&amp;" на "&amp;G70&amp;" шаге = "&amp;B$38&amp;" * Коэффициент дисконтрирования = "&amp;C100&amp;" * "&amp;H70&amp;" ="</f>
        <v>Дисконтрированные притоки на 5 шаге = Притоки * Коэффициент дисконтрирования = 246777300 * 0,402 =</v>
      </c>
      <c r="C464" s="212">
        <f>C100*H70</f>
        <v>99204474.599999994</v>
      </c>
    </row>
    <row r="465" spans="1:3" x14ac:dyDescent="0.25">
      <c r="A465" s="212"/>
      <c r="B465" s="218" t="str">
        <f>B$39&amp;" на "&amp;G71&amp;" шаге = "&amp;B$38&amp;" * Коэффициент дисконтрирования = "&amp;C101&amp;" * "&amp;H71&amp;" ="</f>
        <v>Дисконтрированные притоки на 6 шаге = Притоки * Коэффициент дисконтрирования = 274197000 * 0,335 =</v>
      </c>
      <c r="C465" s="212">
        <f>C101*H71</f>
        <v>91855995</v>
      </c>
    </row>
    <row r="466" spans="1:3" x14ac:dyDescent="0.25">
      <c r="A466" s="212"/>
      <c r="B466" s="218" t="str">
        <f>B$39&amp;" на "&amp;G72&amp;" шаге = "&amp;B$38&amp;" * Коэффициент дисконтрирования = "&amp;C102&amp;" * "&amp;H72&amp;" ="</f>
        <v>Дисконтрированные притоки на 7 шаге = Притоки * Коэффициент дисконтрирования = 274197000 * 0,279 =</v>
      </c>
      <c r="C466" s="212">
        <f>C102*H72</f>
        <v>76500963</v>
      </c>
    </row>
    <row r="467" spans="1:3" x14ac:dyDescent="0.25">
      <c r="A467" s="212"/>
      <c r="B467" s="218" t="str">
        <f>B$39&amp;" на "&amp;G73&amp;" шаге = "&amp;B$38&amp;" * Коэффициент дисконтрирования = "&amp;C103&amp;" * "&amp;H73&amp;" ="</f>
        <v>Дисконтрированные притоки на 8 шаге = Притоки * Коэффициент дисконтрирования = 274197000 * 0,233 =</v>
      </c>
      <c r="C467" s="212">
        <f>C103*H73</f>
        <v>63887901</v>
      </c>
    </row>
    <row r="468" spans="1:3" x14ac:dyDescent="0.25">
      <c r="A468" s="212"/>
      <c r="B468" s="218" t="str">
        <f>B$39&amp;" на "&amp;G74&amp;" шаге = "&amp;B$38&amp;" * Коэффициент дисконтрирования = "&amp;C104&amp;" * "&amp;H74&amp;" ="</f>
        <v>Дисконтрированные притоки на 9 шаге = Притоки * Коэффициент дисконтрирования = 274197000 * 0,194 =</v>
      </c>
      <c r="C468" s="212">
        <f>C104*H74</f>
        <v>53194218</v>
      </c>
    </row>
    <row r="469" spans="1:3" x14ac:dyDescent="0.25">
      <c r="A469" s="212"/>
      <c r="B469" s="218" t="str">
        <f>B$39&amp;" на "&amp;G75&amp;" шаге = "&amp;B$38&amp;" * Коэффициент дисконтрирования = "&amp;C105&amp;" * "&amp;H75&amp;" ="</f>
        <v>Дисконтрированные притоки на 10 шаге = Притоки * Коэффициент дисконтрирования = 274197000 * 0,162 =</v>
      </c>
      <c r="C469" s="212">
        <f>C105*H75</f>
        <v>44419914</v>
      </c>
    </row>
    <row r="470" spans="1:3" ht="15.75" thickBot="1" x14ac:dyDescent="0.3">
      <c r="A470" s="212"/>
      <c r="B470" s="218" t="s">
        <v>436</v>
      </c>
      <c r="C470" s="212">
        <f>SUM(C459:C469)</f>
        <v>623140102.19999993</v>
      </c>
    </row>
    <row r="471" spans="1:3" ht="15.75" thickBot="1" x14ac:dyDescent="0.3">
      <c r="A471" s="212"/>
      <c r="B471" s="221" t="s">
        <v>394</v>
      </c>
      <c r="C471" s="212"/>
    </row>
    <row r="472" spans="1:3" x14ac:dyDescent="0.25">
      <c r="A472" s="212"/>
      <c r="B472" s="219" t="str">
        <f>B$41&amp;" на "&amp;G65&amp;"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72" s="201">
        <f>C238-D$23-C290-D$30</f>
        <v>87599403</v>
      </c>
    </row>
    <row r="473" spans="1:3" x14ac:dyDescent="0.25">
      <c r="A473" s="212"/>
      <c r="B473" s="219" t="str">
        <f>B$41&amp;" на "&amp;G66&amp;"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73" s="201">
        <f>C239-E$23-C291-E$30</f>
        <v>6396300</v>
      </c>
    </row>
    <row r="474" spans="1:3" x14ac:dyDescent="0.25">
      <c r="A474" s="212"/>
      <c r="B474" s="219" t="str">
        <f>B$41&amp;" на "&amp;G67&amp;"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74" s="201">
        <f>C240-F$23-C292-F$30</f>
        <v>-15833684.628648981</v>
      </c>
    </row>
    <row r="475" spans="1:3" x14ac:dyDescent="0.25">
      <c r="A475" s="212"/>
      <c r="B475" s="219" t="str">
        <f>B$41&amp;" на "&amp;G68&amp;"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75" s="201">
        <f t="shared" ref="C475:C482" si="67">C241-F$23-C293-F$30</f>
        <v>6173973.657080817</v>
      </c>
    </row>
    <row r="476" spans="1:3" x14ac:dyDescent="0.25">
      <c r="A476" s="212"/>
      <c r="B476" s="219" t="str">
        <f>B$41&amp;" на "&amp;G69&amp;"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76" s="201">
        <f t="shared" si="67"/>
        <v>33804939.657080814</v>
      </c>
    </row>
    <row r="477" spans="1:3" x14ac:dyDescent="0.25">
      <c r="A477" s="212"/>
      <c r="B477" s="219" t="str">
        <f>B$41&amp;" на "&amp;G70&amp;"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77" s="201">
        <f t="shared" si="67"/>
        <v>52225583.657080829</v>
      </c>
    </row>
    <row r="478" spans="1:3" x14ac:dyDescent="0.25">
      <c r="A478" s="212"/>
      <c r="B478" s="219" t="str">
        <f>B$41&amp;" на "&amp;G71&amp;"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78" s="201">
        <f t="shared" si="67"/>
        <v>61435905.657080822</v>
      </c>
    </row>
    <row r="479" spans="1:3" x14ac:dyDescent="0.25">
      <c r="A479" s="212"/>
      <c r="B479" s="219" t="str">
        <f>B$41&amp;" на "&amp;G72&amp;"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79" s="201">
        <f t="shared" si="67"/>
        <v>61435905.657080822</v>
      </c>
    </row>
    <row r="480" spans="1:3" x14ac:dyDescent="0.25">
      <c r="A480" s="212"/>
      <c r="B480" s="219" t="str">
        <f>B$41&amp;" на "&amp;G73&amp;"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80" s="201">
        <f t="shared" si="67"/>
        <v>61435905.657080822</v>
      </c>
    </row>
    <row r="481" spans="1:3" x14ac:dyDescent="0.25">
      <c r="A481" s="212"/>
      <c r="B481" s="219" t="str">
        <f>B$41&amp;" на "&amp;G74&amp;"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81" s="201">
        <f t="shared" si="67"/>
        <v>61435905.657080822</v>
      </c>
    </row>
    <row r="482" spans="1:3" x14ac:dyDescent="0.25">
      <c r="A482" s="212"/>
      <c r="B482" s="219" t="str">
        <f>B$41&amp;" на "&amp;G75&amp;"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82" s="201">
        <f t="shared" si="67"/>
        <v>61435905.657080822</v>
      </c>
    </row>
    <row r="483" spans="1:3" ht="15.75" thickBot="1" x14ac:dyDescent="0.3">
      <c r="A483" s="212"/>
      <c r="B483" s="219"/>
      <c r="C483" s="212"/>
    </row>
    <row r="484" spans="1:3" ht="15.75" thickBot="1" x14ac:dyDescent="0.3">
      <c r="A484" s="212"/>
      <c r="B484" s="220" t="s">
        <v>395</v>
      </c>
      <c r="C484" s="212"/>
    </row>
    <row r="485" spans="1:3" x14ac:dyDescent="0.25">
      <c r="A485" s="212"/>
      <c r="B485" s="219" t="str">
        <f>B$41&amp;" на "&amp;G65&amp;"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85" s="201">
        <f>C251-D$23-C303-D$30</f>
        <v>87599403</v>
      </c>
    </row>
    <row r="486" spans="1:3" x14ac:dyDescent="0.25">
      <c r="A486" s="212"/>
      <c r="B486" s="219" t="str">
        <f>B$41&amp;" на "&amp;G66&amp;"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86" s="201">
        <f>C252-E$23-C304-E$30</f>
        <v>6396300</v>
      </c>
    </row>
    <row r="487" spans="1:3" x14ac:dyDescent="0.25">
      <c r="A487" s="212"/>
      <c r="B487" s="219" t="str">
        <f>B$41&amp;" на "&amp;G67&amp;"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87" s="201">
        <f>C253-F$23-C305-F$30</f>
        <v>-15384389.628648981</v>
      </c>
    </row>
    <row r="488" spans="1:3" x14ac:dyDescent="0.25">
      <c r="A488" s="212"/>
      <c r="B488" s="219" t="str">
        <f>B$41&amp;" на "&amp;G68&amp;"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88" s="201">
        <f t="shared" ref="C488:C495" si="68">C254-F$23-C306-F$30</f>
        <v>8032025.3713510185</v>
      </c>
    </row>
    <row r="489" spans="1:3" x14ac:dyDescent="0.25">
      <c r="A489" s="212"/>
      <c r="B489" s="219" t="str">
        <f>B$41&amp;" на "&amp;G69&amp;"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89" s="201">
        <f t="shared" si="68"/>
        <v>35691978.657080814</v>
      </c>
    </row>
    <row r="490" spans="1:3" x14ac:dyDescent="0.25">
      <c r="A490" s="212"/>
      <c r="B490" s="219" t="str">
        <f>B$41&amp;" на "&amp;G70&amp;"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90" s="201">
        <f t="shared" si="68"/>
        <v>54651776.657080829</v>
      </c>
    </row>
    <row r="491" spans="1:3" x14ac:dyDescent="0.25">
      <c r="A491" s="212"/>
      <c r="B491" s="219" t="str">
        <f>B$41&amp;" на "&amp;G71&amp;"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91" s="201">
        <f t="shared" si="68"/>
        <v>64131675.657080822</v>
      </c>
    </row>
    <row r="492" spans="1:3" x14ac:dyDescent="0.25">
      <c r="A492" s="212"/>
      <c r="B492" s="219" t="str">
        <f>B$41&amp;" на "&amp;G72&amp;"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92" s="201">
        <f t="shared" si="68"/>
        <v>64131675.657080822</v>
      </c>
    </row>
    <row r="493" spans="1:3" x14ac:dyDescent="0.25">
      <c r="A493" s="212"/>
      <c r="B493" s="219" t="str">
        <f>B$41&amp;" на "&amp;G73&amp;"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93" s="201">
        <f t="shared" si="68"/>
        <v>64131675.657080822</v>
      </c>
    </row>
    <row r="494" spans="1:3" x14ac:dyDescent="0.25">
      <c r="A494" s="212"/>
      <c r="B494" s="219" t="str">
        <f>B$41&amp;" на "&amp;G74&amp;"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94" s="201">
        <f t="shared" si="68"/>
        <v>64131675.657080822</v>
      </c>
    </row>
    <row r="495" spans="1:3" x14ac:dyDescent="0.25">
      <c r="A495" s="212"/>
      <c r="B495" s="219" t="str">
        <f>B$41&amp;" на "&amp;G75&amp;"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95" s="201">
        <f t="shared" si="68"/>
        <v>64131675.657080822</v>
      </c>
    </row>
    <row r="496" spans="1:3" ht="15.75" thickBot="1" x14ac:dyDescent="0.3">
      <c r="A496" s="212"/>
      <c r="B496" s="219"/>
      <c r="C496" s="212"/>
    </row>
    <row r="497" spans="1:3" ht="15.75" thickBot="1" x14ac:dyDescent="0.3">
      <c r="A497" s="212"/>
      <c r="B497" s="221" t="s">
        <v>394</v>
      </c>
      <c r="C497" s="212"/>
    </row>
    <row r="498" spans="1:3" x14ac:dyDescent="0.25">
      <c r="A498" s="212"/>
      <c r="B498" s="219" t="str">
        <f>B$42&amp;" на "&amp;G65&amp;" шаге = Оттоки * Коэффициент дисконтирования = "&amp;ROUND(C485,2)&amp;" * "&amp;H65&amp;" ="</f>
        <v>Дисконтрированные оттоки на 0 шаге = Оттоки * Коэффициент дисконтирования = 87599403 * 1 =</v>
      </c>
      <c r="C498" s="201">
        <f>C472*H65</f>
        <v>87599403</v>
      </c>
    </row>
    <row r="499" spans="1:3" x14ac:dyDescent="0.25">
      <c r="A499" s="212"/>
      <c r="B499" s="219" t="str">
        <f>B$42&amp;" на "&amp;G66&amp;" шаге = Оттоки * Коэффициент дисконтирования = "&amp;ROUND(C486,2)&amp;" * "&amp;H66&amp;" ="</f>
        <v>Дисконтрированные оттоки на 1 шаге = Оттоки * Коэффициент дисконтирования = 6396300 * 0,833 =</v>
      </c>
      <c r="C499" s="201">
        <f>C473*H66</f>
        <v>5328117.8999999994</v>
      </c>
    </row>
    <row r="500" spans="1:3" x14ac:dyDescent="0.25">
      <c r="A500" s="212"/>
      <c r="B500" s="219" t="str">
        <f>B$42&amp;" на "&amp;G67&amp;" шаге = Оттоки * Коэффициент дисконтирования = "&amp;ROUND(C487,2)&amp;" * "&amp;H67&amp;" ="</f>
        <v>Дисконтрированные оттоки на 2 шаге = Оттоки * Коэффициент дисконтирования = -15384389,63 * 0,694 =</v>
      </c>
      <c r="C500" s="201">
        <f>C474*H67</f>
        <v>-10988577.132282393</v>
      </c>
    </row>
    <row r="501" spans="1:3" x14ac:dyDescent="0.25">
      <c r="A501" s="212"/>
      <c r="B501" s="219" t="str">
        <f>B$42&amp;" на "&amp;G68&amp;" шаге = Оттоки * Коэффициент дисконтирования = "&amp;ROUND(C488,2)&amp;" * "&amp;H68&amp;" ="</f>
        <v>Дисконтрированные оттоки на 3 шаге = Оттоки * Коэффициент дисконтирования = 8032025,37 * 0,579 =</v>
      </c>
      <c r="C501" s="201">
        <f>C475*H68</f>
        <v>3574730.7474497929</v>
      </c>
    </row>
    <row r="502" spans="1:3" x14ac:dyDescent="0.25">
      <c r="A502" s="212"/>
      <c r="B502" s="219" t="str">
        <f>B$42&amp;" на "&amp;G69&amp;" шаге = Оттоки * Коэффициент дисконтирования = "&amp;ROUND(C489,2)&amp;" * "&amp;H69&amp;" ="</f>
        <v>Дисконтрированные оттоки на 4 шаге = Оттоки * Коэффициент дисконтирования = 35691978,66 * 0,482 =</v>
      </c>
      <c r="C502" s="201">
        <f>C476*H69</f>
        <v>16293980.914712952</v>
      </c>
    </row>
    <row r="503" spans="1:3" x14ac:dyDescent="0.25">
      <c r="A503" s="212"/>
      <c r="B503" s="219" t="str">
        <f>B$42&amp;" на "&amp;G70&amp;" шаге = Оттоки * Коэффициент дисконтирования = "&amp;ROUND(C490,2)&amp;" * "&amp;H70&amp;" ="</f>
        <v>Дисконтрированные оттоки на 5 шаге = Оттоки * Коэффициент дисконтирования = 54651776,66 * 0,402 =</v>
      </c>
      <c r="C503" s="201">
        <f>C477*H70</f>
        <v>20994684.630146496</v>
      </c>
    </row>
    <row r="504" spans="1:3" x14ac:dyDescent="0.25">
      <c r="A504" s="212"/>
      <c r="B504" s="219" t="str">
        <f>B$42&amp;" на "&amp;G71&amp;" шаге = Оттоки * Коэффициент дисконтирования = "&amp;ROUND(C491,2)&amp;" * "&amp;H71&amp;" ="</f>
        <v>Дисконтрированные оттоки на 6 шаге = Оттоки * Коэффициент дисконтирования = 64131675,66 * 0,335 =</v>
      </c>
      <c r="C504" s="201">
        <f>C478*H71</f>
        <v>20581028.395122077</v>
      </c>
    </row>
    <row r="505" spans="1:3" x14ac:dyDescent="0.25">
      <c r="A505" s="212"/>
      <c r="B505" s="219" t="str">
        <f>B$42&amp;" на "&amp;G72&amp;" шаге = Оттоки * Коэффициент дисконтирования = "&amp;ROUND(C492,2)&amp;" * "&amp;H72&amp;" ="</f>
        <v>Дисконтрированные оттоки на 7 шаге = Оттоки * Коэффициент дисконтирования = 64131675,66 * 0,279 =</v>
      </c>
      <c r="C505" s="201">
        <f>C479*H72</f>
        <v>17140617.678325552</v>
      </c>
    </row>
    <row r="506" spans="1:3" x14ac:dyDescent="0.25">
      <c r="A506" s="212"/>
      <c r="B506" s="219" t="str">
        <f>B$42&amp;" на "&amp;G73&amp;" шаге = Оттоки * Коэффициент дисконтирования = "&amp;ROUND(C493,2)&amp;" * "&amp;H73&amp;" ="</f>
        <v>Дисконтрированные оттоки на 8 шаге = Оттоки * Коэффициент дисконтирования = 64131675,66 * 0,233 =</v>
      </c>
      <c r="C506" s="201">
        <f>C480*H73</f>
        <v>14314566.018099831</v>
      </c>
    </row>
    <row r="507" spans="1:3" x14ac:dyDescent="0.25">
      <c r="A507" s="212"/>
      <c r="B507" s="219" t="str">
        <f>B$42&amp;" на "&amp;G74&amp;" шаге = Оттоки * Коэффициент дисконтирования = "&amp;ROUND(C494,2)&amp;" * "&amp;H74&amp;" ="</f>
        <v>Дисконтрированные оттоки на 9 шаге = Оттоки * Коэффициент дисконтирования = 64131675,66 * 0,194 =</v>
      </c>
      <c r="C507" s="201">
        <f>C481*H74</f>
        <v>11918565.697473681</v>
      </c>
    </row>
    <row r="508" spans="1:3" x14ac:dyDescent="0.25">
      <c r="A508" s="212"/>
      <c r="B508" s="219" t="str">
        <f>B$42&amp;" на "&amp;G75&amp;" шаге = Оттоки * Коэффициент дисконтирования = "&amp;ROUND(C495,2)&amp;" * "&amp;H75&amp;" ="</f>
        <v>Дисконтрированные оттоки на 10 шаге = Оттоки * Коэффициент дисконтирования = 64131675,66 * 0,162 =</v>
      </c>
      <c r="C508" s="201">
        <f>C482*H75</f>
        <v>9952616.7164470926</v>
      </c>
    </row>
    <row r="509" spans="1:3" ht="15.75" thickBot="1" x14ac:dyDescent="0.3">
      <c r="A509" s="212"/>
      <c r="B509" s="219" t="str">
        <f>B43&amp;" = "</f>
        <v xml:space="preserve">Сумма дисконтрированных оттоков = </v>
      </c>
      <c r="C509" s="201">
        <f>SUM(C498:C508)</f>
        <v>196709734.5654951</v>
      </c>
    </row>
    <row r="510" spans="1:3" ht="15.75" thickBot="1" x14ac:dyDescent="0.3">
      <c r="A510" s="212"/>
      <c r="B510" s="220" t="s">
        <v>395</v>
      </c>
      <c r="C510" s="212"/>
    </row>
    <row r="511" spans="1:3" x14ac:dyDescent="0.25">
      <c r="A511" s="212"/>
      <c r="B511" s="219" t="str">
        <f>B$42&amp;" на "&amp;G65&amp;" шаге = Оттоки * Коэффициент дисконтирования = "&amp;ROUND(C498,2)&amp;" * "&amp;H65&amp;" ="</f>
        <v>Дисконтрированные оттоки на 0 шаге = Оттоки * Коэффициент дисконтирования = 87599403 * 1 =</v>
      </c>
      <c r="C511" s="201">
        <f>C485*H65</f>
        <v>87599403</v>
      </c>
    </row>
    <row r="512" spans="1:3" x14ac:dyDescent="0.25">
      <c r="A512" s="212"/>
      <c r="B512" s="219" t="str">
        <f>B$42&amp;" на "&amp;G66&amp;" шаге = Оттоки * Коэффициент дисконтирования = "&amp;ROUND(C499,2)&amp;" * "&amp;H66&amp;" ="</f>
        <v>Дисконтрированные оттоки на 1 шаге = Оттоки * Коэффициент дисконтирования = 5328117,9 * 0,833 =</v>
      </c>
      <c r="C512" s="201">
        <f>C486*H66</f>
        <v>5328117.8999999994</v>
      </c>
    </row>
    <row r="513" spans="1:3" x14ac:dyDescent="0.25">
      <c r="A513" s="212"/>
      <c r="B513" s="219" t="str">
        <f>B$42&amp;" на "&amp;G67&amp;" шаге = Оттоки * Коэффициент дисконтирования = "&amp;ROUND(C500,2)&amp;" * "&amp;H67&amp;" ="</f>
        <v>Дисконтрированные оттоки на 2 шаге = Оттоки * Коэффициент дисконтирования = -10988577,13 * 0,694 =</v>
      </c>
      <c r="C513" s="201">
        <f>C487*H67</f>
        <v>-10676766.402282393</v>
      </c>
    </row>
    <row r="514" spans="1:3" x14ac:dyDescent="0.25">
      <c r="A514" s="212"/>
      <c r="B514" s="219" t="str">
        <f>B$42&amp;" на "&amp;G68&amp;" шаге = Оттоки * Коэффициент дисконтирования = "&amp;ROUND(C501,2)&amp;" * "&amp;H68&amp;" ="</f>
        <v>Дисконтрированные оттоки на 3 шаге = Оттоки * Коэффициент дисконтирования = 3574730,75 * 0,579 =</v>
      </c>
      <c r="C514" s="201">
        <f>C488*H68</f>
        <v>4650542.6900122399</v>
      </c>
    </row>
    <row r="515" spans="1:3" x14ac:dyDescent="0.25">
      <c r="A515" s="212"/>
      <c r="B515" s="219" t="str">
        <f>B$42&amp;" на "&amp;G69&amp;" шаге = Оттоки * Коэффициент дисконтирования = "&amp;ROUND(C502,2)&amp;" * "&amp;H69&amp;" ="</f>
        <v>Дисконтрированные оттоки на 4 шаге = Оттоки * Коэффициент дисконтирования = 16293980,91 * 0,482 =</v>
      </c>
      <c r="C515" s="201">
        <f>C489*H69</f>
        <v>17203533.712712951</v>
      </c>
    </row>
    <row r="516" spans="1:3" x14ac:dyDescent="0.25">
      <c r="A516" s="212"/>
      <c r="B516" s="219" t="str">
        <f>B$42&amp;" на "&amp;G70&amp;" шаге = Оттоки * Коэффициент дисконтирования = "&amp;ROUND(C503,2)&amp;" * "&amp;H70&amp;" ="</f>
        <v>Дисконтрированные оттоки на 5 шаге = Оттоки * Коэффициент дисконтирования = 20994684,63 * 0,402 =</v>
      </c>
      <c r="C516" s="201">
        <f>C490*H70</f>
        <v>21970014.216146495</v>
      </c>
    </row>
    <row r="517" spans="1:3" x14ac:dyDescent="0.25">
      <c r="A517" s="212"/>
      <c r="B517" s="219" t="str">
        <f>B$42&amp;" на "&amp;G71&amp;" шаге = Оттоки * Коэффициент дисконтирования = "&amp;ROUND(C504,2)&amp;" * "&amp;H71&amp;" ="</f>
        <v>Дисконтрированные оттоки на 6 шаге = Оттоки * Коэффициент дисконтирования = 20581028,4 * 0,335 =</v>
      </c>
      <c r="C517" s="201">
        <f>C491*H71</f>
        <v>21484111.345122077</v>
      </c>
    </row>
    <row r="518" spans="1:3" x14ac:dyDescent="0.25">
      <c r="A518" s="212"/>
      <c r="B518" s="219" t="str">
        <f>B$42&amp;" на "&amp;G72&amp;" шаге = Оттоки * Коэффициент дисконтирования = "&amp;ROUND(C505,2)&amp;" * "&amp;H72&amp;" ="</f>
        <v>Дисконтрированные оттоки на 7 шаге = Оттоки * Коэффициент дисконтирования = 17140617,68 * 0,279 =</v>
      </c>
      <c r="C518" s="201">
        <f>C492*H72</f>
        <v>17892737.508325551</v>
      </c>
    </row>
    <row r="519" spans="1:3" x14ac:dyDescent="0.25">
      <c r="A519" s="212"/>
      <c r="B519" s="219" t="str">
        <f>B$42&amp;" на "&amp;G73&amp;" шаге = Оттоки * Коэффициент дисконтирования = "&amp;ROUND(C506,2)&amp;" * "&amp;H73&amp;" ="</f>
        <v>Дисконтрированные оттоки на 8 шаге = Оттоки * Коэффициент дисконтирования = 14314566,02 * 0,233 =</v>
      </c>
      <c r="C519" s="201">
        <f>C493*H73</f>
        <v>14942680.428099832</v>
      </c>
    </row>
    <row r="520" spans="1:3" x14ac:dyDescent="0.25">
      <c r="A520" s="212"/>
      <c r="B520" s="219" t="str">
        <f>B$42&amp;" на "&amp;G74&amp;" шаге = Оттоки * Коэффициент дисконтирования = "&amp;ROUND(C507,2)&amp;" * "&amp;H74&amp;" ="</f>
        <v>Дисконтрированные оттоки на 9 шаге = Оттоки * Коэффициент дисконтирования = 11918565,7 * 0,194 =</v>
      </c>
      <c r="C520" s="201">
        <f>C494*H74</f>
        <v>12441545.07747368</v>
      </c>
    </row>
    <row r="521" spans="1:3" x14ac:dyDescent="0.25">
      <c r="A521" s="212"/>
      <c r="B521" s="219" t="str">
        <f>B$42&amp;" на "&amp;G75&amp;" шаге = Оттоки * Коэффициент дисконтирования = "&amp;ROUND(C508,2)&amp;" * "&amp;H75&amp;" ="</f>
        <v>Дисконтрированные оттоки на 10 шаге = Оттоки * Коэффициент дисконтирования = 9952616,72 * 0,162 =</v>
      </c>
      <c r="C521" s="201">
        <f>C495*H75</f>
        <v>10389331.456447093</v>
      </c>
    </row>
    <row r="522" spans="1:3" x14ac:dyDescent="0.25">
      <c r="A522" s="212"/>
      <c r="B522" s="219" t="str">
        <f>B43&amp;" = "</f>
        <v xml:space="preserve">Сумма дисконтрированных оттоков = </v>
      </c>
      <c r="C522" s="201">
        <f>SUM(C511:C521)</f>
        <v>203225250.93205753</v>
      </c>
    </row>
    <row r="523" spans="1:3" x14ac:dyDescent="0.25">
      <c r="A523" s="212"/>
      <c r="B523" s="219"/>
      <c r="C523" s="212"/>
    </row>
    <row r="524" spans="1:3" x14ac:dyDescent="0.25">
      <c r="A524" s="212"/>
      <c r="B524" s="218" t="str">
        <f>B$44&amp;" на "&amp;G65&amp;" шаге = "&amp;B$30&amp;" * Коэффициент дисконтирования ="</f>
        <v>Диспонтрикрованные инвестиции на 0 шаге = инвестиции * Коэффициент дисконтирования =</v>
      </c>
      <c r="C524" s="201">
        <f>D44</f>
        <v>-87599403</v>
      </c>
    </row>
    <row r="525" spans="1:3" x14ac:dyDescent="0.25">
      <c r="A525" s="212"/>
      <c r="B525" s="218" t="str">
        <f>B$44&amp;" на "&amp;G66&amp;" шаге = "&amp;B$30&amp;" * Коэффициент дисконтирования ="</f>
        <v>Диспонтрикрованные инвестиции на 1 шаге = инвестиции * Коэффициент дисконтирования =</v>
      </c>
      <c r="C525" s="201">
        <f>E44</f>
        <v>-5328117.8999999994</v>
      </c>
    </row>
    <row r="526" spans="1:3" x14ac:dyDescent="0.25">
      <c r="A526" s="212"/>
      <c r="B526" s="219"/>
      <c r="C526" s="212"/>
    </row>
  </sheetData>
  <mergeCells count="82">
    <mergeCell ref="A1:A3"/>
    <mergeCell ref="B1:B3"/>
    <mergeCell ref="C1:C3"/>
    <mergeCell ref="D1:Y1"/>
    <mergeCell ref="D2:N2"/>
    <mergeCell ref="O2:Y2"/>
    <mergeCell ref="O40:Y40"/>
    <mergeCell ref="D43:N43"/>
    <mergeCell ref="O43:Y43"/>
    <mergeCell ref="E46:F46"/>
    <mergeCell ref="E47:F47"/>
    <mergeCell ref="E48:F48"/>
    <mergeCell ref="E55:F55"/>
    <mergeCell ref="E56:F56"/>
    <mergeCell ref="E57:F57"/>
    <mergeCell ref="D40:N40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5:B225"/>
    <mergeCell ref="A226:B226"/>
    <mergeCell ref="A227:B227"/>
    <mergeCell ref="A228:B228"/>
    <mergeCell ref="A229:B229"/>
    <mergeCell ref="A235:B235"/>
    <mergeCell ref="A230:B230"/>
    <mergeCell ref="A231:B231"/>
    <mergeCell ref="A232:B232"/>
    <mergeCell ref="A233:B233"/>
    <mergeCell ref="A234:B234"/>
  </mergeCells>
  <printOptions horizontalCentered="1" verticalCentered="1" gridLines="1"/>
  <pageMargins left="0.19685039370078741" right="0.19685039370078741" top="0.19685039370078741" bottom="0.19685039370078741" header="0" footer="0"/>
  <pageSetup paperSize="9" scale="80" fitToWidth="0" pageOrder="overThenDown" orientation="landscape" blackAndWhite="1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5"/>
  <sheetViews>
    <sheetView topLeftCell="B44" zoomScaleNormal="100" workbookViewId="0">
      <selection activeCell="D55" sqref="D55"/>
    </sheetView>
  </sheetViews>
  <sheetFormatPr defaultRowHeight="15" x14ac:dyDescent="0.25"/>
  <cols>
    <col min="1" max="1" width="9.7109375" bestFit="1" customWidth="1"/>
    <col min="2" max="2" width="135.28515625" bestFit="1" customWidth="1"/>
    <col min="3" max="3" width="17.5703125" bestFit="1" customWidth="1"/>
    <col min="4" max="13" width="18.140625" bestFit="1" customWidth="1"/>
    <col min="14" max="14" width="17.5703125" bestFit="1" customWidth="1"/>
    <col min="15" max="16" width="16.5703125" bestFit="1" customWidth="1"/>
    <col min="17" max="25" width="17.5703125" bestFit="1" customWidth="1"/>
    <col min="255" max="255" width="3.28515625" bestFit="1" customWidth="1"/>
    <col min="256" max="256" width="6.5703125" bestFit="1" customWidth="1"/>
  </cols>
  <sheetData>
    <row r="1" spans="1:26" ht="15.75" thickBot="1" x14ac:dyDescent="0.3">
      <c r="A1" s="275" t="s">
        <v>393</v>
      </c>
      <c r="B1" s="276" t="s">
        <v>292</v>
      </c>
      <c r="C1" s="275" t="s">
        <v>293</v>
      </c>
      <c r="D1" s="284" t="s">
        <v>285</v>
      </c>
      <c r="E1" s="284"/>
      <c r="F1" s="284"/>
      <c r="G1" s="284"/>
      <c r="H1" s="284"/>
      <c r="I1" s="284"/>
      <c r="J1" s="284"/>
      <c r="K1" s="284"/>
      <c r="L1" s="284"/>
      <c r="M1" s="284"/>
      <c r="N1" s="284"/>
      <c r="O1" s="284"/>
      <c r="P1" s="284"/>
      <c r="Q1" s="284"/>
      <c r="R1" s="284"/>
      <c r="S1" s="284"/>
      <c r="T1" s="284"/>
      <c r="U1" s="284"/>
      <c r="V1" s="284"/>
      <c r="W1" s="284"/>
      <c r="X1" s="284"/>
      <c r="Y1" s="284"/>
      <c r="Z1" s="174"/>
    </row>
    <row r="2" spans="1:26" x14ac:dyDescent="0.25">
      <c r="A2" s="275"/>
      <c r="B2" s="276"/>
      <c r="C2" s="277"/>
      <c r="D2" s="281" t="s">
        <v>394</v>
      </c>
      <c r="E2" s="282"/>
      <c r="F2" s="282"/>
      <c r="G2" s="282"/>
      <c r="H2" s="282"/>
      <c r="I2" s="282"/>
      <c r="J2" s="282"/>
      <c r="K2" s="282"/>
      <c r="L2" s="282"/>
      <c r="M2" s="282"/>
      <c r="N2" s="283"/>
      <c r="O2" s="281" t="s">
        <v>395</v>
      </c>
      <c r="P2" s="282"/>
      <c r="Q2" s="282"/>
      <c r="R2" s="282"/>
      <c r="S2" s="282"/>
      <c r="T2" s="282"/>
      <c r="U2" s="282"/>
      <c r="V2" s="282"/>
      <c r="W2" s="282"/>
      <c r="X2" s="282"/>
      <c r="Y2" s="283"/>
      <c r="Z2" s="174"/>
    </row>
    <row r="3" spans="1:26" x14ac:dyDescent="0.25">
      <c r="A3" s="275"/>
      <c r="B3" s="276"/>
      <c r="C3" s="277"/>
      <c r="D3" s="175">
        <v>0</v>
      </c>
      <c r="E3" s="176">
        <v>1</v>
      </c>
      <c r="F3" s="176">
        <v>2</v>
      </c>
      <c r="G3" s="176">
        <v>3</v>
      </c>
      <c r="H3" s="176">
        <v>4</v>
      </c>
      <c r="I3" s="176">
        <v>5</v>
      </c>
      <c r="J3" s="176">
        <v>6</v>
      </c>
      <c r="K3" s="176">
        <v>7</v>
      </c>
      <c r="L3" s="176">
        <v>8</v>
      </c>
      <c r="M3" s="176">
        <v>9</v>
      </c>
      <c r="N3" s="177">
        <v>10</v>
      </c>
      <c r="O3" s="175">
        <v>0</v>
      </c>
      <c r="P3" s="176">
        <v>1</v>
      </c>
      <c r="Q3" s="176">
        <v>2</v>
      </c>
      <c r="R3" s="176">
        <v>3</v>
      </c>
      <c r="S3" s="176">
        <v>4</v>
      </c>
      <c r="T3" s="176">
        <v>5</v>
      </c>
      <c r="U3" s="176">
        <v>6</v>
      </c>
      <c r="V3" s="176">
        <v>7</v>
      </c>
      <c r="W3" s="176">
        <v>8</v>
      </c>
      <c r="X3" s="176">
        <v>9</v>
      </c>
      <c r="Y3" s="177">
        <v>10</v>
      </c>
      <c r="Z3" s="174"/>
    </row>
    <row r="4" spans="1:26" x14ac:dyDescent="0.25">
      <c r="A4" s="176">
        <v>1</v>
      </c>
      <c r="B4" s="178" t="s">
        <v>294</v>
      </c>
      <c r="C4" s="179"/>
      <c r="D4" s="175"/>
      <c r="E4" s="176"/>
      <c r="F4" s="176"/>
      <c r="G4" s="176"/>
      <c r="H4" s="176"/>
      <c r="I4" s="176"/>
      <c r="J4" s="176"/>
      <c r="K4" s="176"/>
      <c r="L4" s="176"/>
      <c r="M4" s="176"/>
      <c r="N4" s="177"/>
      <c r="O4" s="175"/>
      <c r="P4" s="176"/>
      <c r="Q4" s="176"/>
      <c r="R4" s="176"/>
      <c r="S4" s="176"/>
      <c r="T4" s="176"/>
      <c r="U4" s="176"/>
      <c r="V4" s="176"/>
      <c r="W4" s="176"/>
      <c r="X4" s="176"/>
      <c r="Y4" s="177"/>
      <c r="Z4" s="174"/>
    </row>
    <row r="5" spans="1:26" x14ac:dyDescent="0.25">
      <c r="A5" s="176">
        <v>2</v>
      </c>
      <c r="B5" s="178" t="s">
        <v>295</v>
      </c>
      <c r="C5" s="179" t="s">
        <v>318</v>
      </c>
      <c r="D5" s="180" t="s">
        <v>268</v>
      </c>
      <c r="E5" s="181" t="s">
        <v>268</v>
      </c>
      <c r="F5" s="181">
        <f>'666'!D398</f>
        <v>55000</v>
      </c>
      <c r="G5" s="181">
        <f>'666'!E398</f>
        <v>110000</v>
      </c>
      <c r="H5" s="181">
        <f>'666'!F398</f>
        <v>192500</v>
      </c>
      <c r="I5" s="181">
        <f>'666'!G398</f>
        <v>247500</v>
      </c>
      <c r="J5" s="181">
        <f>'666'!$H398</f>
        <v>275000</v>
      </c>
      <c r="K5" s="181">
        <f>'666'!$H398</f>
        <v>275000</v>
      </c>
      <c r="L5" s="181">
        <f>'666'!$H398</f>
        <v>275000</v>
      </c>
      <c r="M5" s="181">
        <f>'666'!$H398</f>
        <v>275000</v>
      </c>
      <c r="N5" s="181">
        <f>'666'!$H398</f>
        <v>275000</v>
      </c>
      <c r="O5" s="180" t="s">
        <v>268</v>
      </c>
      <c r="P5" s="181" t="s">
        <v>268</v>
      </c>
      <c r="Q5" s="181">
        <f>F5</f>
        <v>55000</v>
      </c>
      <c r="R5" s="181">
        <f t="shared" ref="R5:Y5" si="0">G5</f>
        <v>110000</v>
      </c>
      <c r="S5" s="181">
        <f t="shared" si="0"/>
        <v>192500</v>
      </c>
      <c r="T5" s="181">
        <f t="shared" si="0"/>
        <v>247500</v>
      </c>
      <c r="U5" s="181">
        <f t="shared" si="0"/>
        <v>275000</v>
      </c>
      <c r="V5" s="181">
        <f t="shared" si="0"/>
        <v>275000</v>
      </c>
      <c r="W5" s="181">
        <f t="shared" si="0"/>
        <v>275000</v>
      </c>
      <c r="X5" s="181">
        <f t="shared" si="0"/>
        <v>275000</v>
      </c>
      <c r="Y5" s="181">
        <f t="shared" si="0"/>
        <v>275000</v>
      </c>
      <c r="Z5" s="174"/>
    </row>
    <row r="6" spans="1:26" x14ac:dyDescent="0.25">
      <c r="A6" s="176">
        <v>3</v>
      </c>
      <c r="B6" s="178" t="s">
        <v>396</v>
      </c>
      <c r="C6" s="179" t="s">
        <v>320</v>
      </c>
      <c r="D6" s="180" t="s">
        <v>268</v>
      </c>
      <c r="E6" s="181" t="s">
        <v>268</v>
      </c>
      <c r="F6" s="181">
        <f>'666'!F409</f>
        <v>997.07999999999993</v>
      </c>
      <c r="G6" s="181">
        <f>'666'!G409</f>
        <v>997.07999999999993</v>
      </c>
      <c r="H6" s="181">
        <f>'666'!H409</f>
        <v>997.07999999999993</v>
      </c>
      <c r="I6" s="181">
        <f>'666'!I409</f>
        <v>997.07999999999993</v>
      </c>
      <c r="J6" s="181">
        <f>'666'!$J409</f>
        <v>997.07999999999993</v>
      </c>
      <c r="K6" s="181">
        <f>'666'!$J409</f>
        <v>997.07999999999993</v>
      </c>
      <c r="L6" s="181">
        <f>'666'!$J409</f>
        <v>997.07999999999993</v>
      </c>
      <c r="M6" s="181">
        <f>'666'!$J409</f>
        <v>997.07999999999993</v>
      </c>
      <c r="N6" s="182">
        <f>'666'!$J409</f>
        <v>997.07999999999993</v>
      </c>
      <c r="O6" s="180" t="s">
        <v>268</v>
      </c>
      <c r="P6" s="181" t="s">
        <v>268</v>
      </c>
      <c r="Q6" s="181">
        <f>F6</f>
        <v>997.07999999999993</v>
      </c>
      <c r="R6" s="181">
        <f t="shared" ref="R6:Y6" si="1">G6</f>
        <v>997.07999999999993</v>
      </c>
      <c r="S6" s="181">
        <f t="shared" si="1"/>
        <v>997.07999999999993</v>
      </c>
      <c r="T6" s="181">
        <f t="shared" si="1"/>
        <v>997.07999999999993</v>
      </c>
      <c r="U6" s="181">
        <f t="shared" si="1"/>
        <v>997.07999999999993</v>
      </c>
      <c r="V6" s="181">
        <f t="shared" si="1"/>
        <v>997.07999999999993</v>
      </c>
      <c r="W6" s="181">
        <f t="shared" si="1"/>
        <v>997.07999999999993</v>
      </c>
      <c r="X6" s="181">
        <f t="shared" si="1"/>
        <v>997.07999999999993</v>
      </c>
      <c r="Y6" s="182">
        <f t="shared" si="1"/>
        <v>997.07999999999993</v>
      </c>
      <c r="Z6" s="174"/>
    </row>
    <row r="7" spans="1:26" x14ac:dyDescent="0.25">
      <c r="A7" s="176">
        <v>4</v>
      </c>
      <c r="B7" s="178" t="s">
        <v>297</v>
      </c>
      <c r="C7" s="179" t="s">
        <v>321</v>
      </c>
      <c r="D7" s="180" t="s">
        <v>268</v>
      </c>
      <c r="E7" s="181" t="s">
        <v>268</v>
      </c>
      <c r="F7" s="181">
        <f>F5*F6</f>
        <v>54839399.999999993</v>
      </c>
      <c r="G7" s="181">
        <f t="shared" ref="G7:N7" si="2">G5*G6</f>
        <v>109678799.99999999</v>
      </c>
      <c r="H7" s="181">
        <f t="shared" si="2"/>
        <v>191937900</v>
      </c>
      <c r="I7" s="181">
        <f t="shared" si="2"/>
        <v>246777299.99999997</v>
      </c>
      <c r="J7" s="181">
        <f t="shared" si="2"/>
        <v>274197000</v>
      </c>
      <c r="K7" s="181">
        <f t="shared" si="2"/>
        <v>274197000</v>
      </c>
      <c r="L7" s="181">
        <f t="shared" si="2"/>
        <v>274197000</v>
      </c>
      <c r="M7" s="181">
        <f t="shared" si="2"/>
        <v>274197000</v>
      </c>
      <c r="N7" s="182">
        <f t="shared" si="2"/>
        <v>274197000</v>
      </c>
      <c r="O7" s="180" t="s">
        <v>268</v>
      </c>
      <c r="P7" s="181" t="s">
        <v>268</v>
      </c>
      <c r="Q7" s="181">
        <f>Q5*Q6</f>
        <v>54839399.999999993</v>
      </c>
      <c r="R7" s="181">
        <f t="shared" ref="R7:Y7" si="3">R5*R6</f>
        <v>109678799.99999999</v>
      </c>
      <c r="S7" s="181">
        <f t="shared" si="3"/>
        <v>191937900</v>
      </c>
      <c r="T7" s="181">
        <f t="shared" si="3"/>
        <v>246777299.99999997</v>
      </c>
      <c r="U7" s="181">
        <f t="shared" si="3"/>
        <v>274197000</v>
      </c>
      <c r="V7" s="181">
        <f t="shared" si="3"/>
        <v>274197000</v>
      </c>
      <c r="W7" s="181">
        <f t="shared" si="3"/>
        <v>274197000</v>
      </c>
      <c r="X7" s="181">
        <f t="shared" si="3"/>
        <v>274197000</v>
      </c>
      <c r="Y7" s="182">
        <f t="shared" si="3"/>
        <v>274197000</v>
      </c>
      <c r="Z7" s="174"/>
    </row>
    <row r="8" spans="1:26" x14ac:dyDescent="0.25">
      <c r="A8" s="176">
        <v>5</v>
      </c>
      <c r="B8" s="178" t="s">
        <v>298</v>
      </c>
      <c r="C8" s="179" t="s">
        <v>418</v>
      </c>
      <c r="D8" s="180" t="s">
        <v>268</v>
      </c>
      <c r="E8" s="181" t="s">
        <v>268</v>
      </c>
      <c r="F8" s="181">
        <f>(F7/120)*20</f>
        <v>9139899.9999999981</v>
      </c>
      <c r="G8" s="181">
        <f t="shared" ref="G8:N8" si="4">(G7/120)*20</f>
        <v>18279799.999999996</v>
      </c>
      <c r="H8" s="181">
        <f t="shared" si="4"/>
        <v>31989650</v>
      </c>
      <c r="I8" s="181">
        <f t="shared" si="4"/>
        <v>41129549.999999993</v>
      </c>
      <c r="J8" s="181">
        <f t="shared" si="4"/>
        <v>45699500</v>
      </c>
      <c r="K8" s="181">
        <f t="shared" si="4"/>
        <v>45699500</v>
      </c>
      <c r="L8" s="181">
        <f t="shared" si="4"/>
        <v>45699500</v>
      </c>
      <c r="M8" s="181">
        <f t="shared" si="4"/>
        <v>45699500</v>
      </c>
      <c r="N8" s="182">
        <f t="shared" si="4"/>
        <v>45699500</v>
      </c>
      <c r="O8" s="180" t="s">
        <v>268</v>
      </c>
      <c r="P8" s="181" t="s">
        <v>268</v>
      </c>
      <c r="Q8" s="181">
        <f>(Q7/120)*20</f>
        <v>9139899.9999999981</v>
      </c>
      <c r="R8" s="181">
        <f t="shared" ref="R8:Y8" si="5">(R7/120)*20</f>
        <v>18279799.999999996</v>
      </c>
      <c r="S8" s="181">
        <f t="shared" si="5"/>
        <v>31989650</v>
      </c>
      <c r="T8" s="181">
        <f t="shared" si="5"/>
        <v>41129549.999999993</v>
      </c>
      <c r="U8" s="181">
        <f t="shared" si="5"/>
        <v>45699500</v>
      </c>
      <c r="V8" s="181">
        <f t="shared" si="5"/>
        <v>45699500</v>
      </c>
      <c r="W8" s="181">
        <f t="shared" si="5"/>
        <v>45699500</v>
      </c>
      <c r="X8" s="181">
        <f t="shared" si="5"/>
        <v>45699500</v>
      </c>
      <c r="Y8" s="182">
        <f t="shared" si="5"/>
        <v>45699500</v>
      </c>
      <c r="Z8" s="174"/>
    </row>
    <row r="9" spans="1:26" x14ac:dyDescent="0.25">
      <c r="A9" s="176">
        <v>6</v>
      </c>
      <c r="B9" s="178" t="s">
        <v>299</v>
      </c>
      <c r="C9" s="183" t="s">
        <v>419</v>
      </c>
      <c r="D9" s="180" t="s">
        <v>268</v>
      </c>
      <c r="E9" s="181" t="s">
        <v>268</v>
      </c>
      <c r="F9" s="181">
        <f>F7-F8</f>
        <v>45699499.999999993</v>
      </c>
      <c r="G9" s="181">
        <f t="shared" ref="G9:N9" si="6">G7-G8</f>
        <v>91398999.999999985</v>
      </c>
      <c r="H9" s="181">
        <f t="shared" si="6"/>
        <v>159948250</v>
      </c>
      <c r="I9" s="181">
        <f t="shared" si="6"/>
        <v>205647749.99999997</v>
      </c>
      <c r="J9" s="181">
        <f t="shared" si="6"/>
        <v>228497500</v>
      </c>
      <c r="K9" s="181">
        <f t="shared" si="6"/>
        <v>228497500</v>
      </c>
      <c r="L9" s="181">
        <f t="shared" si="6"/>
        <v>228497500</v>
      </c>
      <c r="M9" s="181">
        <f t="shared" si="6"/>
        <v>228497500</v>
      </c>
      <c r="N9" s="182">
        <f t="shared" si="6"/>
        <v>228497500</v>
      </c>
      <c r="O9" s="180" t="s">
        <v>268</v>
      </c>
      <c r="P9" s="181" t="s">
        <v>268</v>
      </c>
      <c r="Q9" s="181">
        <f>Q7-Q8</f>
        <v>45699499.999999993</v>
      </c>
      <c r="R9" s="181">
        <f t="shared" ref="R9:Y9" si="7">R7-R8</f>
        <v>91398999.999999985</v>
      </c>
      <c r="S9" s="181">
        <f t="shared" si="7"/>
        <v>159948250</v>
      </c>
      <c r="T9" s="181">
        <f t="shared" si="7"/>
        <v>205647749.99999997</v>
      </c>
      <c r="U9" s="181">
        <f t="shared" si="7"/>
        <v>228497500</v>
      </c>
      <c r="V9" s="181">
        <f t="shared" si="7"/>
        <v>228497500</v>
      </c>
      <c r="W9" s="181">
        <f t="shared" si="7"/>
        <v>228497500</v>
      </c>
      <c r="X9" s="181">
        <f t="shared" si="7"/>
        <v>228497500</v>
      </c>
      <c r="Y9" s="182">
        <f t="shared" si="7"/>
        <v>228497500</v>
      </c>
      <c r="Z9" s="174"/>
    </row>
    <row r="10" spans="1:26" x14ac:dyDescent="0.25">
      <c r="A10" s="176">
        <v>7</v>
      </c>
      <c r="B10" s="178" t="s">
        <v>397</v>
      </c>
      <c r="C10" s="179"/>
      <c r="D10" s="180" t="s">
        <v>268</v>
      </c>
      <c r="E10" s="181" t="s">
        <v>268</v>
      </c>
      <c r="F10" s="181"/>
      <c r="G10" s="181"/>
      <c r="H10" s="181"/>
      <c r="I10" s="181"/>
      <c r="J10" s="181"/>
      <c r="K10" s="181"/>
      <c r="L10" s="181"/>
      <c r="M10" s="181"/>
      <c r="N10" s="182"/>
      <c r="O10" s="180" t="s">
        <v>268</v>
      </c>
      <c r="P10" s="181" t="s">
        <v>268</v>
      </c>
      <c r="Q10" s="181"/>
      <c r="R10" s="181"/>
      <c r="S10" s="181"/>
      <c r="T10" s="181"/>
      <c r="U10" s="181"/>
      <c r="V10" s="181"/>
      <c r="W10" s="181"/>
      <c r="X10" s="181"/>
      <c r="Y10" s="182"/>
      <c r="Z10" s="174"/>
    </row>
    <row r="11" spans="1:26" x14ac:dyDescent="0.25">
      <c r="A11" s="176">
        <v>8</v>
      </c>
      <c r="B11" s="178" t="s">
        <v>398</v>
      </c>
      <c r="C11" s="179"/>
      <c r="D11" s="180" t="s">
        <v>268</v>
      </c>
      <c r="E11" s="181" t="s">
        <v>268</v>
      </c>
      <c r="F11" s="181"/>
      <c r="G11" s="181"/>
      <c r="H11" s="181"/>
      <c r="I11" s="181"/>
      <c r="J11" s="181"/>
      <c r="K11" s="181"/>
      <c r="L11" s="181"/>
      <c r="M11" s="181"/>
      <c r="N11" s="182"/>
      <c r="O11" s="180" t="s">
        <v>268</v>
      </c>
      <c r="P11" s="181" t="s">
        <v>268</v>
      </c>
      <c r="Q11" s="181"/>
      <c r="R11" s="181"/>
      <c r="S11" s="181"/>
      <c r="T11" s="181"/>
      <c r="U11" s="181"/>
      <c r="V11" s="181"/>
      <c r="W11" s="181"/>
      <c r="X11" s="181"/>
      <c r="Y11" s="182"/>
      <c r="Z11" s="174"/>
    </row>
    <row r="12" spans="1:26" x14ac:dyDescent="0.25">
      <c r="A12" s="176">
        <v>9</v>
      </c>
      <c r="B12" s="178" t="s">
        <v>399</v>
      </c>
      <c r="C12" s="179"/>
      <c r="D12" s="180" t="s">
        <v>268</v>
      </c>
      <c r="E12" s="181" t="s">
        <v>268</v>
      </c>
      <c r="F12" s="181" t="s">
        <v>268</v>
      </c>
      <c r="G12" s="181" t="s">
        <v>268</v>
      </c>
      <c r="H12" s="181" t="s">
        <v>268</v>
      </c>
      <c r="I12" s="181" t="s">
        <v>268</v>
      </c>
      <c r="J12" s="181" t="s">
        <v>268</v>
      </c>
      <c r="K12" s="181" t="s">
        <v>268</v>
      </c>
      <c r="L12" s="181" t="s">
        <v>268</v>
      </c>
      <c r="M12" s="181" t="s">
        <v>268</v>
      </c>
      <c r="N12" s="182" t="s">
        <v>268</v>
      </c>
      <c r="O12" s="180" t="s">
        <v>268</v>
      </c>
      <c r="P12" s="181" t="s">
        <v>268</v>
      </c>
      <c r="Q12" s="181" t="s">
        <v>268</v>
      </c>
      <c r="R12" s="181" t="s">
        <v>268</v>
      </c>
      <c r="S12" s="181" t="s">
        <v>268</v>
      </c>
      <c r="T12" s="181" t="s">
        <v>268</v>
      </c>
      <c r="U12" s="181" t="s">
        <v>268</v>
      </c>
      <c r="V12" s="181" t="s">
        <v>268</v>
      </c>
      <c r="W12" s="181" t="s">
        <v>268</v>
      </c>
      <c r="X12" s="181" t="s">
        <v>268</v>
      </c>
      <c r="Y12" s="182" t="s">
        <v>268</v>
      </c>
      <c r="Z12" s="174"/>
    </row>
    <row r="13" spans="1:26" x14ac:dyDescent="0.25">
      <c r="A13" s="176">
        <v>10</v>
      </c>
      <c r="B13" s="178" t="s">
        <v>400</v>
      </c>
      <c r="C13" s="179" t="s">
        <v>323</v>
      </c>
      <c r="D13" s="180" t="s">
        <v>268</v>
      </c>
      <c r="E13" s="181" t="s">
        <v>268</v>
      </c>
      <c r="F13" s="181">
        <f>('666'!$C342*F5)*0.9</f>
        <v>17566560</v>
      </c>
      <c r="G13" s="181">
        <f>('666'!$C342*G5)*0.9</f>
        <v>35133120</v>
      </c>
      <c r="H13" s="181">
        <f>('666'!$C342*H5)*0.9</f>
        <v>61482960</v>
      </c>
      <c r="I13" s="181">
        <f>('666'!$C342*I5)*0.9</f>
        <v>79049520</v>
      </c>
      <c r="J13" s="181">
        <f>('666'!$C342*J5)*0.9</f>
        <v>87832800</v>
      </c>
      <c r="K13" s="181">
        <f>('666'!$C342*K5)*0.9</f>
        <v>87832800</v>
      </c>
      <c r="L13" s="181">
        <f>('666'!$C342*L5)*0.9</f>
        <v>87832800</v>
      </c>
      <c r="M13" s="181">
        <f>('666'!$C342*M5)*0.9</f>
        <v>87832800</v>
      </c>
      <c r="N13" s="181">
        <f>('666'!$C342*N5)*0.9</f>
        <v>87832800</v>
      </c>
      <c r="O13" s="180" t="s">
        <v>268</v>
      </c>
      <c r="P13" s="181" t="s">
        <v>268</v>
      </c>
      <c r="Q13" s="181">
        <f>('666'!$C342*Q5)*1.1</f>
        <v>21470240</v>
      </c>
      <c r="R13" s="181">
        <f>('666'!$C342*R5)*1.1</f>
        <v>42940480</v>
      </c>
      <c r="S13" s="181">
        <f>('666'!$C342*S5)*1.1</f>
        <v>75145840</v>
      </c>
      <c r="T13" s="181">
        <f>('666'!$C342*T5)*1.1</f>
        <v>96616080.000000015</v>
      </c>
      <c r="U13" s="181">
        <f>('666'!$C342*U5)*1.1</f>
        <v>107351200.00000001</v>
      </c>
      <c r="V13" s="181">
        <f>('666'!$C342*V5)*1.1</f>
        <v>107351200.00000001</v>
      </c>
      <c r="W13" s="181">
        <f>('666'!$C342*W5)*1.1</f>
        <v>107351200.00000001</v>
      </c>
      <c r="X13" s="181">
        <f>('666'!$C342*X5)*1.1</f>
        <v>107351200.00000001</v>
      </c>
      <c r="Y13" s="181">
        <f>('666'!$C342*Y5)*1.1</f>
        <v>107351200.00000001</v>
      </c>
      <c r="Z13" s="174"/>
    </row>
    <row r="14" spans="1:26" x14ac:dyDescent="0.25">
      <c r="A14" s="176">
        <v>11</v>
      </c>
      <c r="B14" s="178" t="s">
        <v>401</v>
      </c>
      <c r="C14" s="179" t="s">
        <v>325</v>
      </c>
      <c r="D14" s="180" t="s">
        <v>268</v>
      </c>
      <c r="E14" s="181" t="s">
        <v>268</v>
      </c>
      <c r="F14" s="181">
        <f>'666'!$C343*F5</f>
        <v>752950</v>
      </c>
      <c r="G14" s="181">
        <f>'666'!$C343*G5</f>
        <v>1505900</v>
      </c>
      <c r="H14" s="181">
        <f>'666'!$C343*H5</f>
        <v>2635325</v>
      </c>
      <c r="I14" s="181">
        <f>'666'!$C343*I5</f>
        <v>3388275</v>
      </c>
      <c r="J14" s="181">
        <f>'666'!$C343*J5</f>
        <v>3764750</v>
      </c>
      <c r="K14" s="181">
        <f>'666'!$C343*K5</f>
        <v>3764750</v>
      </c>
      <c r="L14" s="181">
        <f>'666'!$C343*L5</f>
        <v>3764750</v>
      </c>
      <c r="M14" s="181">
        <f>'666'!$C343*M5</f>
        <v>3764750</v>
      </c>
      <c r="N14" s="182">
        <f>'666'!$C343*N5</f>
        <v>3764750</v>
      </c>
      <c r="O14" s="180" t="s">
        <v>268</v>
      </c>
      <c r="P14" s="181" t="s">
        <v>268</v>
      </c>
      <c r="Q14" s="181">
        <f>'666'!$C343*Q5</f>
        <v>752950</v>
      </c>
      <c r="R14" s="181">
        <f>'666'!$C343*R5</f>
        <v>1505900</v>
      </c>
      <c r="S14" s="181">
        <f>'666'!$C343*S5</f>
        <v>2635325</v>
      </c>
      <c r="T14" s="181">
        <f>'666'!$C343*T5</f>
        <v>3388275</v>
      </c>
      <c r="U14" s="181">
        <f>'666'!$C343*U5</f>
        <v>3764750</v>
      </c>
      <c r="V14" s="181">
        <f>'666'!$C343*V5</f>
        <v>3764750</v>
      </c>
      <c r="W14" s="181">
        <f>'666'!$C343*W5</f>
        <v>3764750</v>
      </c>
      <c r="X14" s="181">
        <f>'666'!$C343*X5</f>
        <v>3764750</v>
      </c>
      <c r="Y14" s="182">
        <f>'666'!$C343*Y5</f>
        <v>3764750</v>
      </c>
      <c r="Z14" s="174"/>
    </row>
    <row r="15" spans="1:26" x14ac:dyDescent="0.25">
      <c r="A15" s="176">
        <v>12</v>
      </c>
      <c r="B15" s="178" t="s">
        <v>402</v>
      </c>
      <c r="C15" s="179" t="s">
        <v>326</v>
      </c>
      <c r="D15" s="180" t="s">
        <v>268</v>
      </c>
      <c r="E15" s="181" t="s">
        <v>268</v>
      </c>
      <c r="F15" s="181" t="s">
        <v>268</v>
      </c>
      <c r="G15" s="181" t="s">
        <v>268</v>
      </c>
      <c r="H15" s="181" t="s">
        <v>268</v>
      </c>
      <c r="I15" s="181" t="s">
        <v>268</v>
      </c>
      <c r="J15" s="181" t="s">
        <v>268</v>
      </c>
      <c r="K15" s="181" t="s">
        <v>268</v>
      </c>
      <c r="L15" s="181" t="s">
        <v>268</v>
      </c>
      <c r="M15" s="181" t="s">
        <v>268</v>
      </c>
      <c r="N15" s="182" t="s">
        <v>268</v>
      </c>
      <c r="O15" s="180" t="s">
        <v>268</v>
      </c>
      <c r="P15" s="181" t="s">
        <v>268</v>
      </c>
      <c r="Q15" s="181" t="s">
        <v>268</v>
      </c>
      <c r="R15" s="181" t="s">
        <v>268</v>
      </c>
      <c r="S15" s="181" t="s">
        <v>268</v>
      </c>
      <c r="T15" s="181" t="s">
        <v>268</v>
      </c>
      <c r="U15" s="181" t="s">
        <v>268</v>
      </c>
      <c r="V15" s="181" t="s">
        <v>268</v>
      </c>
      <c r="W15" s="181" t="s">
        <v>268</v>
      </c>
      <c r="X15" s="181" t="s">
        <v>268</v>
      </c>
      <c r="Y15" s="182" t="s">
        <v>268</v>
      </c>
      <c r="Z15" s="174"/>
    </row>
    <row r="16" spans="1:26" x14ac:dyDescent="0.25">
      <c r="A16" s="176">
        <v>13</v>
      </c>
      <c r="B16" s="178" t="s">
        <v>403</v>
      </c>
      <c r="C16" s="179" t="s">
        <v>327</v>
      </c>
      <c r="D16" s="180" t="s">
        <v>268</v>
      </c>
      <c r="E16" s="181" t="s">
        <v>268</v>
      </c>
      <c r="F16" s="181">
        <f>'666'!$C345*F5</f>
        <v>2995300</v>
      </c>
      <c r="G16" s="181">
        <f>'666'!$C345*G5</f>
        <v>5990600</v>
      </c>
      <c r="H16" s="181">
        <f>'666'!$C345*H5</f>
        <v>10483550</v>
      </c>
      <c r="I16" s="181">
        <f>'666'!$C345*I5</f>
        <v>13478850</v>
      </c>
      <c r="J16" s="181">
        <f>'666'!$C345*J5</f>
        <v>14976500</v>
      </c>
      <c r="K16" s="181">
        <f>'666'!$C345*K5</f>
        <v>14976500</v>
      </c>
      <c r="L16" s="181">
        <f>'666'!$C345*L5</f>
        <v>14976500</v>
      </c>
      <c r="M16" s="181">
        <f>'666'!$C345*M5</f>
        <v>14976500</v>
      </c>
      <c r="N16" s="182">
        <f>'666'!$C345*N5</f>
        <v>14976500</v>
      </c>
      <c r="O16" s="180" t="s">
        <v>268</v>
      </c>
      <c r="P16" s="181" t="s">
        <v>268</v>
      </c>
      <c r="Q16" s="181">
        <f>'666'!$C345*Q5</f>
        <v>2995300</v>
      </c>
      <c r="R16" s="181">
        <f>'666'!$C345*R5</f>
        <v>5990600</v>
      </c>
      <c r="S16" s="181">
        <f>'666'!$C345*S5</f>
        <v>10483550</v>
      </c>
      <c r="T16" s="181">
        <f>'666'!$C345*T5</f>
        <v>13478850</v>
      </c>
      <c r="U16" s="181">
        <f>'666'!$C345*U5</f>
        <v>14976500</v>
      </c>
      <c r="V16" s="181">
        <f>'666'!$C345*V5</f>
        <v>14976500</v>
      </c>
      <c r="W16" s="181">
        <f>'666'!$C345*W5</f>
        <v>14976500</v>
      </c>
      <c r="X16" s="181">
        <f>'666'!$C345*X5</f>
        <v>14976500</v>
      </c>
      <c r="Y16" s="182">
        <f>'666'!$C345*Y5</f>
        <v>14976500</v>
      </c>
      <c r="Z16" s="174"/>
    </row>
    <row r="17" spans="1:26" x14ac:dyDescent="0.25">
      <c r="A17" s="176">
        <v>14</v>
      </c>
      <c r="B17" s="178" t="s">
        <v>309</v>
      </c>
      <c r="C17" s="179" t="s">
        <v>329</v>
      </c>
      <c r="D17" s="180">
        <v>0</v>
      </c>
      <c r="E17" s="181">
        <v>0</v>
      </c>
      <c r="F17" s="181">
        <f>SUM(F13:F16)</f>
        <v>21314810</v>
      </c>
      <c r="G17" s="181">
        <f t="shared" ref="G17:Y17" si="8">SUM(G13:G16)</f>
        <v>42629620</v>
      </c>
      <c r="H17" s="181">
        <f t="shared" si="8"/>
        <v>74601835</v>
      </c>
      <c r="I17" s="181">
        <f t="shared" si="8"/>
        <v>95916645</v>
      </c>
      <c r="J17" s="181">
        <f t="shared" si="8"/>
        <v>106574050</v>
      </c>
      <c r="K17" s="181">
        <f t="shared" si="8"/>
        <v>106574050</v>
      </c>
      <c r="L17" s="181">
        <f t="shared" si="8"/>
        <v>106574050</v>
      </c>
      <c r="M17" s="181">
        <f t="shared" si="8"/>
        <v>106574050</v>
      </c>
      <c r="N17" s="181">
        <f t="shared" si="8"/>
        <v>106574050</v>
      </c>
      <c r="O17" s="181">
        <f t="shared" si="8"/>
        <v>0</v>
      </c>
      <c r="P17" s="181">
        <f t="shared" si="8"/>
        <v>0</v>
      </c>
      <c r="Q17" s="181">
        <f t="shared" si="8"/>
        <v>25218490</v>
      </c>
      <c r="R17" s="181">
        <f t="shared" si="8"/>
        <v>50436980</v>
      </c>
      <c r="S17" s="181">
        <f t="shared" si="8"/>
        <v>88264715</v>
      </c>
      <c r="T17" s="181">
        <f t="shared" si="8"/>
        <v>113483205.00000001</v>
      </c>
      <c r="U17" s="181">
        <f t="shared" si="8"/>
        <v>126092450.00000001</v>
      </c>
      <c r="V17" s="181">
        <f t="shared" si="8"/>
        <v>126092450.00000001</v>
      </c>
      <c r="W17" s="181">
        <f t="shared" si="8"/>
        <v>126092450.00000001</v>
      </c>
      <c r="X17" s="181">
        <f t="shared" si="8"/>
        <v>126092450.00000001</v>
      </c>
      <c r="Y17" s="181">
        <f t="shared" si="8"/>
        <v>126092450.00000001</v>
      </c>
      <c r="Z17" s="174"/>
    </row>
    <row r="18" spans="1:26" x14ac:dyDescent="0.25">
      <c r="A18" s="184"/>
      <c r="B18" s="185" t="s">
        <v>310</v>
      </c>
      <c r="C18" s="186"/>
      <c r="D18" s="187"/>
      <c r="E18" s="188"/>
      <c r="F18" s="188"/>
      <c r="G18" s="188"/>
      <c r="H18" s="188"/>
      <c r="I18" s="188"/>
      <c r="J18" s="188"/>
      <c r="K18" s="188"/>
      <c r="L18" s="188"/>
      <c r="M18" s="188"/>
      <c r="N18" s="189"/>
      <c r="O18" s="187"/>
      <c r="P18" s="188"/>
      <c r="Q18" s="188"/>
      <c r="R18" s="188"/>
      <c r="S18" s="188"/>
      <c r="T18" s="188"/>
      <c r="U18" s="188"/>
      <c r="V18" s="188"/>
      <c r="W18" s="188"/>
      <c r="X18" s="188"/>
      <c r="Y18" s="189"/>
      <c r="Z18" s="190"/>
    </row>
    <row r="19" spans="1:26" x14ac:dyDescent="0.25">
      <c r="A19" s="176">
        <v>15</v>
      </c>
      <c r="B19" s="178" t="s">
        <v>278</v>
      </c>
      <c r="C19" s="179" t="s">
        <v>330</v>
      </c>
      <c r="D19" s="180"/>
      <c r="E19" s="181"/>
      <c r="F19" s="181">
        <f>'666'!F425</f>
        <v>5115827.05</v>
      </c>
      <c r="G19" s="181">
        <f>'666'!G425</f>
        <v>5115827.05</v>
      </c>
      <c r="H19" s="181">
        <f>'666'!H425</f>
        <v>5115827.05</v>
      </c>
      <c r="I19" s="181">
        <f>'666'!I425</f>
        <v>5115827.05</v>
      </c>
      <c r="J19" s="181">
        <f>'666'!$J425</f>
        <v>5115827.05</v>
      </c>
      <c r="K19" s="181">
        <f>'666'!$J425</f>
        <v>5115827.05</v>
      </c>
      <c r="L19" s="181">
        <f>'666'!$J425</f>
        <v>5115827.05</v>
      </c>
      <c r="M19" s="181">
        <f>'666'!$J425</f>
        <v>5115827.05</v>
      </c>
      <c r="N19" s="182">
        <f>'666'!$J425</f>
        <v>5115827.05</v>
      </c>
      <c r="O19" s="180"/>
      <c r="P19" s="181"/>
      <c r="Q19" s="181">
        <f>F19</f>
        <v>5115827.05</v>
      </c>
      <c r="R19" s="181">
        <f t="shared" ref="R19:Y24" si="9">G19</f>
        <v>5115827.05</v>
      </c>
      <c r="S19" s="181">
        <f t="shared" si="9"/>
        <v>5115827.05</v>
      </c>
      <c r="T19" s="181">
        <f t="shared" si="9"/>
        <v>5115827.05</v>
      </c>
      <c r="U19" s="181">
        <f t="shared" si="9"/>
        <v>5115827.05</v>
      </c>
      <c r="V19" s="181">
        <f t="shared" si="9"/>
        <v>5115827.05</v>
      </c>
      <c r="W19" s="181">
        <f t="shared" si="9"/>
        <v>5115827.05</v>
      </c>
      <c r="X19" s="181">
        <f t="shared" si="9"/>
        <v>5115827.05</v>
      </c>
      <c r="Y19" s="182">
        <f t="shared" si="9"/>
        <v>5115827.05</v>
      </c>
      <c r="Z19" s="174"/>
    </row>
    <row r="20" spans="1:26" x14ac:dyDescent="0.25">
      <c r="A20" s="176">
        <v>17</v>
      </c>
      <c r="B20" s="178" t="s">
        <v>255</v>
      </c>
      <c r="C20" s="179" t="s">
        <v>331</v>
      </c>
      <c r="D20" s="180"/>
      <c r="E20" s="181"/>
      <c r="F20" s="181">
        <f>'666'!F426</f>
        <v>5859765.5619329996</v>
      </c>
      <c r="G20" s="181">
        <f>'666'!G426</f>
        <v>5859765.5619329996</v>
      </c>
      <c r="H20" s="181">
        <f>'666'!H426</f>
        <v>5859765.5619329996</v>
      </c>
      <c r="I20" s="181">
        <f>'666'!I426</f>
        <v>5859765.5619329996</v>
      </c>
      <c r="J20" s="181">
        <f>'666'!$J426</f>
        <v>5859765.5619329996</v>
      </c>
      <c r="K20" s="181">
        <f>'666'!$J426</f>
        <v>5859765.5619329996</v>
      </c>
      <c r="L20" s="181">
        <f>'666'!$J426</f>
        <v>5859765.5619329996</v>
      </c>
      <c r="M20" s="181">
        <f>'666'!$J426</f>
        <v>5859765.5619329996</v>
      </c>
      <c r="N20" s="182">
        <f>'666'!$J426</f>
        <v>5859765.5619329996</v>
      </c>
      <c r="O20" s="180"/>
      <c r="P20" s="181"/>
      <c r="Q20" s="181">
        <f t="shared" ref="Q20:Q23" si="10">F20</f>
        <v>5859765.5619329996</v>
      </c>
      <c r="R20" s="181">
        <f t="shared" si="9"/>
        <v>5859765.5619329996</v>
      </c>
      <c r="S20" s="181">
        <f t="shared" si="9"/>
        <v>5859765.5619329996</v>
      </c>
      <c r="T20" s="181">
        <f t="shared" si="9"/>
        <v>5859765.5619329996</v>
      </c>
      <c r="U20" s="181">
        <f t="shared" si="9"/>
        <v>5859765.5619329996</v>
      </c>
      <c r="V20" s="181">
        <f t="shared" si="9"/>
        <v>5859765.5619329996</v>
      </c>
      <c r="W20" s="181">
        <f t="shared" si="9"/>
        <v>5859765.5619329996</v>
      </c>
      <c r="X20" s="181">
        <f t="shared" si="9"/>
        <v>5859765.5619329996</v>
      </c>
      <c r="Y20" s="182">
        <f t="shared" si="9"/>
        <v>5859765.5619329996</v>
      </c>
      <c r="Z20" s="174"/>
    </row>
    <row r="21" spans="1:26" x14ac:dyDescent="0.25">
      <c r="A21" s="176">
        <v>18</v>
      </c>
      <c r="B21" s="178" t="s">
        <v>404</v>
      </c>
      <c r="C21" s="179" t="s">
        <v>332</v>
      </c>
      <c r="D21" s="180"/>
      <c r="E21" s="181"/>
      <c r="F21" s="181">
        <f>'666'!F427</f>
        <v>19202700</v>
      </c>
      <c r="G21" s="181">
        <f>'666'!G427</f>
        <v>19202700</v>
      </c>
      <c r="H21" s="181">
        <f>'666'!H427</f>
        <v>19202700</v>
      </c>
      <c r="I21" s="181">
        <f>'666'!I427</f>
        <v>19202700</v>
      </c>
      <c r="J21" s="181">
        <f>'666'!$J427</f>
        <v>19202700</v>
      </c>
      <c r="K21" s="181">
        <f>'666'!$J427</f>
        <v>19202700</v>
      </c>
      <c r="L21" s="181">
        <f>'666'!$J427</f>
        <v>19202700</v>
      </c>
      <c r="M21" s="181">
        <f>'666'!$J427</f>
        <v>19202700</v>
      </c>
      <c r="N21" s="182">
        <f>'666'!$J427</f>
        <v>19202700</v>
      </c>
      <c r="O21" s="180"/>
      <c r="P21" s="181"/>
      <c r="Q21" s="181">
        <f t="shared" si="10"/>
        <v>19202700</v>
      </c>
      <c r="R21" s="181">
        <f t="shared" si="9"/>
        <v>19202700</v>
      </c>
      <c r="S21" s="181">
        <f t="shared" si="9"/>
        <v>19202700</v>
      </c>
      <c r="T21" s="181">
        <f t="shared" si="9"/>
        <v>19202700</v>
      </c>
      <c r="U21" s="181">
        <f t="shared" si="9"/>
        <v>19202700</v>
      </c>
      <c r="V21" s="181">
        <f t="shared" si="9"/>
        <v>19202700</v>
      </c>
      <c r="W21" s="181">
        <f t="shared" si="9"/>
        <v>19202700</v>
      </c>
      <c r="X21" s="181">
        <f t="shared" si="9"/>
        <v>19202700</v>
      </c>
      <c r="Y21" s="182">
        <f t="shared" si="9"/>
        <v>19202700</v>
      </c>
      <c r="Z21" s="174"/>
    </row>
    <row r="22" spans="1:26" x14ac:dyDescent="0.25">
      <c r="A22" s="176">
        <v>19</v>
      </c>
      <c r="B22" s="178" t="s">
        <v>405</v>
      </c>
      <c r="C22" s="179" t="s">
        <v>333</v>
      </c>
      <c r="D22" s="180"/>
      <c r="E22" s="181"/>
      <c r="F22" s="181">
        <f>'666'!F428</f>
        <v>8622512.0167159792</v>
      </c>
      <c r="G22" s="181">
        <f>'666'!G428</f>
        <v>8622512.0167159792</v>
      </c>
      <c r="H22" s="181">
        <f>'666'!H428</f>
        <v>8622512.0167159792</v>
      </c>
      <c r="I22" s="181">
        <f>'666'!I428</f>
        <v>8622512.0167159792</v>
      </c>
      <c r="J22" s="181">
        <f>'666'!$J428</f>
        <v>8622512.0167159792</v>
      </c>
      <c r="K22" s="181">
        <f>'666'!$J428</f>
        <v>8622512.0167159792</v>
      </c>
      <c r="L22" s="181">
        <f>'666'!$J428</f>
        <v>8622512.0167159792</v>
      </c>
      <c r="M22" s="181">
        <f>'666'!$J428</f>
        <v>8622512.0167159792</v>
      </c>
      <c r="N22" s="182">
        <f>'666'!$J428</f>
        <v>8622512.0167159792</v>
      </c>
      <c r="O22" s="180"/>
      <c r="P22" s="181"/>
      <c r="Q22" s="181">
        <f t="shared" si="10"/>
        <v>8622512.0167159792</v>
      </c>
      <c r="R22" s="181">
        <f t="shared" si="9"/>
        <v>8622512.0167159792</v>
      </c>
      <c r="S22" s="181">
        <f t="shared" si="9"/>
        <v>8622512.0167159792</v>
      </c>
      <c r="T22" s="181">
        <f t="shared" si="9"/>
        <v>8622512.0167159792</v>
      </c>
      <c r="U22" s="181">
        <f t="shared" si="9"/>
        <v>8622512.0167159792</v>
      </c>
      <c r="V22" s="181">
        <f t="shared" si="9"/>
        <v>8622512.0167159792</v>
      </c>
      <c r="W22" s="181">
        <f t="shared" si="9"/>
        <v>8622512.0167159792</v>
      </c>
      <c r="X22" s="181">
        <f t="shared" si="9"/>
        <v>8622512.0167159792</v>
      </c>
      <c r="Y22" s="182">
        <f t="shared" si="9"/>
        <v>8622512.0167159792</v>
      </c>
      <c r="Z22" s="174"/>
    </row>
    <row r="23" spans="1:26" x14ac:dyDescent="0.25">
      <c r="A23" s="184">
        <v>20</v>
      </c>
      <c r="B23" s="185" t="s">
        <v>406</v>
      </c>
      <c r="C23" s="186" t="s">
        <v>334</v>
      </c>
      <c r="D23" s="187"/>
      <c r="E23" s="188"/>
      <c r="F23" s="188">
        <f>'666'!F429</f>
        <v>38800804.628648981</v>
      </c>
      <c r="G23" s="188">
        <f>'666'!G429</f>
        <v>38800804.628648981</v>
      </c>
      <c r="H23" s="188">
        <f>'666'!H429</f>
        <v>38800804.628648981</v>
      </c>
      <c r="I23" s="188">
        <f>'666'!I429</f>
        <v>38800804.628648981</v>
      </c>
      <c r="J23" s="188">
        <f>'666'!$J429</f>
        <v>38800804.628648981</v>
      </c>
      <c r="K23" s="188">
        <f>'666'!$J429</f>
        <v>38800804.628648981</v>
      </c>
      <c r="L23" s="188">
        <f>'666'!$J429</f>
        <v>38800804.628648981</v>
      </c>
      <c r="M23" s="188">
        <f>'666'!$J429</f>
        <v>38800804.628648981</v>
      </c>
      <c r="N23" s="189">
        <f>'666'!$J429</f>
        <v>38800804.628648981</v>
      </c>
      <c r="O23" s="187"/>
      <c r="P23" s="188"/>
      <c r="Q23" s="188">
        <f t="shared" si="10"/>
        <v>38800804.628648981</v>
      </c>
      <c r="R23" s="188">
        <f t="shared" si="9"/>
        <v>38800804.628648981</v>
      </c>
      <c r="S23" s="188">
        <f t="shared" si="9"/>
        <v>38800804.628648981</v>
      </c>
      <c r="T23" s="188">
        <f t="shared" si="9"/>
        <v>38800804.628648981</v>
      </c>
      <c r="U23" s="188">
        <f t="shared" si="9"/>
        <v>38800804.628648981</v>
      </c>
      <c r="V23" s="188">
        <f t="shared" si="9"/>
        <v>38800804.628648981</v>
      </c>
      <c r="W23" s="188">
        <f t="shared" si="9"/>
        <v>38800804.628648981</v>
      </c>
      <c r="X23" s="188">
        <f t="shared" si="9"/>
        <v>38800804.628648981</v>
      </c>
      <c r="Y23" s="189">
        <f t="shared" si="9"/>
        <v>38800804.628648981</v>
      </c>
      <c r="Z23" s="190"/>
    </row>
    <row r="24" spans="1:26" x14ac:dyDescent="0.25">
      <c r="A24" s="176">
        <v>21</v>
      </c>
      <c r="B24" s="178" t="s">
        <v>312</v>
      </c>
      <c r="C24" s="179" t="s">
        <v>335</v>
      </c>
      <c r="D24" s="180"/>
      <c r="E24" s="181"/>
      <c r="F24" s="181">
        <f>'666'!F430</f>
        <v>1866646.8</v>
      </c>
      <c r="G24" s="181">
        <f>'666'!G430</f>
        <v>1866646.8</v>
      </c>
      <c r="H24" s="181">
        <f>'666'!H430</f>
        <v>1866646.8</v>
      </c>
      <c r="I24" s="181">
        <f>'666'!I430</f>
        <v>1866646.8</v>
      </c>
      <c r="J24" s="181">
        <f>'666'!$J430</f>
        <v>1866646.8</v>
      </c>
      <c r="K24" s="181">
        <f>'666'!$J430</f>
        <v>1866646.8</v>
      </c>
      <c r="L24" s="181">
        <f>'666'!$J430</f>
        <v>1866646.8</v>
      </c>
      <c r="M24" s="181">
        <f>'666'!$J430</f>
        <v>1866646.8</v>
      </c>
      <c r="N24" s="182">
        <f>'666'!$J430</f>
        <v>1866646.8</v>
      </c>
      <c r="O24" s="180"/>
      <c r="P24" s="181"/>
      <c r="Q24" s="181">
        <f>F24</f>
        <v>1866646.8</v>
      </c>
      <c r="R24" s="181">
        <f t="shared" si="9"/>
        <v>1866646.8</v>
      </c>
      <c r="S24" s="181">
        <f t="shared" si="9"/>
        <v>1866646.8</v>
      </c>
      <c r="T24" s="181">
        <f t="shared" si="9"/>
        <v>1866646.8</v>
      </c>
      <c r="U24" s="181">
        <f t="shared" si="9"/>
        <v>1866646.8</v>
      </c>
      <c r="V24" s="181">
        <f t="shared" si="9"/>
        <v>1866646.8</v>
      </c>
      <c r="W24" s="181">
        <f t="shared" si="9"/>
        <v>1866646.8</v>
      </c>
      <c r="X24" s="181">
        <f t="shared" si="9"/>
        <v>1866646.8</v>
      </c>
      <c r="Y24" s="182">
        <f t="shared" si="9"/>
        <v>1866646.8</v>
      </c>
      <c r="Z24" s="174"/>
    </row>
    <row r="25" spans="1:26" x14ac:dyDescent="0.25">
      <c r="A25" s="176">
        <v>22</v>
      </c>
      <c r="B25" s="178" t="s">
        <v>407</v>
      </c>
      <c r="C25" s="179"/>
      <c r="D25" s="180"/>
      <c r="E25" s="181"/>
      <c r="F25" s="181">
        <f>F9-F17-F23-F24</f>
        <v>-16282761.42864899</v>
      </c>
      <c r="G25" s="181">
        <f t="shared" ref="G25:M25" si="11">G9-G17-G23-G24</f>
        <v>8101928.5713510038</v>
      </c>
      <c r="H25" s="181">
        <f t="shared" si="11"/>
        <v>44678963.571351022</v>
      </c>
      <c r="I25" s="181">
        <f t="shared" si="11"/>
        <v>69063653.571350992</v>
      </c>
      <c r="J25" s="181">
        <f t="shared" si="11"/>
        <v>81255998.571351022</v>
      </c>
      <c r="K25" s="181">
        <f t="shared" si="11"/>
        <v>81255998.571351022</v>
      </c>
      <c r="L25" s="181">
        <f t="shared" si="11"/>
        <v>81255998.571351022</v>
      </c>
      <c r="M25" s="181">
        <f t="shared" si="11"/>
        <v>81255998.571351022</v>
      </c>
      <c r="N25" s="182">
        <f>N9-N17-N23-N24</f>
        <v>81255998.571351022</v>
      </c>
      <c r="O25" s="180"/>
      <c r="P25" s="181"/>
      <c r="Q25" s="181">
        <f>Q9-Q17-Q23-Q24</f>
        <v>-20186441.42864899</v>
      </c>
      <c r="R25" s="181">
        <f t="shared" ref="R25:Y25" si="12">R9-R17-R23-R24</f>
        <v>294568.5713510036</v>
      </c>
      <c r="S25" s="181">
        <f t="shared" si="12"/>
        <v>31016083.571351018</v>
      </c>
      <c r="T25" s="181">
        <f t="shared" si="12"/>
        <v>51497093.571350977</v>
      </c>
      <c r="U25" s="181">
        <f t="shared" si="12"/>
        <v>61737598.571351007</v>
      </c>
      <c r="V25" s="181">
        <f t="shared" si="12"/>
        <v>61737598.571351007</v>
      </c>
      <c r="W25" s="181">
        <f t="shared" si="12"/>
        <v>61737598.571351007</v>
      </c>
      <c r="X25" s="181">
        <f t="shared" si="12"/>
        <v>61737598.571351007</v>
      </c>
      <c r="Y25" s="182">
        <f t="shared" si="12"/>
        <v>61737598.571351007</v>
      </c>
      <c r="Z25" s="174"/>
    </row>
    <row r="26" spans="1:26" x14ac:dyDescent="0.25">
      <c r="A26" s="176">
        <v>23</v>
      </c>
      <c r="B26" s="178" t="s">
        <v>378</v>
      </c>
      <c r="C26" s="179"/>
      <c r="D26" s="180"/>
      <c r="E26" s="181"/>
      <c r="F26" s="181">
        <v>0</v>
      </c>
      <c r="G26" s="181">
        <f>G25*20%</f>
        <v>1620385.7142702008</v>
      </c>
      <c r="H26" s="181">
        <f t="shared" ref="H26:N26" si="13">H25*20%</f>
        <v>8935792.7142702043</v>
      </c>
      <c r="I26" s="181">
        <f t="shared" si="13"/>
        <v>13812730.714270199</v>
      </c>
      <c r="J26" s="181">
        <f t="shared" si="13"/>
        <v>16251199.714270204</v>
      </c>
      <c r="K26" s="181">
        <f t="shared" si="13"/>
        <v>16251199.714270204</v>
      </c>
      <c r="L26" s="181">
        <f t="shared" si="13"/>
        <v>16251199.714270204</v>
      </c>
      <c r="M26" s="181">
        <f t="shared" si="13"/>
        <v>16251199.714270204</v>
      </c>
      <c r="N26" s="181">
        <f t="shared" si="13"/>
        <v>16251199.714270204</v>
      </c>
      <c r="O26" s="180"/>
      <c r="P26" s="181"/>
      <c r="Q26" s="181">
        <v>0</v>
      </c>
      <c r="R26" s="181">
        <v>0</v>
      </c>
      <c r="S26" s="181">
        <f>S25*20%</f>
        <v>6203216.7142702043</v>
      </c>
      <c r="T26" s="181">
        <f t="shared" ref="T26:Y26" si="14">T25*20%</f>
        <v>10299418.714270197</v>
      </c>
      <c r="U26" s="181">
        <f t="shared" si="14"/>
        <v>12347519.714270202</v>
      </c>
      <c r="V26" s="181">
        <f t="shared" si="14"/>
        <v>12347519.714270202</v>
      </c>
      <c r="W26" s="181">
        <f t="shared" si="14"/>
        <v>12347519.714270202</v>
      </c>
      <c r="X26" s="181">
        <f t="shared" si="14"/>
        <v>12347519.714270202</v>
      </c>
      <c r="Y26" s="181">
        <f t="shared" si="14"/>
        <v>12347519.714270202</v>
      </c>
      <c r="Z26" s="174"/>
    </row>
    <row r="27" spans="1:26" x14ac:dyDescent="0.25">
      <c r="A27" s="176">
        <v>24</v>
      </c>
      <c r="B27" s="178" t="s">
        <v>316</v>
      </c>
      <c r="C27" s="179"/>
      <c r="D27" s="180"/>
      <c r="E27" s="181"/>
      <c r="F27" s="181">
        <f>F25-F26</f>
        <v>-16282761.42864899</v>
      </c>
      <c r="G27" s="181">
        <f t="shared" ref="G27:Y27" si="15">G25-G26</f>
        <v>6481542.8570808033</v>
      </c>
      <c r="H27" s="181">
        <f t="shared" si="15"/>
        <v>35743170.857080817</v>
      </c>
      <c r="I27" s="181">
        <f t="shared" si="15"/>
        <v>55250922.857080795</v>
      </c>
      <c r="J27" s="181">
        <f t="shared" si="15"/>
        <v>65004798.857080817</v>
      </c>
      <c r="K27" s="181">
        <f t="shared" si="15"/>
        <v>65004798.857080817</v>
      </c>
      <c r="L27" s="181">
        <f t="shared" si="15"/>
        <v>65004798.857080817</v>
      </c>
      <c r="M27" s="181">
        <f t="shared" si="15"/>
        <v>65004798.857080817</v>
      </c>
      <c r="N27" s="182">
        <f>N25-N26</f>
        <v>65004798.857080817</v>
      </c>
      <c r="O27" s="180">
        <f t="shared" si="15"/>
        <v>0</v>
      </c>
      <c r="P27" s="181">
        <f t="shared" si="15"/>
        <v>0</v>
      </c>
      <c r="Q27" s="181">
        <f t="shared" si="15"/>
        <v>-20186441.42864899</v>
      </c>
      <c r="R27" s="181">
        <f t="shared" si="15"/>
        <v>294568.5713510036</v>
      </c>
      <c r="S27" s="181">
        <f t="shared" si="15"/>
        <v>24812866.857080813</v>
      </c>
      <c r="T27" s="181">
        <f t="shared" si="15"/>
        <v>41197674.85708078</v>
      </c>
      <c r="U27" s="181">
        <f t="shared" si="15"/>
        <v>49390078.857080802</v>
      </c>
      <c r="V27" s="181">
        <f t="shared" si="15"/>
        <v>49390078.857080802</v>
      </c>
      <c r="W27" s="181">
        <f t="shared" si="15"/>
        <v>49390078.857080802</v>
      </c>
      <c r="X27" s="181">
        <f t="shared" si="15"/>
        <v>49390078.857080802</v>
      </c>
      <c r="Y27" s="182">
        <f t="shared" si="15"/>
        <v>49390078.857080802</v>
      </c>
      <c r="Z27" s="174"/>
    </row>
    <row r="28" spans="1:26" x14ac:dyDescent="0.25">
      <c r="A28" s="176">
        <v>25</v>
      </c>
      <c r="B28" s="178" t="s">
        <v>379</v>
      </c>
      <c r="C28" s="179"/>
      <c r="D28" s="180"/>
      <c r="E28" s="181"/>
      <c r="F28" s="181">
        <f>F27+F24</f>
        <v>-14416114.628648989</v>
      </c>
      <c r="G28" s="181">
        <f t="shared" ref="G28:Y28" si="16">G27+G24</f>
        <v>8348189.6570808031</v>
      </c>
      <c r="H28" s="181">
        <f t="shared" si="16"/>
        <v>37609817.657080814</v>
      </c>
      <c r="I28" s="181">
        <f t="shared" si="16"/>
        <v>57117569.657080792</v>
      </c>
      <c r="J28" s="181">
        <f t="shared" si="16"/>
        <v>66871445.657080814</v>
      </c>
      <c r="K28" s="181">
        <f t="shared" si="16"/>
        <v>66871445.657080814</v>
      </c>
      <c r="L28" s="181">
        <f t="shared" si="16"/>
        <v>66871445.657080814</v>
      </c>
      <c r="M28" s="181">
        <f t="shared" si="16"/>
        <v>66871445.657080814</v>
      </c>
      <c r="N28" s="182">
        <f>N27+N24</f>
        <v>66871445.657080814</v>
      </c>
      <c r="O28" s="180">
        <f t="shared" si="16"/>
        <v>0</v>
      </c>
      <c r="P28" s="181">
        <f t="shared" si="16"/>
        <v>0</v>
      </c>
      <c r="Q28" s="181">
        <f t="shared" si="16"/>
        <v>-18319794.628648989</v>
      </c>
      <c r="R28" s="181">
        <f t="shared" si="16"/>
        <v>2161215.3713510036</v>
      </c>
      <c r="S28" s="181">
        <f t="shared" si="16"/>
        <v>26679513.657080814</v>
      </c>
      <c r="T28" s="181">
        <f t="shared" si="16"/>
        <v>43064321.657080777</v>
      </c>
      <c r="U28" s="181">
        <f t="shared" si="16"/>
        <v>51256725.657080799</v>
      </c>
      <c r="V28" s="181">
        <f t="shared" si="16"/>
        <v>51256725.657080799</v>
      </c>
      <c r="W28" s="181">
        <f t="shared" si="16"/>
        <v>51256725.657080799</v>
      </c>
      <c r="X28" s="181">
        <f t="shared" si="16"/>
        <v>51256725.657080799</v>
      </c>
      <c r="Y28" s="182">
        <f t="shared" si="16"/>
        <v>51256725.657080799</v>
      </c>
      <c r="Z28" s="174"/>
    </row>
    <row r="29" spans="1:26" x14ac:dyDescent="0.25">
      <c r="A29" s="176">
        <v>26</v>
      </c>
      <c r="B29" s="178" t="s">
        <v>380</v>
      </c>
      <c r="C29" s="179"/>
      <c r="D29" s="180"/>
      <c r="E29" s="181"/>
      <c r="F29" s="181"/>
      <c r="G29" s="181"/>
      <c r="H29" s="181"/>
      <c r="I29" s="181"/>
      <c r="J29" s="181"/>
      <c r="K29" s="181"/>
      <c r="L29" s="181"/>
      <c r="M29" s="181"/>
      <c r="N29" s="182"/>
      <c r="O29" s="180"/>
      <c r="P29" s="181"/>
      <c r="Q29" s="181"/>
      <c r="R29" s="181"/>
      <c r="S29" s="181"/>
      <c r="T29" s="181"/>
      <c r="U29" s="181"/>
      <c r="V29" s="181"/>
      <c r="W29" s="181"/>
      <c r="X29" s="181"/>
      <c r="Y29" s="182"/>
      <c r="Z29" s="174"/>
    </row>
    <row r="30" spans="1:26" x14ac:dyDescent="0.25">
      <c r="A30" s="176">
        <v>27</v>
      </c>
      <c r="B30" s="178" t="s">
        <v>408</v>
      </c>
      <c r="C30" s="179"/>
      <c r="D30" s="180">
        <f>-'666'!C364</f>
        <v>-87599403</v>
      </c>
      <c r="E30" s="181">
        <f>-'666'!D364</f>
        <v>-6396300</v>
      </c>
      <c r="F30" s="181">
        <v>0</v>
      </c>
      <c r="G30" s="181">
        <v>0</v>
      </c>
      <c r="H30" s="181">
        <v>0</v>
      </c>
      <c r="I30" s="181">
        <v>0</v>
      </c>
      <c r="J30" s="181">
        <v>0</v>
      </c>
      <c r="K30" s="181">
        <v>0</v>
      </c>
      <c r="L30" s="181">
        <v>0</v>
      </c>
      <c r="M30" s="181">
        <v>0</v>
      </c>
      <c r="N30" s="182">
        <v>0</v>
      </c>
      <c r="O30" s="180">
        <f>D30</f>
        <v>-87599403</v>
      </c>
      <c r="P30" s="181">
        <f>E30</f>
        <v>-6396300</v>
      </c>
      <c r="Q30" s="181">
        <v>0</v>
      </c>
      <c r="R30" s="181">
        <v>0</v>
      </c>
      <c r="S30" s="181">
        <v>0</v>
      </c>
      <c r="T30" s="181">
        <v>0</v>
      </c>
      <c r="U30" s="181">
        <v>0</v>
      </c>
      <c r="V30" s="181">
        <v>0</v>
      </c>
      <c r="W30" s="181">
        <v>0</v>
      </c>
      <c r="X30" s="181">
        <v>0</v>
      </c>
      <c r="Y30" s="182">
        <v>0</v>
      </c>
      <c r="Z30" s="174"/>
    </row>
    <row r="31" spans="1:26" x14ac:dyDescent="0.25">
      <c r="A31" s="176">
        <v>28</v>
      </c>
      <c r="B31" s="178" t="s">
        <v>381</v>
      </c>
      <c r="C31" s="179"/>
      <c r="D31" s="180" t="s">
        <v>268</v>
      </c>
      <c r="E31" s="181" t="s">
        <v>268</v>
      </c>
      <c r="F31" s="181" t="s">
        <v>268</v>
      </c>
      <c r="G31" s="181" t="s">
        <v>268</v>
      </c>
      <c r="H31" s="181" t="s">
        <v>268</v>
      </c>
      <c r="I31" s="181" t="s">
        <v>268</v>
      </c>
      <c r="J31" s="181" t="s">
        <v>268</v>
      </c>
      <c r="K31" s="181" t="s">
        <v>268</v>
      </c>
      <c r="L31" s="181" t="s">
        <v>268</v>
      </c>
      <c r="M31" s="181" t="s">
        <v>268</v>
      </c>
      <c r="N31" s="182" t="s">
        <v>268</v>
      </c>
      <c r="O31" s="180" t="s">
        <v>268</v>
      </c>
      <c r="P31" s="181" t="s">
        <v>268</v>
      </c>
      <c r="Q31" s="181" t="s">
        <v>268</v>
      </c>
      <c r="R31" s="181" t="s">
        <v>268</v>
      </c>
      <c r="S31" s="181" t="s">
        <v>268</v>
      </c>
      <c r="T31" s="181" t="s">
        <v>268</v>
      </c>
      <c r="U31" s="181" t="s">
        <v>268</v>
      </c>
      <c r="V31" s="181" t="s">
        <v>268</v>
      </c>
      <c r="W31" s="181" t="s">
        <v>268</v>
      </c>
      <c r="X31" s="181" t="s">
        <v>268</v>
      </c>
      <c r="Y31" s="182" t="s">
        <v>268</v>
      </c>
      <c r="Z31" s="174"/>
    </row>
    <row r="32" spans="1:26" x14ac:dyDescent="0.25">
      <c r="A32" s="176">
        <v>29</v>
      </c>
      <c r="B32" s="178" t="s">
        <v>416</v>
      </c>
      <c r="C32" s="179"/>
      <c r="D32" s="180">
        <f>D30</f>
        <v>-87599403</v>
      </c>
      <c r="E32" s="181">
        <f t="shared" ref="E32:Y32" si="17">E30</f>
        <v>-6396300</v>
      </c>
      <c r="F32" s="181">
        <f t="shared" si="17"/>
        <v>0</v>
      </c>
      <c r="G32" s="181">
        <f t="shared" si="17"/>
        <v>0</v>
      </c>
      <c r="H32" s="181">
        <f t="shared" si="17"/>
        <v>0</v>
      </c>
      <c r="I32" s="181">
        <f t="shared" si="17"/>
        <v>0</v>
      </c>
      <c r="J32" s="181">
        <f t="shared" si="17"/>
        <v>0</v>
      </c>
      <c r="K32" s="181">
        <f t="shared" si="17"/>
        <v>0</v>
      </c>
      <c r="L32" s="181">
        <f t="shared" si="17"/>
        <v>0</v>
      </c>
      <c r="M32" s="181">
        <f t="shared" si="17"/>
        <v>0</v>
      </c>
      <c r="N32" s="182">
        <f t="shared" si="17"/>
        <v>0</v>
      </c>
      <c r="O32" s="180">
        <f t="shared" si="17"/>
        <v>-87599403</v>
      </c>
      <c r="P32" s="181">
        <f t="shared" si="17"/>
        <v>-6396300</v>
      </c>
      <c r="Q32" s="181">
        <f t="shared" si="17"/>
        <v>0</v>
      </c>
      <c r="R32" s="181">
        <f t="shared" si="17"/>
        <v>0</v>
      </c>
      <c r="S32" s="181">
        <f t="shared" si="17"/>
        <v>0</v>
      </c>
      <c r="T32" s="181">
        <f t="shared" si="17"/>
        <v>0</v>
      </c>
      <c r="U32" s="181">
        <f t="shared" si="17"/>
        <v>0</v>
      </c>
      <c r="V32" s="181">
        <f t="shared" si="17"/>
        <v>0</v>
      </c>
      <c r="W32" s="181">
        <f t="shared" si="17"/>
        <v>0</v>
      </c>
      <c r="X32" s="181">
        <f t="shared" si="17"/>
        <v>0</v>
      </c>
      <c r="Y32" s="182">
        <f t="shared" si="17"/>
        <v>0</v>
      </c>
      <c r="Z32" s="174"/>
    </row>
    <row r="33" spans="1:26" x14ac:dyDescent="0.25">
      <c r="A33" s="176">
        <v>30</v>
      </c>
      <c r="B33" s="178" t="s">
        <v>382</v>
      </c>
      <c r="C33" s="179"/>
      <c r="D33" s="180">
        <f>D28+D32</f>
        <v>-87599403</v>
      </c>
      <c r="E33" s="181">
        <f>E28+E32</f>
        <v>-6396300</v>
      </c>
      <c r="F33" s="181">
        <f t="shared" ref="F33:Y33" si="18">F28+F32</f>
        <v>-14416114.628648989</v>
      </c>
      <c r="G33" s="181">
        <f t="shared" si="18"/>
        <v>8348189.6570808031</v>
      </c>
      <c r="H33" s="181">
        <f t="shared" si="18"/>
        <v>37609817.657080814</v>
      </c>
      <c r="I33" s="181">
        <f t="shared" si="18"/>
        <v>57117569.657080792</v>
      </c>
      <c r="J33" s="181">
        <f t="shared" si="18"/>
        <v>66871445.657080814</v>
      </c>
      <c r="K33" s="181">
        <f t="shared" si="18"/>
        <v>66871445.657080814</v>
      </c>
      <c r="L33" s="181">
        <f t="shared" si="18"/>
        <v>66871445.657080814</v>
      </c>
      <c r="M33" s="181">
        <f t="shared" si="18"/>
        <v>66871445.657080814</v>
      </c>
      <c r="N33" s="182">
        <f>N28+N32</f>
        <v>66871445.657080814</v>
      </c>
      <c r="O33" s="180">
        <f t="shared" si="18"/>
        <v>-87599403</v>
      </c>
      <c r="P33" s="181">
        <f t="shared" si="18"/>
        <v>-6396300</v>
      </c>
      <c r="Q33" s="181">
        <f t="shared" si="18"/>
        <v>-18319794.628648989</v>
      </c>
      <c r="R33" s="181">
        <f t="shared" si="18"/>
        <v>2161215.3713510036</v>
      </c>
      <c r="S33" s="181">
        <f t="shared" si="18"/>
        <v>26679513.657080814</v>
      </c>
      <c r="T33" s="181">
        <f t="shared" si="18"/>
        <v>43064321.657080777</v>
      </c>
      <c r="U33" s="181">
        <f t="shared" si="18"/>
        <v>51256725.657080799</v>
      </c>
      <c r="V33" s="181">
        <f t="shared" si="18"/>
        <v>51256725.657080799</v>
      </c>
      <c r="W33" s="181">
        <f t="shared" si="18"/>
        <v>51256725.657080799</v>
      </c>
      <c r="X33" s="181">
        <f t="shared" si="18"/>
        <v>51256725.657080799</v>
      </c>
      <c r="Y33" s="182">
        <f t="shared" si="18"/>
        <v>51256725.657080799</v>
      </c>
      <c r="Z33" s="174"/>
    </row>
    <row r="34" spans="1:26" x14ac:dyDescent="0.25">
      <c r="A34" s="176">
        <v>31</v>
      </c>
      <c r="B34" s="178" t="s">
        <v>383</v>
      </c>
      <c r="C34" s="179"/>
      <c r="D34" s="180">
        <f>'666'!D457</f>
        <v>26279820.899999999</v>
      </c>
      <c r="E34" s="181">
        <f>'666'!E457</f>
        <v>28198711.199999999</v>
      </c>
      <c r="F34" s="181">
        <f>'666'!F457</f>
        <v>33556466.270999998</v>
      </c>
      <c r="G34" s="181">
        <f>'666'!G457</f>
        <v>38914221.342</v>
      </c>
      <c r="H34" s="181">
        <f>'666'!H457</f>
        <v>44271976.413000003</v>
      </c>
      <c r="I34" s="181">
        <f>'666'!I457</f>
        <v>49629731.484000005</v>
      </c>
      <c r="J34" s="181">
        <f>'666'!J457</f>
        <v>54987486.555000007</v>
      </c>
      <c r="K34" s="181">
        <f>$J34</f>
        <v>54987486.555000007</v>
      </c>
      <c r="L34" s="181">
        <f>$J34</f>
        <v>54987486.555000007</v>
      </c>
      <c r="M34" s="181">
        <f>$J34</f>
        <v>54987486.555000007</v>
      </c>
      <c r="N34" s="182">
        <f>$J34</f>
        <v>54987486.555000007</v>
      </c>
      <c r="O34" s="180">
        <f>D34</f>
        <v>26279820.899999999</v>
      </c>
      <c r="P34" s="181">
        <f t="shared" ref="P34:Y34" si="19">E34</f>
        <v>28198711.199999999</v>
      </c>
      <c r="Q34" s="181">
        <f t="shared" si="19"/>
        <v>33556466.270999998</v>
      </c>
      <c r="R34" s="181">
        <f t="shared" si="19"/>
        <v>38914221.342</v>
      </c>
      <c r="S34" s="181">
        <f t="shared" si="19"/>
        <v>44271976.413000003</v>
      </c>
      <c r="T34" s="181">
        <f t="shared" si="19"/>
        <v>49629731.484000005</v>
      </c>
      <c r="U34" s="181">
        <f t="shared" si="19"/>
        <v>54987486.555000007</v>
      </c>
      <c r="V34" s="181">
        <f t="shared" si="19"/>
        <v>54987486.555000007</v>
      </c>
      <c r="W34" s="181">
        <f t="shared" si="19"/>
        <v>54987486.555000007</v>
      </c>
      <c r="X34" s="181">
        <f t="shared" si="19"/>
        <v>54987486.555000007</v>
      </c>
      <c r="Y34" s="182">
        <f t="shared" si="19"/>
        <v>54987486.555000007</v>
      </c>
      <c r="Z34" s="174"/>
    </row>
    <row r="35" spans="1:26" x14ac:dyDescent="0.25">
      <c r="A35" s="176">
        <v>32</v>
      </c>
      <c r="B35" s="178" t="s">
        <v>409</v>
      </c>
      <c r="C35" s="179"/>
      <c r="D35" s="191">
        <f>'666'!B486</f>
        <v>1</v>
      </c>
      <c r="E35" s="191">
        <f>'666'!C486</f>
        <v>0.83299999999999996</v>
      </c>
      <c r="F35" s="191">
        <f>'666'!D486</f>
        <v>0.69399999999999995</v>
      </c>
      <c r="G35" s="191">
        <f>'666'!E486</f>
        <v>0.57899999999999996</v>
      </c>
      <c r="H35" s="191">
        <f>'666'!F486</f>
        <v>0.48199999999999998</v>
      </c>
      <c r="I35" s="191">
        <f>'666'!G486</f>
        <v>0.40200000000000002</v>
      </c>
      <c r="J35" s="191">
        <f>'666'!H486</f>
        <v>0.33500000000000002</v>
      </c>
      <c r="K35" s="191">
        <f>'666'!I486</f>
        <v>0.27900000000000003</v>
      </c>
      <c r="L35" s="191">
        <f>'666'!J486</f>
        <v>0.23300000000000001</v>
      </c>
      <c r="M35" s="191">
        <f>'666'!K486</f>
        <v>0.19400000000000001</v>
      </c>
      <c r="N35" s="191">
        <f>'666'!L486</f>
        <v>0.16200000000000001</v>
      </c>
      <c r="O35" s="191">
        <f>'666'!B486</f>
        <v>1</v>
      </c>
      <c r="P35" s="191">
        <f>'666'!C486</f>
        <v>0.83299999999999996</v>
      </c>
      <c r="Q35" s="191">
        <f>'666'!D486</f>
        <v>0.69399999999999995</v>
      </c>
      <c r="R35" s="191">
        <f>'666'!E486</f>
        <v>0.57899999999999996</v>
      </c>
      <c r="S35" s="191">
        <f>'666'!F486</f>
        <v>0.48199999999999998</v>
      </c>
      <c r="T35" s="191">
        <f>'666'!G486</f>
        <v>0.40200000000000002</v>
      </c>
      <c r="U35" s="191">
        <f>'666'!H486</f>
        <v>0.33500000000000002</v>
      </c>
      <c r="V35" s="191">
        <f>'666'!I486</f>
        <v>0.27900000000000003</v>
      </c>
      <c r="W35" s="191">
        <f>'666'!J486</f>
        <v>0.23300000000000001</v>
      </c>
      <c r="X35" s="191">
        <f>'666'!K486</f>
        <v>0.19400000000000001</v>
      </c>
      <c r="Y35" s="191">
        <f>'666'!L486</f>
        <v>0.16200000000000001</v>
      </c>
      <c r="Z35" s="174"/>
    </row>
    <row r="36" spans="1:26" x14ac:dyDescent="0.25">
      <c r="A36" s="176">
        <v>33</v>
      </c>
      <c r="B36" s="178" t="s">
        <v>417</v>
      </c>
      <c r="C36" s="179"/>
      <c r="D36" s="180">
        <f>D33*D35</f>
        <v>-87599403</v>
      </c>
      <c r="E36" s="181">
        <f t="shared" ref="E36:Y36" si="20">E33*E35</f>
        <v>-5328117.8999999994</v>
      </c>
      <c r="F36" s="181">
        <f t="shared" si="20"/>
        <v>-10004783.552282397</v>
      </c>
      <c r="G36" s="181">
        <f t="shared" si="20"/>
        <v>4833601.8114497848</v>
      </c>
      <c r="H36" s="181">
        <f t="shared" si="20"/>
        <v>18127932.110712953</v>
      </c>
      <c r="I36" s="181">
        <f t="shared" si="20"/>
        <v>22961263.002146479</v>
      </c>
      <c r="J36" s="181">
        <f t="shared" si="20"/>
        <v>22401934.295122076</v>
      </c>
      <c r="K36" s="181">
        <f t="shared" si="20"/>
        <v>18657133.338325549</v>
      </c>
      <c r="L36" s="181">
        <f t="shared" si="20"/>
        <v>15581046.83809983</v>
      </c>
      <c r="M36" s="181">
        <f t="shared" si="20"/>
        <v>12973060.457473679</v>
      </c>
      <c r="N36" s="182">
        <f>N33*N35</f>
        <v>10833174.196447093</v>
      </c>
      <c r="O36" s="180">
        <f t="shared" si="20"/>
        <v>-87599403</v>
      </c>
      <c r="P36" s="181">
        <f t="shared" si="20"/>
        <v>-5328117.8999999994</v>
      </c>
      <c r="Q36" s="181">
        <f t="shared" si="20"/>
        <v>-12713937.472282397</v>
      </c>
      <c r="R36" s="181">
        <f t="shared" si="20"/>
        <v>1251343.700012231</v>
      </c>
      <c r="S36" s="181">
        <f t="shared" si="20"/>
        <v>12859525.582712952</v>
      </c>
      <c r="T36" s="181">
        <f t="shared" si="20"/>
        <v>17311857.306146473</v>
      </c>
      <c r="U36" s="181">
        <f t="shared" si="20"/>
        <v>17171003.095122069</v>
      </c>
      <c r="V36" s="181">
        <f t="shared" si="20"/>
        <v>14300626.458325544</v>
      </c>
      <c r="W36" s="181">
        <f t="shared" si="20"/>
        <v>11942817.078099826</v>
      </c>
      <c r="X36" s="181">
        <f t="shared" si="20"/>
        <v>9943804.7774736751</v>
      </c>
      <c r="Y36" s="182">
        <f t="shared" si="20"/>
        <v>8303589.5564470896</v>
      </c>
      <c r="Z36" s="174"/>
    </row>
    <row r="37" spans="1:26" x14ac:dyDescent="0.25">
      <c r="A37" s="176">
        <v>34</v>
      </c>
      <c r="B37" s="178" t="s">
        <v>410</v>
      </c>
      <c r="C37" s="179"/>
      <c r="D37" s="180">
        <f>D36</f>
        <v>-87599403</v>
      </c>
      <c r="E37" s="181">
        <f>D37+E36</f>
        <v>-92927520.900000006</v>
      </c>
      <c r="F37" s="181">
        <f t="shared" ref="F37:Y37" si="21">E37+F36</f>
        <v>-102932304.4522824</v>
      </c>
      <c r="G37" s="181">
        <f t="shared" si="21"/>
        <v>-98098702.640832618</v>
      </c>
      <c r="H37" s="181">
        <f t="shared" si="21"/>
        <v>-79970770.530119658</v>
      </c>
      <c r="I37" s="181">
        <f t="shared" si="21"/>
        <v>-57009507.527973175</v>
      </c>
      <c r="J37" s="181">
        <f t="shared" si="21"/>
        <v>-34607573.232851103</v>
      </c>
      <c r="K37" s="181">
        <f t="shared" si="21"/>
        <v>-15950439.894525554</v>
      </c>
      <c r="L37" s="181">
        <f t="shared" si="21"/>
        <v>-369393.05642572418</v>
      </c>
      <c r="M37" s="181">
        <f t="shared" si="21"/>
        <v>12603667.401047954</v>
      </c>
      <c r="N37" s="182">
        <f>M37+N36</f>
        <v>23436841.597495049</v>
      </c>
      <c r="O37" s="180">
        <f>O36</f>
        <v>-87599403</v>
      </c>
      <c r="P37" s="181">
        <f t="shared" si="21"/>
        <v>-92927520.900000006</v>
      </c>
      <c r="Q37" s="181">
        <f t="shared" si="21"/>
        <v>-105641458.3722824</v>
      </c>
      <c r="R37" s="181">
        <f t="shared" si="21"/>
        <v>-104390114.67227016</v>
      </c>
      <c r="S37" s="181">
        <f t="shared" si="21"/>
        <v>-91530589.089557216</v>
      </c>
      <c r="T37" s="181">
        <f t="shared" si="21"/>
        <v>-74218731.783410743</v>
      </c>
      <c r="U37" s="181">
        <f t="shared" si="21"/>
        <v>-57047728.688288674</v>
      </c>
      <c r="V37" s="181">
        <f t="shared" si="21"/>
        <v>-42747102.229963131</v>
      </c>
      <c r="W37" s="181">
        <f t="shared" si="21"/>
        <v>-30804285.151863307</v>
      </c>
      <c r="X37" s="181">
        <f t="shared" si="21"/>
        <v>-20860480.374389634</v>
      </c>
      <c r="Y37" s="182">
        <f t="shared" si="21"/>
        <v>-12556890.817942545</v>
      </c>
      <c r="Z37" s="174"/>
    </row>
    <row r="38" spans="1:26" x14ac:dyDescent="0.25">
      <c r="A38" s="176">
        <v>35</v>
      </c>
      <c r="B38" s="178" t="s">
        <v>349</v>
      </c>
      <c r="C38" s="179"/>
      <c r="D38" s="180" t="str">
        <f>D7</f>
        <v>-</v>
      </c>
      <c r="E38" s="181" t="str">
        <f t="shared" ref="E38:Y38" si="22">E7</f>
        <v>-</v>
      </c>
      <c r="F38" s="181">
        <f t="shared" si="22"/>
        <v>54839399.999999993</v>
      </c>
      <c r="G38" s="181">
        <f t="shared" si="22"/>
        <v>109678799.99999999</v>
      </c>
      <c r="H38" s="181">
        <f t="shared" si="22"/>
        <v>191937900</v>
      </c>
      <c r="I38" s="181">
        <f t="shared" si="22"/>
        <v>246777299.99999997</v>
      </c>
      <c r="J38" s="181">
        <f t="shared" si="22"/>
        <v>274197000</v>
      </c>
      <c r="K38" s="181">
        <f t="shared" si="22"/>
        <v>274197000</v>
      </c>
      <c r="L38" s="181">
        <f t="shared" si="22"/>
        <v>274197000</v>
      </c>
      <c r="M38" s="181">
        <f t="shared" si="22"/>
        <v>274197000</v>
      </c>
      <c r="N38" s="182">
        <f t="shared" si="22"/>
        <v>274197000</v>
      </c>
      <c r="O38" s="180" t="str">
        <f t="shared" si="22"/>
        <v>-</v>
      </c>
      <c r="P38" s="181" t="str">
        <f t="shared" si="22"/>
        <v>-</v>
      </c>
      <c r="Q38" s="181">
        <f t="shared" si="22"/>
        <v>54839399.999999993</v>
      </c>
      <c r="R38" s="181">
        <f t="shared" si="22"/>
        <v>109678799.99999999</v>
      </c>
      <c r="S38" s="181">
        <f t="shared" si="22"/>
        <v>191937900</v>
      </c>
      <c r="T38" s="181">
        <f t="shared" si="22"/>
        <v>246777299.99999997</v>
      </c>
      <c r="U38" s="181">
        <f t="shared" si="22"/>
        <v>274197000</v>
      </c>
      <c r="V38" s="181">
        <f t="shared" si="22"/>
        <v>274197000</v>
      </c>
      <c r="W38" s="181">
        <f t="shared" si="22"/>
        <v>274197000</v>
      </c>
      <c r="X38" s="181">
        <f t="shared" si="22"/>
        <v>274197000</v>
      </c>
      <c r="Y38" s="182">
        <f t="shared" si="22"/>
        <v>274197000</v>
      </c>
      <c r="Z38" s="174"/>
    </row>
    <row r="39" spans="1:26" ht="15.75" thickBot="1" x14ac:dyDescent="0.3">
      <c r="A39" s="176">
        <v>36</v>
      </c>
      <c r="B39" s="178" t="s">
        <v>411</v>
      </c>
      <c r="C39" s="179"/>
      <c r="D39" s="192" t="s">
        <v>268</v>
      </c>
      <c r="E39" s="193" t="s">
        <v>268</v>
      </c>
      <c r="F39" s="193">
        <f t="shared" ref="F39:Y39" si="23">F38*F35</f>
        <v>38058543.599999994</v>
      </c>
      <c r="G39" s="193">
        <f t="shared" si="23"/>
        <v>63504025.199999988</v>
      </c>
      <c r="H39" s="193">
        <f t="shared" si="23"/>
        <v>92514067.799999997</v>
      </c>
      <c r="I39" s="193">
        <f t="shared" si="23"/>
        <v>99204474.599999994</v>
      </c>
      <c r="J39" s="193">
        <f t="shared" si="23"/>
        <v>91855995</v>
      </c>
      <c r="K39" s="193">
        <f t="shared" si="23"/>
        <v>76500963</v>
      </c>
      <c r="L39" s="193">
        <f t="shared" si="23"/>
        <v>63887901</v>
      </c>
      <c r="M39" s="193">
        <f t="shared" si="23"/>
        <v>53194218</v>
      </c>
      <c r="N39" s="194">
        <f t="shared" si="23"/>
        <v>44419914</v>
      </c>
      <c r="O39" s="192" t="s">
        <v>268</v>
      </c>
      <c r="P39" s="193" t="s">
        <v>268</v>
      </c>
      <c r="Q39" s="193">
        <f t="shared" si="23"/>
        <v>38058543.599999994</v>
      </c>
      <c r="R39" s="193">
        <f t="shared" si="23"/>
        <v>63504025.199999988</v>
      </c>
      <c r="S39" s="193">
        <f t="shared" si="23"/>
        <v>92514067.799999997</v>
      </c>
      <c r="T39" s="193">
        <f t="shared" si="23"/>
        <v>99204474.599999994</v>
      </c>
      <c r="U39" s="193">
        <f t="shared" si="23"/>
        <v>91855995</v>
      </c>
      <c r="V39" s="193">
        <f t="shared" si="23"/>
        <v>76500963</v>
      </c>
      <c r="W39" s="193">
        <f t="shared" si="23"/>
        <v>63887901</v>
      </c>
      <c r="X39" s="193">
        <f t="shared" si="23"/>
        <v>53194218</v>
      </c>
      <c r="Y39" s="194">
        <f t="shared" si="23"/>
        <v>44419914</v>
      </c>
      <c r="Z39" s="174"/>
    </row>
    <row r="40" spans="1:26" ht="15.75" thickBot="1" x14ac:dyDescent="0.3">
      <c r="A40" s="176">
        <v>37</v>
      </c>
      <c r="B40" s="178" t="s">
        <v>412</v>
      </c>
      <c r="C40" s="179"/>
      <c r="D40" s="278">
        <f>SUM(F39:N39)</f>
        <v>623140102.19999993</v>
      </c>
      <c r="E40" s="279"/>
      <c r="F40" s="279"/>
      <c r="G40" s="279"/>
      <c r="H40" s="279"/>
      <c r="I40" s="279"/>
      <c r="J40" s="279"/>
      <c r="K40" s="279"/>
      <c r="L40" s="279"/>
      <c r="M40" s="279"/>
      <c r="N40" s="280"/>
      <c r="O40" s="278">
        <f>SUM(Q39:Y39)</f>
        <v>623140102.19999993</v>
      </c>
      <c r="P40" s="279"/>
      <c r="Q40" s="279"/>
      <c r="R40" s="279"/>
      <c r="S40" s="279"/>
      <c r="T40" s="279"/>
      <c r="U40" s="279"/>
      <c r="V40" s="279"/>
      <c r="W40" s="279"/>
      <c r="X40" s="279"/>
      <c r="Y40" s="280"/>
      <c r="Z40" s="174"/>
    </row>
    <row r="41" spans="1:26" x14ac:dyDescent="0.25">
      <c r="A41" s="176">
        <v>38</v>
      </c>
      <c r="B41" s="178" t="s">
        <v>346</v>
      </c>
      <c r="C41" s="179"/>
      <c r="D41" s="195">
        <f>D17-D23-D26-D30</f>
        <v>87599403</v>
      </c>
      <c r="E41" s="196">
        <f t="shared" ref="E41:Y41" si="24">E17-E23-E26-E30</f>
        <v>6396300</v>
      </c>
      <c r="F41" s="196">
        <f t="shared" si="24"/>
        <v>-17485994.628648981</v>
      </c>
      <c r="G41" s="196">
        <f t="shared" si="24"/>
        <v>2208429.657080818</v>
      </c>
      <c r="H41" s="196">
        <f t="shared" si="24"/>
        <v>26865237.657080814</v>
      </c>
      <c r="I41" s="196">
        <f t="shared" si="24"/>
        <v>43303109.657080822</v>
      </c>
      <c r="J41" s="196">
        <f t="shared" si="24"/>
        <v>51522045.657080814</v>
      </c>
      <c r="K41" s="196">
        <f t="shared" si="24"/>
        <v>51522045.657080814</v>
      </c>
      <c r="L41" s="196">
        <f t="shared" si="24"/>
        <v>51522045.657080814</v>
      </c>
      <c r="M41" s="196">
        <f t="shared" si="24"/>
        <v>51522045.657080814</v>
      </c>
      <c r="N41" s="197">
        <f t="shared" si="24"/>
        <v>51522045.657080814</v>
      </c>
      <c r="O41" s="195">
        <f t="shared" si="24"/>
        <v>87599403</v>
      </c>
      <c r="P41" s="196">
        <f t="shared" si="24"/>
        <v>6396300</v>
      </c>
      <c r="Q41" s="196">
        <f t="shared" si="24"/>
        <v>-13582314.628648981</v>
      </c>
      <c r="R41" s="196">
        <f t="shared" si="24"/>
        <v>11636175.371351019</v>
      </c>
      <c r="S41" s="196">
        <f t="shared" si="24"/>
        <v>43260693.657080814</v>
      </c>
      <c r="T41" s="196">
        <f t="shared" si="24"/>
        <v>64382981.657080837</v>
      </c>
      <c r="U41" s="196">
        <f t="shared" si="24"/>
        <v>74944125.657080829</v>
      </c>
      <c r="V41" s="196">
        <f t="shared" si="24"/>
        <v>74944125.657080829</v>
      </c>
      <c r="W41" s="196">
        <f t="shared" si="24"/>
        <v>74944125.657080829</v>
      </c>
      <c r="X41" s="196">
        <f t="shared" si="24"/>
        <v>74944125.657080829</v>
      </c>
      <c r="Y41" s="197">
        <f t="shared" si="24"/>
        <v>74944125.657080829</v>
      </c>
      <c r="Z41" s="174"/>
    </row>
    <row r="42" spans="1:26" ht="15.75" thickBot="1" x14ac:dyDescent="0.3">
      <c r="A42" s="176">
        <v>39</v>
      </c>
      <c r="B42" s="178" t="s">
        <v>413</v>
      </c>
      <c r="C42" s="179"/>
      <c r="D42" s="192">
        <f>D41*D35</f>
        <v>87599403</v>
      </c>
      <c r="E42" s="193">
        <f t="shared" ref="E42:Y42" si="25">E41*E35</f>
        <v>5328117.8999999994</v>
      </c>
      <c r="F42" s="193">
        <f t="shared" si="25"/>
        <v>-12135280.272282392</v>
      </c>
      <c r="G42" s="193">
        <f t="shared" si="25"/>
        <v>1278680.7714497936</v>
      </c>
      <c r="H42" s="193">
        <f t="shared" si="25"/>
        <v>12949044.550712952</v>
      </c>
      <c r="I42" s="193">
        <f t="shared" si="25"/>
        <v>17407850.082146492</v>
      </c>
      <c r="J42" s="193">
        <f t="shared" si="25"/>
        <v>17259885.295122072</v>
      </c>
      <c r="K42" s="193">
        <f t="shared" si="25"/>
        <v>14374650.738325549</v>
      </c>
      <c r="L42" s="193">
        <f t="shared" si="25"/>
        <v>12004636.638099831</v>
      </c>
      <c r="M42" s="193">
        <f>M41*M35</f>
        <v>9995276.8574736789</v>
      </c>
      <c r="N42" s="194">
        <f t="shared" si="25"/>
        <v>8346571.3964470923</v>
      </c>
      <c r="O42" s="192">
        <f t="shared" si="25"/>
        <v>87599403</v>
      </c>
      <c r="P42" s="193">
        <f t="shared" si="25"/>
        <v>5328117.8999999994</v>
      </c>
      <c r="Q42" s="193">
        <f t="shared" si="25"/>
        <v>-9426126.3522823919</v>
      </c>
      <c r="R42" s="193">
        <f t="shared" si="25"/>
        <v>6737345.5400122395</v>
      </c>
      <c r="S42" s="193">
        <f t="shared" si="25"/>
        <v>20851654.34271295</v>
      </c>
      <c r="T42" s="193">
        <f t="shared" si="25"/>
        <v>25881958.626146499</v>
      </c>
      <c r="U42" s="193">
        <f t="shared" si="25"/>
        <v>25106282.09512208</v>
      </c>
      <c r="V42" s="193">
        <f t="shared" si="25"/>
        <v>20909411.058325551</v>
      </c>
      <c r="W42" s="193">
        <f t="shared" si="25"/>
        <v>17461981.278099835</v>
      </c>
      <c r="X42" s="193">
        <f t="shared" si="25"/>
        <v>14539160.377473682</v>
      </c>
      <c r="Y42" s="194">
        <f t="shared" si="25"/>
        <v>12140948.356447095</v>
      </c>
      <c r="Z42" s="174"/>
    </row>
    <row r="43" spans="1:26" ht="15.75" thickBot="1" x14ac:dyDescent="0.3">
      <c r="A43" s="176">
        <v>40</v>
      </c>
      <c r="B43" s="178" t="s">
        <v>414</v>
      </c>
      <c r="C43" s="179"/>
      <c r="D43" s="271">
        <f>SUM(D42:N42)</f>
        <v>174408836.95749506</v>
      </c>
      <c r="E43" s="272"/>
      <c r="F43" s="272"/>
      <c r="G43" s="272"/>
      <c r="H43" s="272"/>
      <c r="I43" s="272"/>
      <c r="J43" s="272"/>
      <c r="K43" s="272"/>
      <c r="L43" s="272"/>
      <c r="M43" s="272"/>
      <c r="N43" s="273"/>
      <c r="O43" s="271">
        <f>SUM(O42:Y42)</f>
        <v>227130136.22205755</v>
      </c>
      <c r="P43" s="272"/>
      <c r="Q43" s="272"/>
      <c r="R43" s="272"/>
      <c r="S43" s="272"/>
      <c r="T43" s="272"/>
      <c r="U43" s="272"/>
      <c r="V43" s="272"/>
      <c r="W43" s="272"/>
      <c r="X43" s="272"/>
      <c r="Y43" s="273"/>
      <c r="Z43" s="174"/>
    </row>
    <row r="44" spans="1:26" ht="15.75" thickBot="1" x14ac:dyDescent="0.3">
      <c r="A44" s="176">
        <v>41</v>
      </c>
      <c r="B44" s="178" t="s">
        <v>415</v>
      </c>
      <c r="C44" s="179"/>
      <c r="D44" s="198">
        <f>D30*D35</f>
        <v>-87599403</v>
      </c>
      <c r="E44" s="199">
        <f>E30*E35</f>
        <v>-5328117.8999999994</v>
      </c>
      <c r="F44" s="199" t="s">
        <v>268</v>
      </c>
      <c r="G44" s="199" t="s">
        <v>268</v>
      </c>
      <c r="H44" s="199" t="s">
        <v>268</v>
      </c>
      <c r="I44" s="199" t="s">
        <v>268</v>
      </c>
      <c r="J44" s="199" t="s">
        <v>268</v>
      </c>
      <c r="K44" s="199" t="s">
        <v>268</v>
      </c>
      <c r="L44" s="199" t="s">
        <v>268</v>
      </c>
      <c r="M44" s="199" t="s">
        <v>268</v>
      </c>
      <c r="N44" s="200" t="s">
        <v>268</v>
      </c>
      <c r="O44" s="198">
        <f>D44</f>
        <v>-87599403</v>
      </c>
      <c r="P44" s="199">
        <f t="shared" ref="P44:Y44" si="26">E44</f>
        <v>-5328117.8999999994</v>
      </c>
      <c r="Q44" s="199" t="str">
        <f t="shared" si="26"/>
        <v>-</v>
      </c>
      <c r="R44" s="199" t="str">
        <f t="shared" si="26"/>
        <v>-</v>
      </c>
      <c r="S44" s="199" t="str">
        <f t="shared" si="26"/>
        <v>-</v>
      </c>
      <c r="T44" s="199" t="str">
        <f t="shared" si="26"/>
        <v>-</v>
      </c>
      <c r="U44" s="199" t="str">
        <f t="shared" si="26"/>
        <v>-</v>
      </c>
      <c r="V44" s="199" t="str">
        <f t="shared" si="26"/>
        <v>-</v>
      </c>
      <c r="W44" s="199" t="str">
        <f t="shared" si="26"/>
        <v>-</v>
      </c>
      <c r="X44" s="199" t="str">
        <f t="shared" si="26"/>
        <v>-</v>
      </c>
      <c r="Y44" s="200" t="str">
        <f t="shared" si="26"/>
        <v>-</v>
      </c>
      <c r="Z44" s="174"/>
    </row>
    <row r="45" spans="1:26" x14ac:dyDescent="0.25">
      <c r="A45" s="174"/>
      <c r="B45" s="206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4"/>
      <c r="V45" s="174"/>
      <c r="W45" s="174"/>
      <c r="X45" s="174"/>
      <c r="Y45" s="174"/>
      <c r="Z45" s="174"/>
    </row>
    <row r="46" spans="1:26" x14ac:dyDescent="0.25">
      <c r="A46" s="274" t="str">
        <f>"Индекс доходности дисконтированных затрат = "</f>
        <v xml:space="preserve">Индекс доходности дисконтированных затрат = </v>
      </c>
      <c r="B46" s="274"/>
      <c r="C46" s="174">
        <f>ROUND((D40/ABS(D43)),2)</f>
        <v>3.57</v>
      </c>
      <c r="D46" s="174"/>
      <c r="E46" s="174"/>
      <c r="F46" s="174"/>
      <c r="G46" s="174"/>
      <c r="H46" s="174"/>
      <c r="I46" s="174"/>
      <c r="J46" s="174"/>
      <c r="K46" s="174"/>
      <c r="L46" s="174"/>
      <c r="M46" s="174"/>
      <c r="N46" s="174"/>
      <c r="O46" s="174"/>
      <c r="P46" s="174"/>
      <c r="Q46" s="174"/>
      <c r="R46" s="174"/>
      <c r="S46" s="174"/>
      <c r="T46" s="174"/>
      <c r="U46" s="174"/>
      <c r="V46" s="174"/>
      <c r="W46" s="174"/>
      <c r="X46" s="174"/>
      <c r="Y46" s="174"/>
      <c r="Z46" s="174"/>
    </row>
    <row r="47" spans="1:26" x14ac:dyDescent="0.25">
      <c r="A47" s="274" t="str">
        <f>"Индекс доходности дисконтрированных инвестиций ="</f>
        <v>Индекс доходности дисконтрированных инвестиций =</v>
      </c>
      <c r="B47" s="274"/>
      <c r="C47" s="201">
        <f>C46+(C46+N37)/ABS(SUM(D44:E44))</f>
        <v>3.8222056430701041</v>
      </c>
      <c r="D47" s="174"/>
      <c r="E47" s="174"/>
      <c r="F47" s="174"/>
      <c r="G47" s="174"/>
      <c r="H47" s="174"/>
      <c r="I47" s="174"/>
      <c r="J47" s="174"/>
      <c r="K47" s="174"/>
      <c r="L47" s="174"/>
      <c r="M47" s="174"/>
      <c r="N47" s="174"/>
      <c r="O47" s="174"/>
      <c r="P47" s="174"/>
      <c r="Q47" s="174"/>
      <c r="R47" s="174"/>
      <c r="S47" s="174"/>
      <c r="T47" s="174"/>
      <c r="U47" s="174"/>
      <c r="V47" s="174"/>
      <c r="W47" s="174"/>
      <c r="X47" s="174"/>
      <c r="Y47" s="174"/>
      <c r="Z47" s="174"/>
    </row>
    <row r="48" spans="1:26" x14ac:dyDescent="0.25">
      <c r="A48" s="274" t="str">
        <f>"Внутренняя норма доходности = "</f>
        <v xml:space="preserve">Внутренняя норма доходности = </v>
      </c>
      <c r="B48" s="274"/>
      <c r="C48" s="201">
        <f>ROUND(20+(N37/(N37-M53)*(30-20)),2)</f>
        <v>25.07</v>
      </c>
      <c r="D48" s="174"/>
      <c r="E48" s="174"/>
      <c r="F48" s="174"/>
      <c r="G48" s="174"/>
      <c r="H48" s="174"/>
      <c r="I48" s="174"/>
      <c r="J48" s="174"/>
      <c r="K48" s="174"/>
      <c r="L48" s="174"/>
      <c r="M48" s="174"/>
      <c r="N48" s="174"/>
      <c r="O48" s="174"/>
      <c r="P48" s="174"/>
      <c r="Q48" s="174"/>
      <c r="R48" s="174"/>
      <c r="S48" s="174"/>
      <c r="T48" s="174"/>
      <c r="U48" s="174"/>
      <c r="V48" s="174"/>
      <c r="W48" s="174"/>
      <c r="X48" s="174"/>
      <c r="Y48" s="174"/>
      <c r="Z48" s="174"/>
    </row>
    <row r="49" spans="1:26" ht="15.75" x14ac:dyDescent="0.25">
      <c r="A49" s="176"/>
      <c r="B49" s="202" t="s">
        <v>392</v>
      </c>
      <c r="C49" s="203">
        <v>0</v>
      </c>
      <c r="D49" s="203">
        <v>1</v>
      </c>
      <c r="E49" s="203">
        <v>2</v>
      </c>
      <c r="F49" s="203">
        <v>3</v>
      </c>
      <c r="G49" s="203">
        <v>4</v>
      </c>
      <c r="H49" s="203">
        <v>5</v>
      </c>
      <c r="I49" s="203">
        <v>6</v>
      </c>
      <c r="J49" s="203">
        <v>7</v>
      </c>
      <c r="K49" s="203">
        <v>8</v>
      </c>
      <c r="L49" s="203">
        <v>9</v>
      </c>
      <c r="M49" s="203">
        <v>10</v>
      </c>
      <c r="N49" s="174"/>
      <c r="O49" s="174"/>
      <c r="P49" s="174"/>
      <c r="Q49" s="174"/>
      <c r="R49" s="174"/>
      <c r="S49" s="174"/>
      <c r="T49" s="174"/>
      <c r="U49" s="174"/>
      <c r="V49" s="174"/>
      <c r="W49" s="174"/>
      <c r="X49" s="174"/>
      <c r="Y49" s="174"/>
      <c r="Z49" s="174"/>
    </row>
    <row r="50" spans="1:26" ht="15.75" x14ac:dyDescent="0.25">
      <c r="A50" s="176">
        <v>1</v>
      </c>
      <c r="B50" s="202" t="s">
        <v>382</v>
      </c>
      <c r="C50" s="204">
        <f>C33</f>
        <v>0</v>
      </c>
      <c r="D50" s="204">
        <f t="shared" ref="D50:M50" si="27">D33</f>
        <v>-87599403</v>
      </c>
      <c r="E50" s="204">
        <f t="shared" si="27"/>
        <v>-6396300</v>
      </c>
      <c r="F50" s="204">
        <f t="shared" si="27"/>
        <v>-14416114.628648989</v>
      </c>
      <c r="G50" s="204">
        <f t="shared" si="27"/>
        <v>8348189.6570808031</v>
      </c>
      <c r="H50" s="204">
        <f t="shared" si="27"/>
        <v>37609817.657080814</v>
      </c>
      <c r="I50" s="204">
        <f t="shared" si="27"/>
        <v>57117569.657080792</v>
      </c>
      <c r="J50" s="204">
        <f t="shared" si="27"/>
        <v>66871445.657080814</v>
      </c>
      <c r="K50" s="204">
        <f t="shared" si="27"/>
        <v>66871445.657080814</v>
      </c>
      <c r="L50" s="204">
        <f t="shared" si="27"/>
        <v>66871445.657080814</v>
      </c>
      <c r="M50" s="204">
        <f t="shared" si="27"/>
        <v>66871445.657080814</v>
      </c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</row>
    <row r="51" spans="1:26" ht="15.75" x14ac:dyDescent="0.25">
      <c r="A51" s="176">
        <v>2</v>
      </c>
      <c r="B51" s="202" t="s">
        <v>388</v>
      </c>
      <c r="C51" s="202">
        <f>ROUND(1/POWER((1+0.3),C49),3)</f>
        <v>1</v>
      </c>
      <c r="D51" s="202">
        <f t="shared" ref="D51:M51" si="28">ROUND(1/POWER((1+0.3),D49),3)</f>
        <v>0.76900000000000002</v>
      </c>
      <c r="E51" s="202">
        <f t="shared" si="28"/>
        <v>0.59199999999999997</v>
      </c>
      <c r="F51" s="202">
        <f t="shared" si="28"/>
        <v>0.45500000000000002</v>
      </c>
      <c r="G51" s="202">
        <f t="shared" si="28"/>
        <v>0.35</v>
      </c>
      <c r="H51" s="202">
        <f t="shared" si="28"/>
        <v>0.26900000000000002</v>
      </c>
      <c r="I51" s="202">
        <f t="shared" si="28"/>
        <v>0.20699999999999999</v>
      </c>
      <c r="J51" s="202">
        <f t="shared" si="28"/>
        <v>0.159</v>
      </c>
      <c r="K51" s="202">
        <f t="shared" si="28"/>
        <v>0.123</v>
      </c>
      <c r="L51" s="202">
        <f t="shared" si="28"/>
        <v>9.4E-2</v>
      </c>
      <c r="M51" s="202">
        <f t="shared" si="28"/>
        <v>7.2999999999999995E-2</v>
      </c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</row>
    <row r="52" spans="1:26" ht="15.75" x14ac:dyDescent="0.25">
      <c r="A52" s="176">
        <v>3</v>
      </c>
      <c r="B52" s="202" t="s">
        <v>389</v>
      </c>
      <c r="C52" s="204">
        <f>C50*C51</f>
        <v>0</v>
      </c>
      <c r="D52" s="204">
        <f t="shared" ref="D52:M52" si="29">D50*D51</f>
        <v>-67363940.907000005</v>
      </c>
      <c r="E52" s="204">
        <f t="shared" si="29"/>
        <v>-3786609.5999999996</v>
      </c>
      <c r="F52" s="204">
        <f t="shared" si="29"/>
        <v>-6559332.1560352901</v>
      </c>
      <c r="G52" s="204">
        <f t="shared" si="29"/>
        <v>2921866.379978281</v>
      </c>
      <c r="H52" s="204">
        <f t="shared" si="29"/>
        <v>10117040.949754739</v>
      </c>
      <c r="I52" s="204">
        <f t="shared" si="29"/>
        <v>11823336.919015724</v>
      </c>
      <c r="J52" s="204">
        <f t="shared" si="29"/>
        <v>10632559.859475849</v>
      </c>
      <c r="K52" s="204">
        <f t="shared" si="29"/>
        <v>8225187.8158209398</v>
      </c>
      <c r="L52" s="204">
        <f t="shared" si="29"/>
        <v>6285915.8917655963</v>
      </c>
      <c r="M52" s="204">
        <f t="shared" si="29"/>
        <v>4881615.5329668988</v>
      </c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</row>
    <row r="53" spans="1:26" ht="15.75" x14ac:dyDescent="0.25">
      <c r="A53" s="176">
        <v>4</v>
      </c>
      <c r="B53" s="202" t="s">
        <v>390</v>
      </c>
      <c r="C53" s="204">
        <f>C52</f>
        <v>0</v>
      </c>
      <c r="D53" s="205">
        <f>C53+D52</f>
        <v>-67363940.907000005</v>
      </c>
      <c r="E53" s="205">
        <f t="shared" ref="E53:L53" si="30">D53+E52</f>
        <v>-71150550.506999999</v>
      </c>
      <c r="F53" s="205">
        <f t="shared" si="30"/>
        <v>-77709882.663035288</v>
      </c>
      <c r="G53" s="205">
        <f t="shared" si="30"/>
        <v>-74788016.283057004</v>
      </c>
      <c r="H53" s="205">
        <f t="shared" si="30"/>
        <v>-64670975.333302267</v>
      </c>
      <c r="I53" s="205">
        <f t="shared" si="30"/>
        <v>-52847638.414286539</v>
      </c>
      <c r="J53" s="205">
        <f t="shared" si="30"/>
        <v>-42215078.554810688</v>
      </c>
      <c r="K53" s="205">
        <f t="shared" si="30"/>
        <v>-33989890.738989748</v>
      </c>
      <c r="L53" s="205">
        <f t="shared" si="30"/>
        <v>-27703974.847224154</v>
      </c>
      <c r="M53" s="205">
        <f>L53+M52</f>
        <v>-22822359.314257257</v>
      </c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</row>
    <row r="54" spans="1:26" ht="15.75" thickBot="1" x14ac:dyDescent="0.3">
      <c r="A54" s="174"/>
      <c r="B54" s="174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</row>
    <row r="55" spans="1:26" ht="15.75" thickBot="1" x14ac:dyDescent="0.3">
      <c r="A55" s="212"/>
      <c r="B55" s="221" t="s">
        <v>394</v>
      </c>
      <c r="C55" s="212"/>
      <c r="E55" s="212">
        <v>0</v>
      </c>
      <c r="F55" s="212">
        <f t="shared" ref="F55:F65" si="31">ROUND(1/POWER((1+0.2), E55),3)</f>
        <v>1</v>
      </c>
    </row>
    <row r="56" spans="1:26" x14ac:dyDescent="0.25">
      <c r="A56" s="212"/>
      <c r="B56" s="212" t="str">
        <f>"Объем реализации на "&amp;E55&amp;" шаге = "</f>
        <v xml:space="preserve">Объем реализации на 0 шаге = </v>
      </c>
      <c r="C56" s="201">
        <v>0</v>
      </c>
      <c r="E56" s="212">
        <v>1</v>
      </c>
      <c r="F56" s="212">
        <f t="shared" si="31"/>
        <v>0.83299999999999996</v>
      </c>
    </row>
    <row r="57" spans="1:26" x14ac:dyDescent="0.25">
      <c r="A57" s="212"/>
      <c r="B57" s="212" t="str">
        <f>"Объем реализации на "&amp;E56&amp;" шаге = "</f>
        <v xml:space="preserve">Объем реализации на 1 шаге = </v>
      </c>
      <c r="C57" s="201">
        <v>0</v>
      </c>
      <c r="E57" s="212">
        <v>2</v>
      </c>
      <c r="F57" s="212">
        <f t="shared" si="31"/>
        <v>0.69399999999999995</v>
      </c>
    </row>
    <row r="58" spans="1:26" x14ac:dyDescent="0.25">
      <c r="A58" s="212"/>
      <c r="B58" s="212" t="str">
        <f>"Объем реализации на "&amp;E57&amp;" шаге = "&amp;'666'!D$398&amp;" ="</f>
        <v>Объем реализации на 2 шаге = 55000 =</v>
      </c>
      <c r="C58" s="201">
        <f>F$5</f>
        <v>55000</v>
      </c>
      <c r="E58" s="212">
        <v>3</v>
      </c>
      <c r="F58" s="212">
        <f t="shared" si="31"/>
        <v>0.57899999999999996</v>
      </c>
    </row>
    <row r="59" spans="1:26" x14ac:dyDescent="0.25">
      <c r="A59" s="212"/>
      <c r="B59" s="212" t="str">
        <f>"Объем реализации на "&amp;E58&amp;" шаге = "&amp;'666'!E$398&amp;" ="</f>
        <v>Объем реализации на 3 шаге = 110000 =</v>
      </c>
      <c r="C59" s="201">
        <f>G$5</f>
        <v>110000</v>
      </c>
      <c r="E59" s="212">
        <v>4</v>
      </c>
      <c r="F59" s="212">
        <f t="shared" si="31"/>
        <v>0.48199999999999998</v>
      </c>
    </row>
    <row r="60" spans="1:26" x14ac:dyDescent="0.25">
      <c r="A60" s="212"/>
      <c r="B60" s="212" t="str">
        <f>"Объем реализации на "&amp;E59&amp;" шаге = "&amp;'666'!F$398&amp;" ="</f>
        <v>Объем реализации на 4 шаге = 192500 =</v>
      </c>
      <c r="C60" s="201">
        <f>H$5</f>
        <v>192500</v>
      </c>
      <c r="E60" s="212">
        <v>5</v>
      </c>
      <c r="F60" s="212">
        <f t="shared" si="31"/>
        <v>0.40200000000000002</v>
      </c>
    </row>
    <row r="61" spans="1:26" x14ac:dyDescent="0.25">
      <c r="A61" s="212"/>
      <c r="B61" s="212" t="str">
        <f>"Объем реализации на "&amp;E60&amp;" шаге = "&amp;'666'!G$398&amp;" ="</f>
        <v>Объем реализации на 5 шаге = 247500 =</v>
      </c>
      <c r="C61" s="201">
        <f>I$5</f>
        <v>247500</v>
      </c>
      <c r="E61" s="212">
        <v>6</v>
      </c>
      <c r="F61" s="212">
        <f t="shared" si="31"/>
        <v>0.33500000000000002</v>
      </c>
    </row>
    <row r="62" spans="1:26" x14ac:dyDescent="0.25">
      <c r="A62" s="212"/>
      <c r="B62" s="212" t="str">
        <f>"Объем реализации на "&amp;E61&amp;" шаге = "&amp;'666'!H$398&amp;" ="</f>
        <v>Объем реализации на 6 шаге = 275000 =</v>
      </c>
      <c r="C62" s="201">
        <f>J$5</f>
        <v>275000</v>
      </c>
      <c r="E62" s="212">
        <v>7</v>
      </c>
      <c r="F62" s="212">
        <f t="shared" si="31"/>
        <v>0.27900000000000003</v>
      </c>
    </row>
    <row r="63" spans="1:26" x14ac:dyDescent="0.25">
      <c r="A63" s="212"/>
      <c r="B63" s="212" t="str">
        <f>"Объем реализации на "&amp;E62&amp;" шаге = "&amp;'666'!H$398&amp;" ="</f>
        <v>Объем реализации на 7 шаге = 275000 =</v>
      </c>
      <c r="C63" s="201">
        <f>K$5</f>
        <v>275000</v>
      </c>
      <c r="E63" s="212">
        <v>8</v>
      </c>
      <c r="F63" s="212">
        <f t="shared" si="31"/>
        <v>0.23300000000000001</v>
      </c>
    </row>
    <row r="64" spans="1:26" x14ac:dyDescent="0.25">
      <c r="A64" s="212"/>
      <c r="B64" s="212" t="str">
        <f>"Объем реализации на "&amp;E63&amp;" шаге = "&amp;'666'!H$398&amp;" ="</f>
        <v>Объем реализации на 8 шаге = 275000 =</v>
      </c>
      <c r="C64" s="201">
        <f t="shared" ref="C64:C66" si="32">K$5</f>
        <v>275000</v>
      </c>
      <c r="E64" s="212">
        <v>9</v>
      </c>
      <c r="F64" s="212">
        <f t="shared" si="31"/>
        <v>0.19400000000000001</v>
      </c>
    </row>
    <row r="65" spans="1:6" x14ac:dyDescent="0.25">
      <c r="A65" s="212"/>
      <c r="B65" s="212" t="str">
        <f>"Объем реализации на "&amp;E64&amp;" шаге = "&amp;'666'!H$398&amp;" ="</f>
        <v>Объем реализации на 9 шаге = 275000 =</v>
      </c>
      <c r="C65" s="201">
        <f t="shared" si="32"/>
        <v>275000</v>
      </c>
      <c r="E65" s="212">
        <v>10</v>
      </c>
      <c r="F65" s="212">
        <f t="shared" si="31"/>
        <v>0.16200000000000001</v>
      </c>
    </row>
    <row r="66" spans="1:6" x14ac:dyDescent="0.25">
      <c r="A66" s="212"/>
      <c r="B66" s="212" t="str">
        <f>"Объем реализации на "&amp;E65&amp;" шаге = "&amp;'666'!H$398&amp;" ="</f>
        <v>Объем реализации на 10 шаге = 275000 =</v>
      </c>
      <c r="C66" s="201">
        <f t="shared" si="32"/>
        <v>275000</v>
      </c>
    </row>
    <row r="67" spans="1:6" ht="15.75" thickBot="1" x14ac:dyDescent="0.3">
      <c r="A67" s="212"/>
      <c r="B67" s="212"/>
      <c r="C67" s="212"/>
    </row>
    <row r="68" spans="1:6" ht="15.75" thickBot="1" x14ac:dyDescent="0.3">
      <c r="A68" s="212"/>
      <c r="B68" s="222" t="s">
        <v>432</v>
      </c>
      <c r="C68" s="212"/>
    </row>
    <row r="69" spans="1:6" x14ac:dyDescent="0.25">
      <c r="A69" s="212"/>
      <c r="B69" s="212" t="str">
        <f>"Объем реализации на "&amp;E55&amp;" шаге = "</f>
        <v xml:space="preserve">Объем реализации на 0 шаге = </v>
      </c>
      <c r="C69" s="201">
        <v>0</v>
      </c>
    </row>
    <row r="70" spans="1:6" x14ac:dyDescent="0.25">
      <c r="A70" s="212"/>
      <c r="B70" s="212" t="str">
        <f>"Объем реализации на "&amp;E56&amp;" шаге = "</f>
        <v xml:space="preserve">Объем реализации на 1 шаге = </v>
      </c>
      <c r="C70" s="201">
        <v>0</v>
      </c>
    </row>
    <row r="71" spans="1:6" x14ac:dyDescent="0.25">
      <c r="A71" s="212"/>
      <c r="B71" s="212" t="str">
        <f>"Объем реализации на "&amp;E57&amp;" шаге = "&amp;'666'!D$398&amp;" = "</f>
        <v xml:space="preserve">Объем реализации на 2 шаге = 55000 = </v>
      </c>
      <c r="C71" s="201">
        <f>Q$5</f>
        <v>55000</v>
      </c>
    </row>
    <row r="72" spans="1:6" x14ac:dyDescent="0.25">
      <c r="A72" s="212"/>
      <c r="B72" s="212" t="str">
        <f>"Объем реализации на "&amp;E58&amp;" шаге = "&amp;'666'!E$398&amp;" = "</f>
        <v xml:space="preserve">Объем реализации на 3 шаге = 110000 = </v>
      </c>
      <c r="C72" s="201">
        <f>R$5</f>
        <v>110000</v>
      </c>
    </row>
    <row r="73" spans="1:6" x14ac:dyDescent="0.25">
      <c r="A73" s="212"/>
      <c r="B73" s="212" t="str">
        <f>"Объем реализации на "&amp;E59&amp;" шаге = "&amp;'666'!F$398&amp;" = "</f>
        <v xml:space="preserve">Объем реализации на 4 шаге = 192500 = </v>
      </c>
      <c r="C73" s="201">
        <f>S$5</f>
        <v>192500</v>
      </c>
    </row>
    <row r="74" spans="1:6" x14ac:dyDescent="0.25">
      <c r="A74" s="212"/>
      <c r="B74" s="212" t="str">
        <f>"Объем реализации на "&amp;E60&amp;" шаге = "&amp;'666'!G$398&amp;" = "</f>
        <v xml:space="preserve">Объем реализации на 5 шаге = 247500 = </v>
      </c>
      <c r="C74" s="201">
        <f>T$5</f>
        <v>247500</v>
      </c>
    </row>
    <row r="75" spans="1:6" x14ac:dyDescent="0.25">
      <c r="A75" s="212"/>
      <c r="B75" s="212" t="str">
        <f>"Объем реализации на "&amp;E61&amp;" шаге = "&amp;'666'!H$398&amp;" = "</f>
        <v xml:space="preserve">Объем реализации на 6 шаге = 275000 = </v>
      </c>
      <c r="C75" s="201">
        <f>U$5</f>
        <v>275000</v>
      </c>
    </row>
    <row r="76" spans="1:6" x14ac:dyDescent="0.25">
      <c r="A76" s="212"/>
      <c r="B76" s="212" t="str">
        <f>"Объем реализации на "&amp;E62&amp;" шаге = "&amp;'666'!H$398&amp;" = "</f>
        <v xml:space="preserve">Объем реализации на 7 шаге = 275000 = </v>
      </c>
      <c r="C76" s="201">
        <f>V$5</f>
        <v>275000</v>
      </c>
    </row>
    <row r="77" spans="1:6" x14ac:dyDescent="0.25">
      <c r="A77" s="212"/>
      <c r="B77" s="212" t="str">
        <f>"Объем реализации на "&amp;E63&amp;" шаге = "&amp;'666'!H$398&amp;" = "</f>
        <v xml:space="preserve">Объем реализации на 8 шаге = 275000 = </v>
      </c>
      <c r="C77" s="201">
        <f t="shared" ref="C77:C79" si="33">V$5</f>
        <v>275000</v>
      </c>
    </row>
    <row r="78" spans="1:6" x14ac:dyDescent="0.25">
      <c r="A78" s="212"/>
      <c r="B78" s="212" t="str">
        <f>"Объем реализации на "&amp;E64&amp;" шаге = "&amp;'666'!H$398&amp;" = "</f>
        <v xml:space="preserve">Объем реализации на 9 шаге = 275000 = </v>
      </c>
      <c r="C78" s="201">
        <f t="shared" si="33"/>
        <v>275000</v>
      </c>
    </row>
    <row r="79" spans="1:6" x14ac:dyDescent="0.25">
      <c r="A79" s="212"/>
      <c r="B79" s="212" t="str">
        <f>"Объем реализации на "&amp;E65&amp;" шаге = "&amp;'666'!H$398&amp;" = "</f>
        <v xml:space="preserve">Объем реализации на 10 шаге = 275000 = </v>
      </c>
      <c r="C79" s="201">
        <f t="shared" si="33"/>
        <v>275000</v>
      </c>
    </row>
    <row r="80" spans="1:6" ht="15.75" thickBot="1" x14ac:dyDescent="0.3">
      <c r="A80" s="212"/>
      <c r="B80" s="212"/>
      <c r="C80" s="212"/>
    </row>
    <row r="81" spans="1:3" ht="15.75" thickBot="1" x14ac:dyDescent="0.3">
      <c r="A81" s="212"/>
      <c r="B81" s="222" t="s">
        <v>394</v>
      </c>
      <c r="C81" s="212"/>
    </row>
    <row r="82" spans="1:3" x14ac:dyDescent="0.25">
      <c r="A82" s="212"/>
      <c r="B82" s="212" t="str">
        <f>"Выручка с НДС на "&amp;E55&amp;" шаге = Объем реализации * Цена единицы НДС = "</f>
        <v xml:space="preserve">Выручка с НДС на 0 шаге = Объем реализации * Цена единицы НДС = </v>
      </c>
      <c r="C82" s="212">
        <f>C56*F$6</f>
        <v>0</v>
      </c>
    </row>
    <row r="83" spans="1:3" x14ac:dyDescent="0.25">
      <c r="A83" s="212"/>
      <c r="B83" s="212" t="str">
        <f>"Выручка с НДС на "&amp;E56&amp;" шаге = Объем реализации * Цена единицы НДС = "</f>
        <v xml:space="preserve">Выручка с НДС на 1 шаге = Объем реализации * Цена единицы НДС = </v>
      </c>
      <c r="C83" s="212">
        <f t="shared" ref="C83:C92" si="34">C57*F$6</f>
        <v>0</v>
      </c>
    </row>
    <row r="84" spans="1:3" x14ac:dyDescent="0.25">
      <c r="A84" s="212"/>
      <c r="B84" s="212" t="str">
        <f>"Выручка с НДС на "&amp;E57&amp;" шаге = Объем реализации * Цена единицы НДС = "&amp;C58&amp;" * "&amp;F$6&amp;" ="</f>
        <v>Выручка с НДС на 2 шаге = Объем реализации * Цена единицы НДС = 55000 * 997,08 =</v>
      </c>
      <c r="C84" s="212">
        <f t="shared" si="34"/>
        <v>54839399.999999993</v>
      </c>
    </row>
    <row r="85" spans="1:3" x14ac:dyDescent="0.25">
      <c r="A85" s="212"/>
      <c r="B85" s="212" t="str">
        <f>"Выручка с НДС на "&amp;E58&amp;" шаге = Объем реализации * Цена единицы НДС = "&amp;C59&amp;" * "&amp;F$6&amp;" ="</f>
        <v>Выручка с НДС на 3 шаге = Объем реализации * Цена единицы НДС = 110000 * 997,08 =</v>
      </c>
      <c r="C85" s="212">
        <f t="shared" si="34"/>
        <v>109678799.99999999</v>
      </c>
    </row>
    <row r="86" spans="1:3" x14ac:dyDescent="0.25">
      <c r="A86" s="212"/>
      <c r="B86" s="212" t="str">
        <f>"Выручка с НДС на "&amp;E59&amp;" шаге = Объем реализации * Цена единицы НДС = "&amp;C60&amp;" * "&amp;F$6&amp;" ="</f>
        <v>Выручка с НДС на 4 шаге = Объем реализации * Цена единицы НДС = 192500 * 997,08 =</v>
      </c>
      <c r="C86" s="212">
        <f t="shared" si="34"/>
        <v>191937900</v>
      </c>
    </row>
    <row r="87" spans="1:3" x14ac:dyDescent="0.25">
      <c r="A87" s="212"/>
      <c r="B87" s="212" t="str">
        <f>"Выручка с НДС на "&amp;E60&amp;" шаге = Объем реализации * Цена единицы НДС = "&amp;C61&amp;" * "&amp;F$6&amp;" ="</f>
        <v>Выручка с НДС на 5 шаге = Объем реализации * Цена единицы НДС = 247500 * 997,08 =</v>
      </c>
      <c r="C87" s="212">
        <f t="shared" si="34"/>
        <v>246777299.99999997</v>
      </c>
    </row>
    <row r="88" spans="1:3" x14ac:dyDescent="0.25">
      <c r="A88" s="212"/>
      <c r="B88" s="212" t="str">
        <f>"Выручка с НДС на "&amp;E61&amp;" шаге = Объем реализации * Цена единицы НДС = "&amp;C62&amp;" * "&amp;F$6&amp;" ="</f>
        <v>Выручка с НДС на 6 шаге = Объем реализации * Цена единицы НДС = 275000 * 997,08 =</v>
      </c>
      <c r="C88" s="212">
        <f t="shared" si="34"/>
        <v>274197000</v>
      </c>
    </row>
    <row r="89" spans="1:3" x14ac:dyDescent="0.25">
      <c r="A89" s="212"/>
      <c r="B89" s="212" t="str">
        <f>"Выручка с НДС на "&amp;E62&amp;" шаге = Объем реализации * Цена единицы НДС = "&amp;C63&amp;" * "&amp;F$6&amp;" ="</f>
        <v>Выручка с НДС на 7 шаге = Объем реализации * Цена единицы НДС = 275000 * 997,08 =</v>
      </c>
      <c r="C89" s="212">
        <f t="shared" si="34"/>
        <v>274197000</v>
      </c>
    </row>
    <row r="90" spans="1:3" x14ac:dyDescent="0.25">
      <c r="A90" s="212"/>
      <c r="B90" s="212" t="str">
        <f>"Выручка с НДС на "&amp;E63&amp;" шаге = Объем реализации * Цена единицы НДС = "&amp;C64&amp;" * "&amp;F$6&amp;" ="</f>
        <v>Выручка с НДС на 8 шаге = Объем реализации * Цена единицы НДС = 275000 * 997,08 =</v>
      </c>
      <c r="C90" s="212">
        <f t="shared" si="34"/>
        <v>274197000</v>
      </c>
    </row>
    <row r="91" spans="1:3" x14ac:dyDescent="0.25">
      <c r="A91" s="212"/>
      <c r="B91" s="212" t="str">
        <f>"Выручка с НДС на "&amp;E64&amp;" шаге = Объем реализации * Цена единицы НДС = "&amp;C65&amp;" * "&amp;F$6&amp;" ="</f>
        <v>Выручка с НДС на 9 шаге = Объем реализации * Цена единицы НДС = 275000 * 997,08 =</v>
      </c>
      <c r="C91" s="212">
        <f t="shared" si="34"/>
        <v>274197000</v>
      </c>
    </row>
    <row r="92" spans="1:3" x14ac:dyDescent="0.25">
      <c r="A92" s="212"/>
      <c r="B92" s="212" t="str">
        <f>"Выручка с НДС на "&amp;E65&amp;" шаге = Объем реализации * Цена единицы НДС = "&amp;C66&amp;" * "&amp;F$6&amp;" ="</f>
        <v>Выручка с НДС на 10 шаге = Объем реализации * Цена единицы НДС = 275000 * 997,08 =</v>
      </c>
      <c r="C92" s="212">
        <f t="shared" si="34"/>
        <v>274197000</v>
      </c>
    </row>
    <row r="93" spans="1:3" ht="15.75" thickBot="1" x14ac:dyDescent="0.3">
      <c r="A93" s="212"/>
      <c r="B93" s="212"/>
      <c r="C93" s="212"/>
    </row>
    <row r="94" spans="1:3" ht="15.75" thickBot="1" x14ac:dyDescent="0.3">
      <c r="A94" s="212"/>
      <c r="B94" s="221" t="s">
        <v>395</v>
      </c>
      <c r="C94" s="212"/>
    </row>
    <row r="95" spans="1:3" x14ac:dyDescent="0.25">
      <c r="A95" s="212"/>
      <c r="B95" s="212" t="str">
        <f>"Выручка с НДС на "&amp;E55&amp;" шаге = Объем реализации * Цена единицы НДС = "</f>
        <v xml:space="preserve">Выручка с НДС на 0 шаге = Объем реализации * Цена единицы НДС = </v>
      </c>
      <c r="C95" s="212">
        <f>C69*F$6</f>
        <v>0</v>
      </c>
    </row>
    <row r="96" spans="1:3" x14ac:dyDescent="0.25">
      <c r="A96" s="212"/>
      <c r="B96" s="212" t="str">
        <f>"Выручка с НДС на "&amp;E56&amp;" шаге = Объем реализации * Цена единицы НДС = "</f>
        <v xml:space="preserve">Выручка с НДС на 1 шаге = Объем реализации * Цена единицы НДС = </v>
      </c>
      <c r="C96" s="212">
        <f t="shared" ref="C96:C105" si="35">C70*F$6</f>
        <v>0</v>
      </c>
    </row>
    <row r="97" spans="1:3" x14ac:dyDescent="0.25">
      <c r="A97" s="212"/>
      <c r="B97" s="212" t="str">
        <f>"Выручка с НДС на "&amp;E57&amp;" шаге = Объем реализации * Цена единицы НДС = "&amp;C71&amp;" * "&amp;F$6&amp;" ="</f>
        <v>Выручка с НДС на 2 шаге = Объем реализации * Цена единицы НДС = 55000 * 997,08 =</v>
      </c>
      <c r="C97" s="212">
        <f t="shared" si="35"/>
        <v>54839399.999999993</v>
      </c>
    </row>
    <row r="98" spans="1:3" x14ac:dyDescent="0.25">
      <c r="A98" s="212"/>
      <c r="B98" s="212" t="str">
        <f>"Выручка с НДС на "&amp;E58&amp;" шаге = Объем реализации * Цена единицы НДС = "&amp;C72&amp;" * "&amp;F$6&amp;" ="</f>
        <v>Выручка с НДС на 3 шаге = Объем реализации * Цена единицы НДС = 110000 * 997,08 =</v>
      </c>
      <c r="C98" s="212">
        <f t="shared" si="35"/>
        <v>109678799.99999999</v>
      </c>
    </row>
    <row r="99" spans="1:3" x14ac:dyDescent="0.25">
      <c r="A99" s="212"/>
      <c r="B99" s="212" t="str">
        <f>"Выручка с НДС на "&amp;E59&amp;" шаге = Объем реализации * Цена единицы НДС = "&amp;C73&amp;" * "&amp;F$6&amp;" ="</f>
        <v>Выручка с НДС на 4 шаге = Объем реализации * Цена единицы НДС = 192500 * 997,08 =</v>
      </c>
      <c r="C99" s="212">
        <f t="shared" si="35"/>
        <v>191937900</v>
      </c>
    </row>
    <row r="100" spans="1:3" x14ac:dyDescent="0.25">
      <c r="A100" s="212"/>
      <c r="B100" s="212" t="str">
        <f>"Выручка с НДС на "&amp;E60&amp;" шаге = Объем реализации * Цена единицы НДС = "&amp;C74&amp;" * "&amp;F$6&amp;" ="</f>
        <v>Выручка с НДС на 5 шаге = Объем реализации * Цена единицы НДС = 247500 * 997,08 =</v>
      </c>
      <c r="C100" s="212">
        <f t="shared" si="35"/>
        <v>246777299.99999997</v>
      </c>
    </row>
    <row r="101" spans="1:3" x14ac:dyDescent="0.25">
      <c r="A101" s="212"/>
      <c r="B101" s="212" t="str">
        <f>"Выручка с НДС на "&amp;E61&amp;" шаге = Объем реализации * Цена единицы НДС = "&amp;C75&amp;" * "&amp;F$6&amp;" ="</f>
        <v>Выручка с НДС на 6 шаге = Объем реализации * Цена единицы НДС = 275000 * 997,08 =</v>
      </c>
      <c r="C101" s="212">
        <f t="shared" si="35"/>
        <v>274197000</v>
      </c>
    </row>
    <row r="102" spans="1:3" x14ac:dyDescent="0.25">
      <c r="A102" s="212"/>
      <c r="B102" s="212" t="str">
        <f>"Выручка с НДС на "&amp;E62&amp;" шаге = Объем реализации * Цена единицы НДС = "&amp;C76&amp;" * "&amp;F$6&amp;" ="</f>
        <v>Выручка с НДС на 7 шаге = Объем реализации * Цена единицы НДС = 275000 * 997,08 =</v>
      </c>
      <c r="C102" s="212">
        <f t="shared" si="35"/>
        <v>274197000</v>
      </c>
    </row>
    <row r="103" spans="1:3" x14ac:dyDescent="0.25">
      <c r="A103" s="212"/>
      <c r="B103" s="212" t="str">
        <f>"Выручка с НДС на "&amp;E63&amp;" шаге = Объем реализации * Цена единицы НДС = "&amp;C77&amp;" * "&amp;F$6&amp;" ="</f>
        <v>Выручка с НДС на 8 шаге = Объем реализации * Цена единицы НДС = 275000 * 997,08 =</v>
      </c>
      <c r="C103" s="212">
        <f t="shared" si="35"/>
        <v>274197000</v>
      </c>
    </row>
    <row r="104" spans="1:3" x14ac:dyDescent="0.25">
      <c r="A104" s="212"/>
      <c r="B104" s="212" t="str">
        <f>"Выручка с НДС на "&amp;E64&amp;" шаге = Объем реализации * Цена единицы НДС = "&amp;C78&amp;" * "&amp;F$6&amp;" ="</f>
        <v>Выручка с НДС на 9 шаге = Объем реализации * Цена единицы НДС = 275000 * 997,08 =</v>
      </c>
      <c r="C104" s="212">
        <f t="shared" si="35"/>
        <v>274197000</v>
      </c>
    </row>
    <row r="105" spans="1:3" x14ac:dyDescent="0.25">
      <c r="A105" s="212"/>
      <c r="B105" s="212" t="str">
        <f>"Выручка с НДС на "&amp;E65&amp;" шаге = Объем реализации * Цена единицы НДС = "&amp;C79&amp;" * "&amp;F$6&amp;" ="</f>
        <v>Выручка с НДС на 10 шаге = Объем реализации * Цена единицы НДС = 275000 * 997,08 =</v>
      </c>
      <c r="C105" s="212">
        <f t="shared" si="35"/>
        <v>274197000</v>
      </c>
    </row>
    <row r="106" spans="1:3" ht="15.75" thickBot="1" x14ac:dyDescent="0.3">
      <c r="A106" s="212"/>
      <c r="B106" s="206"/>
      <c r="C106" s="212"/>
    </row>
    <row r="107" spans="1:3" ht="15.75" thickBot="1" x14ac:dyDescent="0.3">
      <c r="A107" s="212"/>
      <c r="B107" s="221" t="s">
        <v>394</v>
      </c>
      <c r="C107" s="212"/>
    </row>
    <row r="108" spans="1:3" x14ac:dyDescent="0.25">
      <c r="A108" s="212"/>
      <c r="B108" s="218" t="str">
        <f>"НДС в выручке на "&amp;E55&amp;" шаге = (Выручка с НДС / 120) * 20 = "</f>
        <v xml:space="preserve">НДС в выручке на 0 шаге = (Выручка с НДС / 120) * 20 = </v>
      </c>
      <c r="C108" s="212">
        <f>(C82/120)*20</f>
        <v>0</v>
      </c>
    </row>
    <row r="109" spans="1:3" x14ac:dyDescent="0.25">
      <c r="A109" s="212"/>
      <c r="B109" s="218" t="str">
        <f>"НДС в выручке на "&amp;E56&amp;" шаге = (Выручка с НДС / 120) * 20 = "</f>
        <v xml:space="preserve">НДС в выручке на 1 шаге = (Выручка с НДС / 120) * 20 = </v>
      </c>
      <c r="C109" s="212">
        <f t="shared" ref="C109:C118" si="36">(C83/120)*20</f>
        <v>0</v>
      </c>
    </row>
    <row r="110" spans="1:3" x14ac:dyDescent="0.25">
      <c r="A110" s="212"/>
      <c r="B110" s="218" t="str">
        <f>"НДС в выручке на "&amp;E57&amp;" шаге = (Выручка с НДС / 120) * 20 = "</f>
        <v xml:space="preserve">НДС в выручке на 2 шаге = (Выручка с НДС / 120) * 20 = </v>
      </c>
      <c r="C110" s="212">
        <f t="shared" si="36"/>
        <v>9139899.9999999981</v>
      </c>
    </row>
    <row r="111" spans="1:3" x14ac:dyDescent="0.25">
      <c r="A111" s="212"/>
      <c r="B111" s="218" t="str">
        <f>"НДС в выручке на "&amp;E58&amp;" шаге = (Выручка с НДС / 120) * 20 = "</f>
        <v xml:space="preserve">НДС в выручке на 3 шаге = (Выручка с НДС / 120) * 20 = </v>
      </c>
      <c r="C111" s="212">
        <f t="shared" si="36"/>
        <v>18279799.999999996</v>
      </c>
    </row>
    <row r="112" spans="1:3" x14ac:dyDescent="0.25">
      <c r="A112" s="212"/>
      <c r="B112" s="218" t="str">
        <f>"НДС в выручке на "&amp;E59&amp;" шаге = (Выручка с НДС / 120) * 20 = "</f>
        <v xml:space="preserve">НДС в выручке на 4 шаге = (Выручка с НДС / 120) * 20 = </v>
      </c>
      <c r="C112" s="212">
        <f t="shared" si="36"/>
        <v>31989650</v>
      </c>
    </row>
    <row r="113" spans="1:3" x14ac:dyDescent="0.25">
      <c r="A113" s="212"/>
      <c r="B113" s="218" t="str">
        <f>"НДС в выручке на "&amp;E60&amp;" шаге = (Выручка с НДС / 120) * 20 = "</f>
        <v xml:space="preserve">НДС в выручке на 5 шаге = (Выручка с НДС / 120) * 20 = </v>
      </c>
      <c r="C113" s="212">
        <f t="shared" si="36"/>
        <v>41129549.999999993</v>
      </c>
    </row>
    <row r="114" spans="1:3" x14ac:dyDescent="0.25">
      <c r="A114" s="212"/>
      <c r="B114" s="218" t="str">
        <f>"НДС в выручке на "&amp;E61&amp;" шаге = (Выручка с НДС / 120) * 20 = "</f>
        <v xml:space="preserve">НДС в выручке на 6 шаге = (Выручка с НДС / 120) * 20 = </v>
      </c>
      <c r="C114" s="212">
        <f t="shared" si="36"/>
        <v>45699500</v>
      </c>
    </row>
    <row r="115" spans="1:3" x14ac:dyDescent="0.25">
      <c r="A115" s="212"/>
      <c r="B115" s="218" t="str">
        <f>"НДС в выручке на "&amp;E62&amp;" шаге = (Выручка с НДС / 120) * 20 = "</f>
        <v xml:space="preserve">НДС в выручке на 7 шаге = (Выручка с НДС / 120) * 20 = </v>
      </c>
      <c r="C115" s="212">
        <f t="shared" si="36"/>
        <v>45699500</v>
      </c>
    </row>
    <row r="116" spans="1:3" x14ac:dyDescent="0.25">
      <c r="A116" s="212"/>
      <c r="B116" s="218" t="str">
        <f>"НДС в выручке на "&amp;E63&amp;" шаге = (Выручка с НДС / 120) * 20 = "</f>
        <v xml:space="preserve">НДС в выручке на 8 шаге = (Выручка с НДС / 120) * 20 = </v>
      </c>
      <c r="C116" s="212">
        <f t="shared" si="36"/>
        <v>45699500</v>
      </c>
    </row>
    <row r="117" spans="1:3" x14ac:dyDescent="0.25">
      <c r="A117" s="212"/>
      <c r="B117" s="218" t="str">
        <f>"НДС в выручке на "&amp;E64&amp;" шаге = (Выручка с НДС / 120) * 20 = "</f>
        <v xml:space="preserve">НДС в выручке на 9 шаге = (Выручка с НДС / 120) * 20 = </v>
      </c>
      <c r="C117" s="212">
        <f t="shared" si="36"/>
        <v>45699500</v>
      </c>
    </row>
    <row r="118" spans="1:3" x14ac:dyDescent="0.25">
      <c r="A118" s="212"/>
      <c r="B118" s="218" t="str">
        <f>"НДС в выручке на "&amp;E65&amp;" шаге = (Выручка с НДС / 120) * 20 = "</f>
        <v xml:space="preserve">НДС в выручке на 10 шаге = (Выручка с НДС / 120) * 20 = </v>
      </c>
      <c r="C118" s="212">
        <f t="shared" si="36"/>
        <v>45699500</v>
      </c>
    </row>
    <row r="119" spans="1:3" ht="15.75" thickBot="1" x14ac:dyDescent="0.3">
      <c r="A119" s="212"/>
      <c r="B119" s="219"/>
      <c r="C119" s="212"/>
    </row>
    <row r="120" spans="1:3" ht="15.75" thickBot="1" x14ac:dyDescent="0.3">
      <c r="A120" s="212"/>
      <c r="B120" s="220" t="s">
        <v>395</v>
      </c>
      <c r="C120" s="212"/>
    </row>
    <row r="121" spans="1:3" x14ac:dyDescent="0.25">
      <c r="A121" s="212"/>
      <c r="B121" s="218" t="str">
        <f>"НДС в выручке на "&amp;E55&amp;" шаге = (Выручка с НДС / 120) * 20 = "</f>
        <v xml:space="preserve">НДС в выручке на 0 шаге = (Выручка с НДС / 120) * 20 = </v>
      </c>
      <c r="C121" s="212">
        <f>(C95/120)*20</f>
        <v>0</v>
      </c>
    </row>
    <row r="122" spans="1:3" x14ac:dyDescent="0.25">
      <c r="A122" s="212"/>
      <c r="B122" s="218" t="str">
        <f>"НДС в выручке на "&amp;E56&amp;" шаге = (Выручка с НДС / 120) * 20 = "</f>
        <v xml:space="preserve">НДС в выручке на 1 шаге = (Выручка с НДС / 120) * 20 = </v>
      </c>
      <c r="C122" s="212">
        <f t="shared" ref="C122:C131" si="37">(C96/120)*20</f>
        <v>0</v>
      </c>
    </row>
    <row r="123" spans="1:3" x14ac:dyDescent="0.25">
      <c r="A123" s="212"/>
      <c r="B123" s="218" t="str">
        <f>"НДС в выручке на "&amp;E57&amp;" шаге = (Выручка с НДС / 120) * 20 = "</f>
        <v xml:space="preserve">НДС в выручке на 2 шаге = (Выручка с НДС / 120) * 20 = </v>
      </c>
      <c r="C123" s="212">
        <f t="shared" si="37"/>
        <v>9139899.9999999981</v>
      </c>
    </row>
    <row r="124" spans="1:3" x14ac:dyDescent="0.25">
      <c r="A124" s="212"/>
      <c r="B124" s="218" t="str">
        <f>"НДС в выручке на "&amp;E58&amp;" шаге = (Выручка с НДС / 120) * 20 = "</f>
        <v xml:space="preserve">НДС в выручке на 3 шаге = (Выручка с НДС / 120) * 20 = </v>
      </c>
      <c r="C124" s="212">
        <f t="shared" si="37"/>
        <v>18279799.999999996</v>
      </c>
    </row>
    <row r="125" spans="1:3" x14ac:dyDescent="0.25">
      <c r="A125" s="212"/>
      <c r="B125" s="218" t="str">
        <f>"НДС в выручке на "&amp;E59&amp;" шаге = (Выручка с НДС / 120) * 20 = "</f>
        <v xml:space="preserve">НДС в выручке на 4 шаге = (Выручка с НДС / 120) * 20 = </v>
      </c>
      <c r="C125" s="212">
        <f t="shared" si="37"/>
        <v>31989650</v>
      </c>
    </row>
    <row r="126" spans="1:3" x14ac:dyDescent="0.25">
      <c r="A126" s="212"/>
      <c r="B126" s="218" t="str">
        <f>"НДС в выручке на "&amp;E60&amp;" шаге = (Выручка с НДС / 120) * 20 = "</f>
        <v xml:space="preserve">НДС в выручке на 5 шаге = (Выручка с НДС / 120) * 20 = </v>
      </c>
      <c r="C126" s="212">
        <f t="shared" si="37"/>
        <v>41129549.999999993</v>
      </c>
    </row>
    <row r="127" spans="1:3" x14ac:dyDescent="0.25">
      <c r="A127" s="212"/>
      <c r="B127" s="218" t="str">
        <f>"НДС в выручке на "&amp;E61&amp;" шаге = (Выручка с НДС / 120) * 20 = "</f>
        <v xml:space="preserve">НДС в выручке на 6 шаге = (Выручка с НДС / 120) * 20 = </v>
      </c>
      <c r="C127" s="212">
        <f t="shared" si="37"/>
        <v>45699500</v>
      </c>
    </row>
    <row r="128" spans="1:3" x14ac:dyDescent="0.25">
      <c r="A128" s="212"/>
      <c r="B128" s="218" t="str">
        <f>"НДС в выручке на "&amp;E62&amp;" шаге = (Выручка с НДС / 120) * 20 = "</f>
        <v xml:space="preserve">НДС в выручке на 7 шаге = (Выручка с НДС / 120) * 20 = </v>
      </c>
      <c r="C128" s="212">
        <f t="shared" si="37"/>
        <v>45699500</v>
      </c>
    </row>
    <row r="129" spans="1:3" x14ac:dyDescent="0.25">
      <c r="A129" s="212"/>
      <c r="B129" s="218" t="str">
        <f>"НДС в выручке на "&amp;E63&amp;" шаге = (Выручка с НДС / 120) * 20 = "</f>
        <v xml:space="preserve">НДС в выручке на 8 шаге = (Выручка с НДС / 120) * 20 = </v>
      </c>
      <c r="C129" s="212">
        <f t="shared" si="37"/>
        <v>45699500</v>
      </c>
    </row>
    <row r="130" spans="1:3" x14ac:dyDescent="0.25">
      <c r="A130" s="212"/>
      <c r="B130" s="218" t="str">
        <f>"НДС в выручке на "&amp;E64&amp;" шаге = (Выручка с НДС / 120) * 20 = "</f>
        <v xml:space="preserve">НДС в выручке на 9 шаге = (Выручка с НДС / 120) * 20 = </v>
      </c>
      <c r="C130" s="212">
        <f t="shared" si="37"/>
        <v>45699500</v>
      </c>
    </row>
    <row r="131" spans="1:3" x14ac:dyDescent="0.25">
      <c r="A131" s="212"/>
      <c r="B131" s="218" t="str">
        <f>"НДС в выручке на "&amp;E65&amp;" шаге = (Выручка с НДС / 120) * 20 = "</f>
        <v xml:space="preserve">НДС в выручке на 10 шаге = (Выручка с НДС / 120) * 20 = </v>
      </c>
      <c r="C131" s="212">
        <f t="shared" si="37"/>
        <v>45699500</v>
      </c>
    </row>
    <row r="132" spans="1:3" ht="15.75" thickBot="1" x14ac:dyDescent="0.3">
      <c r="A132" s="212"/>
      <c r="B132" s="219"/>
      <c r="C132" s="212"/>
    </row>
    <row r="133" spans="1:3" ht="15.75" thickBot="1" x14ac:dyDescent="0.3">
      <c r="A133" s="212"/>
      <c r="B133" s="221" t="s">
        <v>394</v>
      </c>
      <c r="C133" s="212"/>
    </row>
    <row r="134" spans="1:3" x14ac:dyDescent="0.25">
      <c r="A134" s="212"/>
      <c r="B134" s="219" t="str">
        <f>"Выручка без НДС на "&amp;E55&amp;" шаге = Выручка с НДС - НДС в выручке = "</f>
        <v xml:space="preserve">Выручка без НДС на 0 шаге = Выручка с НДС - НДС в выручке = </v>
      </c>
      <c r="C134" s="212">
        <f t="shared" ref="C134:C144" si="38">C82-C108</f>
        <v>0</v>
      </c>
    </row>
    <row r="135" spans="1:3" x14ac:dyDescent="0.25">
      <c r="A135" s="212"/>
      <c r="B135" s="219" t="str">
        <f>"Выручка без НДС на "&amp;E56&amp;" шаге = Выручка с НДС - НДС в выручке = "</f>
        <v xml:space="preserve">Выручка без НДС на 1 шаге = Выручка с НДС - НДС в выручке = </v>
      </c>
      <c r="C135" s="212">
        <f t="shared" si="38"/>
        <v>0</v>
      </c>
    </row>
    <row r="136" spans="1:3" x14ac:dyDescent="0.25">
      <c r="A136" s="212"/>
      <c r="B136" s="219" t="str">
        <f>"Выручка без НДС на "&amp;E57&amp;" шаге = Выручка с НДС - НДС в выручке = "</f>
        <v xml:space="preserve">Выручка без НДС на 2 шаге = Выручка с НДС - НДС в выручке = </v>
      </c>
      <c r="C136" s="212">
        <f>C84-C110</f>
        <v>45699499.999999993</v>
      </c>
    </row>
    <row r="137" spans="1:3" x14ac:dyDescent="0.25">
      <c r="A137" s="212"/>
      <c r="B137" s="219" t="str">
        <f>"Выручка без НДС на "&amp;E58&amp;" шаге = Выручка с НДС - НДС в выручке = "</f>
        <v xml:space="preserve">Выручка без НДС на 3 шаге = Выручка с НДС - НДС в выручке = </v>
      </c>
      <c r="C137" s="212">
        <f t="shared" si="38"/>
        <v>91398999.999999985</v>
      </c>
    </row>
    <row r="138" spans="1:3" x14ac:dyDescent="0.25">
      <c r="A138" s="212"/>
      <c r="B138" s="219" t="str">
        <f>"Выручка без НДС на "&amp;E59&amp;" шаге = Выручка с НДС - НДС в выручке = "</f>
        <v xml:space="preserve">Выручка без НДС на 4 шаге = Выручка с НДС - НДС в выручке = </v>
      </c>
      <c r="C138" s="212">
        <f t="shared" si="38"/>
        <v>159948250</v>
      </c>
    </row>
    <row r="139" spans="1:3" x14ac:dyDescent="0.25">
      <c r="A139" s="212"/>
      <c r="B139" s="219" t="str">
        <f>"Выручка без НДС на "&amp;E60&amp;" шаге = Выручка с НДС - НДС в выручке = "</f>
        <v xml:space="preserve">Выручка без НДС на 5 шаге = Выручка с НДС - НДС в выручке = </v>
      </c>
      <c r="C139" s="212">
        <f t="shared" si="38"/>
        <v>205647749.99999997</v>
      </c>
    </row>
    <row r="140" spans="1:3" x14ac:dyDescent="0.25">
      <c r="A140" s="212"/>
      <c r="B140" s="219" t="str">
        <f>"Выручка без НДС на "&amp;E61&amp;" шаге = Выручка с НДС - НДС в выручке = "</f>
        <v xml:space="preserve">Выручка без НДС на 6 шаге = Выручка с НДС - НДС в выручке = </v>
      </c>
      <c r="C140" s="212">
        <f t="shared" si="38"/>
        <v>228497500</v>
      </c>
    </row>
    <row r="141" spans="1:3" x14ac:dyDescent="0.25">
      <c r="A141" s="212"/>
      <c r="B141" s="219" t="str">
        <f>"Выручка без НДС на "&amp;E62&amp;" шаге = Выручка с НДС - НДС в выручке = "</f>
        <v xml:space="preserve">Выручка без НДС на 7 шаге = Выручка с НДС - НДС в выручке = </v>
      </c>
      <c r="C141" s="212">
        <f t="shared" si="38"/>
        <v>228497500</v>
      </c>
    </row>
    <row r="142" spans="1:3" x14ac:dyDescent="0.25">
      <c r="A142" s="212"/>
      <c r="B142" s="219" t="str">
        <f>"Выручка без НДС на "&amp;E63&amp;" шаге = Выручка с НДС - НДС в выручке = "</f>
        <v xml:space="preserve">Выручка без НДС на 8 шаге = Выручка с НДС - НДС в выручке = </v>
      </c>
      <c r="C142" s="212">
        <f t="shared" si="38"/>
        <v>228497500</v>
      </c>
    </row>
    <row r="143" spans="1:3" x14ac:dyDescent="0.25">
      <c r="A143" s="212"/>
      <c r="B143" s="219" t="str">
        <f>"Выручка без НДС на "&amp;E64&amp;" шаге = Выручка с НДС - НДС в выручке = "</f>
        <v xml:space="preserve">Выручка без НДС на 9 шаге = Выручка с НДС - НДС в выручке = </v>
      </c>
      <c r="C143" s="212">
        <f t="shared" si="38"/>
        <v>228497500</v>
      </c>
    </row>
    <row r="144" spans="1:3" x14ac:dyDescent="0.25">
      <c r="A144" s="212"/>
      <c r="B144" s="219" t="str">
        <f>"Выручка без НДС на "&amp;E65&amp;" шаге = Выручка с НДС - НДС в выручке = "</f>
        <v xml:space="preserve">Выручка без НДС на 10 шаге = Выручка с НДС - НДС в выручке = </v>
      </c>
      <c r="C144" s="212">
        <f t="shared" si="38"/>
        <v>228497500</v>
      </c>
    </row>
    <row r="145" spans="1:3" ht="15.75" thickBot="1" x14ac:dyDescent="0.3">
      <c r="A145" s="212"/>
      <c r="B145" s="219"/>
      <c r="C145" s="212"/>
    </row>
    <row r="146" spans="1:3" ht="15.75" thickBot="1" x14ac:dyDescent="0.3">
      <c r="A146" s="212"/>
      <c r="B146" s="220" t="s">
        <v>395</v>
      </c>
      <c r="C146" s="212"/>
    </row>
    <row r="147" spans="1:3" x14ac:dyDescent="0.25">
      <c r="A147" s="212"/>
      <c r="B147" s="219" t="str">
        <f>"Выручка без НДС на "&amp;E55&amp;" шаге = Выручка с НДС - НДС в выручке = "</f>
        <v xml:space="preserve">Выручка без НДС на 0 шаге = Выручка с НДС - НДС в выручке = </v>
      </c>
      <c r="C147" s="212">
        <f t="shared" ref="C147:C157" si="39">C95-C121</f>
        <v>0</v>
      </c>
    </row>
    <row r="148" spans="1:3" x14ac:dyDescent="0.25">
      <c r="A148" s="212"/>
      <c r="B148" s="219" t="str">
        <f>"Выручка без НДС на "&amp;E56&amp;" шаге = Выручка с НДС - НДС в выручке = "</f>
        <v xml:space="preserve">Выручка без НДС на 1 шаге = Выручка с НДС - НДС в выручке = </v>
      </c>
      <c r="C148" s="212">
        <f>C96-C122</f>
        <v>0</v>
      </c>
    </row>
    <row r="149" spans="1:3" x14ac:dyDescent="0.25">
      <c r="A149" s="212"/>
      <c r="B149" s="219" t="str">
        <f>"Выручка без НДС на "&amp;E57&amp;" шаге = Выручка с НДС - НДС в выручке = "</f>
        <v xml:space="preserve">Выручка без НДС на 2 шаге = Выручка с НДС - НДС в выручке = </v>
      </c>
      <c r="C149" s="212">
        <f>C97-C123</f>
        <v>45699499.999999993</v>
      </c>
    </row>
    <row r="150" spans="1:3" x14ac:dyDescent="0.25">
      <c r="A150" s="212"/>
      <c r="B150" s="219" t="str">
        <f>"Выручка без НДС на "&amp;E58&amp;" шаге = Выручка с НДС - НДС в выручке = "</f>
        <v xml:space="preserve">Выручка без НДС на 3 шаге = Выручка с НДС - НДС в выручке = </v>
      </c>
      <c r="C150" s="212">
        <f t="shared" si="39"/>
        <v>91398999.999999985</v>
      </c>
    </row>
    <row r="151" spans="1:3" x14ac:dyDescent="0.25">
      <c r="A151" s="212"/>
      <c r="B151" s="219" t="str">
        <f>"Выручка без НДС на "&amp;E59&amp;" шаге = Выручка с НДС - НДС в выручке = "</f>
        <v xml:space="preserve">Выручка без НДС на 4 шаге = Выручка с НДС - НДС в выручке = </v>
      </c>
      <c r="C151" s="212">
        <f t="shared" si="39"/>
        <v>159948250</v>
      </c>
    </row>
    <row r="152" spans="1:3" x14ac:dyDescent="0.25">
      <c r="A152" s="212"/>
      <c r="B152" s="219" t="str">
        <f>"Выручка без НДС на "&amp;E60&amp;" шаге = Выручка с НДС - НДС в выручке = "</f>
        <v xml:space="preserve">Выручка без НДС на 5 шаге = Выручка с НДС - НДС в выручке = </v>
      </c>
      <c r="C152" s="212">
        <f t="shared" si="39"/>
        <v>205647749.99999997</v>
      </c>
    </row>
    <row r="153" spans="1:3" x14ac:dyDescent="0.25">
      <c r="A153" s="212"/>
      <c r="B153" s="219" t="str">
        <f>"Выручка без НДС на "&amp;E61&amp;" шаге = Выручка с НДС - НДС в выручке = "</f>
        <v xml:space="preserve">Выручка без НДС на 6 шаге = Выручка с НДС - НДС в выручке = </v>
      </c>
      <c r="C153" s="212">
        <f t="shared" si="39"/>
        <v>228497500</v>
      </c>
    </row>
    <row r="154" spans="1:3" x14ac:dyDescent="0.25">
      <c r="A154" s="212"/>
      <c r="B154" s="219" t="str">
        <f>"Выручка без НДС на "&amp;E62&amp;" шаге = Выручка с НДС - НДС в выручке = "</f>
        <v xml:space="preserve">Выручка без НДС на 7 шаге = Выручка с НДС - НДС в выручке = </v>
      </c>
      <c r="C154" s="212">
        <f t="shared" si="39"/>
        <v>228497500</v>
      </c>
    </row>
    <row r="155" spans="1:3" x14ac:dyDescent="0.25">
      <c r="A155" s="212"/>
      <c r="B155" s="219" t="str">
        <f>"Выручка без НДС на "&amp;E63&amp;" шаге = Выручка с НДС - НДС в выручке = "</f>
        <v xml:space="preserve">Выручка без НДС на 8 шаге = Выручка с НДС - НДС в выручке = </v>
      </c>
      <c r="C155" s="212">
        <f t="shared" si="39"/>
        <v>228497500</v>
      </c>
    </row>
    <row r="156" spans="1:3" x14ac:dyDescent="0.25">
      <c r="A156" s="212"/>
      <c r="B156" s="219" t="str">
        <f>"Выручка без НДС на "&amp;E64&amp;" шаге = Выручка с НДС - НДС в выручке = "</f>
        <v xml:space="preserve">Выручка без НДС на 9 шаге = Выручка с НДС - НДС в выручке = </v>
      </c>
      <c r="C156" s="212">
        <f t="shared" si="39"/>
        <v>228497500</v>
      </c>
    </row>
    <row r="157" spans="1:3" x14ac:dyDescent="0.25">
      <c r="A157" s="212"/>
      <c r="B157" s="219" t="str">
        <f>"Выручка без НДС на "&amp;E65&amp;" шаге = Выручка с НДС - НДС в выручке = "</f>
        <v xml:space="preserve">Выручка без НДС на 10 шаге = Выручка с НДС - НДС в выручке = </v>
      </c>
      <c r="C157" s="212">
        <f t="shared" si="39"/>
        <v>228497500</v>
      </c>
    </row>
    <row r="158" spans="1:3" ht="15.75" thickBot="1" x14ac:dyDescent="0.3">
      <c r="A158" s="212"/>
      <c r="B158" s="219"/>
      <c r="C158" s="212"/>
    </row>
    <row r="159" spans="1:3" ht="15.75" thickBot="1" x14ac:dyDescent="0.3">
      <c r="A159" s="212"/>
      <c r="B159" s="221" t="s">
        <v>394</v>
      </c>
      <c r="C159" s="212"/>
    </row>
    <row r="160" spans="1:3" x14ac:dyDescent="0.25">
      <c r="A160" s="270" t="str">
        <f>"Затраты на материалы на "&amp;E55&amp;" шаге = Затраты на материалы * Объем реализации = "&amp;'666'!C$342&amp;"*"&amp;C56&amp;" *0,9 ="</f>
        <v>Затраты на материалы на 0 шаге = Затраты на материалы * Объем реализации = 354,88*0 *0,9 =</v>
      </c>
      <c r="B160" s="270"/>
      <c r="C160" s="201">
        <f>('666'!C$342*C56)*0.9</f>
        <v>0</v>
      </c>
    </row>
    <row r="161" spans="1:3" x14ac:dyDescent="0.25">
      <c r="A161" s="270" t="str">
        <f>"Затраты на материалы на "&amp;E56&amp;" шаге = Затраты на материалы * Объем реализации = "&amp;'666'!C$342&amp;"*"&amp;C57&amp;" *0,9 ="</f>
        <v>Затраты на материалы на 1 шаге = Затраты на материалы * Объем реализации = 354,88*0 *0,9 =</v>
      </c>
      <c r="B161" s="270"/>
      <c r="C161" s="201">
        <f>('666'!C$342*C57)*0.9</f>
        <v>0</v>
      </c>
    </row>
    <row r="162" spans="1:3" x14ac:dyDescent="0.25">
      <c r="A162" s="270" t="str">
        <f>"Затраты на материалы на "&amp;E57&amp;" шаге = Затраты на материалы * Объем реализации = "&amp;'666'!C$342&amp;"*"&amp;C58&amp;" *0,9 ="</f>
        <v>Затраты на материалы на 2 шаге = Затраты на материалы * Объем реализации = 354,88*55000 *0,9 =</v>
      </c>
      <c r="B162" s="270"/>
      <c r="C162" s="201">
        <f>('666'!C$342*C58)*0.9</f>
        <v>17566560</v>
      </c>
    </row>
    <row r="163" spans="1:3" x14ac:dyDescent="0.25">
      <c r="A163" s="270" t="str">
        <f>"Затраты на материалы на "&amp;E58&amp;" шаге = Затраты на материалы * Объем реализации = "&amp;'666'!C$342&amp;"*"&amp;C59&amp;" *0,9 ="</f>
        <v>Затраты на материалы на 3 шаге = Затраты на материалы * Объем реализации = 354,88*110000 *0,9 =</v>
      </c>
      <c r="B163" s="270"/>
      <c r="C163" s="201">
        <f>('666'!C$342*C59)*0.9</f>
        <v>35133120</v>
      </c>
    </row>
    <row r="164" spans="1:3" x14ac:dyDescent="0.25">
      <c r="A164" s="270" t="str">
        <f>"Затраты на материалы на "&amp;E59&amp;" шаге = Затраты на материалы * Объем реализации = "&amp;'666'!C$342&amp;"*"&amp;C60&amp;" *0,9 ="</f>
        <v>Затраты на материалы на 4 шаге = Затраты на материалы * Объем реализации = 354,88*192500 *0,9 =</v>
      </c>
      <c r="B164" s="270"/>
      <c r="C164" s="201">
        <f>('666'!C$342*C60)*0.9</f>
        <v>61482960</v>
      </c>
    </row>
    <row r="165" spans="1:3" x14ac:dyDescent="0.25">
      <c r="A165" s="270" t="str">
        <f>"Затраты на материалы на "&amp;E60&amp;" шаге = Затраты на материалы * Объем реализации = "&amp;'666'!C$342&amp;"*"&amp;C61&amp;" *0,9 ="</f>
        <v>Затраты на материалы на 5 шаге = Затраты на материалы * Объем реализации = 354,88*247500 *0,9 =</v>
      </c>
      <c r="B165" s="270"/>
      <c r="C165" s="201">
        <f>('666'!C$342*C61)*0.9</f>
        <v>79049520</v>
      </c>
    </row>
    <row r="166" spans="1:3" x14ac:dyDescent="0.25">
      <c r="A166" s="270" t="str">
        <f>"Затраты на материалы на "&amp;E61&amp;" шаге = Затраты на материалы * Объем реализации = "&amp;'666'!C$342&amp;"*"&amp;C62&amp;" *0,9 ="</f>
        <v>Затраты на материалы на 6 шаге = Затраты на материалы * Объем реализации = 354,88*275000 *0,9 =</v>
      </c>
      <c r="B166" s="270"/>
      <c r="C166" s="201">
        <f>('666'!C$342*C62)*0.9</f>
        <v>87832800</v>
      </c>
    </row>
    <row r="167" spans="1:3" x14ac:dyDescent="0.25">
      <c r="A167" s="270" t="str">
        <f>"Затраты на материалы на "&amp;E62&amp;" шаге = Затраты на материалы * Объем реализации = "&amp;'666'!C$342&amp;"*"&amp;C63&amp;" *0,9 ="</f>
        <v>Затраты на материалы на 7 шаге = Затраты на материалы * Объем реализации = 354,88*275000 *0,9 =</v>
      </c>
      <c r="B167" s="270"/>
      <c r="C167" s="201">
        <f>('666'!C$342*C63)*0.9</f>
        <v>87832800</v>
      </c>
    </row>
    <row r="168" spans="1:3" x14ac:dyDescent="0.25">
      <c r="A168" s="270" t="str">
        <f>"Затраты на материалы на "&amp;E63&amp;" шаге = Затраты на материалы * Объем реализации = "&amp;'666'!C$342&amp;"*"&amp;C64&amp;" *0,9 ="</f>
        <v>Затраты на материалы на 8 шаге = Затраты на материалы * Объем реализации = 354,88*275000 *0,9 =</v>
      </c>
      <c r="B168" s="270"/>
      <c r="C168" s="201">
        <f>('666'!C$342*C64)*0.9</f>
        <v>87832800</v>
      </c>
    </row>
    <row r="169" spans="1:3" x14ac:dyDescent="0.25">
      <c r="A169" s="270" t="str">
        <f>"Затраты на материалы на "&amp;E64&amp;" шаге = Затраты на материалы * Объем реализации = "&amp;'666'!C$342&amp;"*"&amp;C65&amp;" *0,9 ="</f>
        <v>Затраты на материалы на 9 шаге = Затраты на материалы * Объем реализации = 354,88*275000 *0,9 =</v>
      </c>
      <c r="B169" s="270"/>
      <c r="C169" s="201">
        <f>('666'!C$342*C65)*0.9</f>
        <v>87832800</v>
      </c>
    </row>
    <row r="170" spans="1:3" x14ac:dyDescent="0.25">
      <c r="A170" s="270" t="str">
        <f>"Затраты на материалы на "&amp;E65&amp;" шаге = Затраты на материалы * Объем реализации = "&amp;'666'!C$342&amp;"*"&amp;C66&amp;" *0,9 ="</f>
        <v>Затраты на материалы на 10 шаге = Затраты на материалы * Объем реализации = 354,88*275000 *0,9 =</v>
      </c>
      <c r="B170" s="270"/>
      <c r="C170" s="201">
        <f>('666'!C$342*C66)*0.9</f>
        <v>87832800</v>
      </c>
    </row>
    <row r="171" spans="1:3" ht="15.75" thickBot="1" x14ac:dyDescent="0.3">
      <c r="A171" s="212"/>
      <c r="B171" s="219"/>
      <c r="C171" s="212"/>
    </row>
    <row r="172" spans="1:3" ht="15.75" thickBot="1" x14ac:dyDescent="0.3">
      <c r="A172" s="212"/>
      <c r="B172" s="220" t="s">
        <v>395</v>
      </c>
      <c r="C172" s="212"/>
    </row>
    <row r="173" spans="1:3" x14ac:dyDescent="0.25">
      <c r="A173" s="270" t="str">
        <f>"Затраты на материалы на "&amp;E55&amp;" шаге = Затраты на материалы * Объем реализации = "&amp;'666'!C$342&amp;"*"&amp;C69&amp;" *1,1 ="</f>
        <v>Затраты на материалы на 0 шаге = Затраты на материалы * Объем реализации = 354,88*0 *1,1 =</v>
      </c>
      <c r="B173" s="270"/>
      <c r="C173" s="201">
        <f>('666'!C$342*C69)*1.1</f>
        <v>0</v>
      </c>
    </row>
    <row r="174" spans="1:3" x14ac:dyDescent="0.25">
      <c r="A174" s="270" t="str">
        <f>"Затраты на материалы на "&amp;E56&amp;" шаге = Затраты на материалы * Объем реализации = "&amp;'666'!C$342&amp;"*"&amp;C70&amp;" *1,1 ="</f>
        <v>Затраты на материалы на 1 шаге = Затраты на материалы * Объем реализации = 354,88*0 *1,1 =</v>
      </c>
      <c r="B174" s="270"/>
      <c r="C174" s="201">
        <f>('666'!C$342*C70)*1.1</f>
        <v>0</v>
      </c>
    </row>
    <row r="175" spans="1:3" x14ac:dyDescent="0.25">
      <c r="A175" s="270" t="str">
        <f>"Затраты на материалы на "&amp;E57&amp;" шаге = Затраты на материалы * Объем реализации = "&amp;'666'!C$342&amp;"*"&amp;C71&amp;" *1,1 ="</f>
        <v>Затраты на материалы на 2 шаге = Затраты на материалы * Объем реализации = 354,88*55000 *1,1 =</v>
      </c>
      <c r="B175" s="270"/>
      <c r="C175" s="201">
        <f>('666'!C$342*C71)*1.1</f>
        <v>21470240</v>
      </c>
    </row>
    <row r="176" spans="1:3" x14ac:dyDescent="0.25">
      <c r="A176" s="270" t="str">
        <f>"Затраты на материалы на "&amp;E58&amp;" шаге = Затраты на материалы * Объем реализации = "&amp;'666'!C$342&amp;"*"&amp;C72&amp;" *1,1 ="</f>
        <v>Затраты на материалы на 3 шаге = Затраты на материалы * Объем реализации = 354,88*110000 *1,1 =</v>
      </c>
      <c r="B176" s="270"/>
      <c r="C176" s="201">
        <f>('666'!C$342*C72)*1.1</f>
        <v>42940480</v>
      </c>
    </row>
    <row r="177" spans="1:3" x14ac:dyDescent="0.25">
      <c r="A177" s="270" t="str">
        <f>"Затраты на материалы на "&amp;E59&amp;" шаге = Затраты на материалы * Объем реализации = "&amp;'666'!C$342&amp;"*"&amp;C73&amp;" *1,1 ="</f>
        <v>Затраты на материалы на 4 шаге = Затраты на материалы * Объем реализации = 354,88*192500 *1,1 =</v>
      </c>
      <c r="B177" s="270"/>
      <c r="C177" s="201">
        <f>('666'!C$342*C73)*1.1</f>
        <v>75145840</v>
      </c>
    </row>
    <row r="178" spans="1:3" x14ac:dyDescent="0.25">
      <c r="A178" s="270" t="str">
        <f>"Затраты на материалы на "&amp;E60&amp;" шаге = Затраты на материалы * Объем реализации = "&amp;'666'!C$342&amp;"*"&amp;C74&amp;" *1,1 ="</f>
        <v>Затраты на материалы на 5 шаге = Затраты на материалы * Объем реализации = 354,88*247500 *1,1 =</v>
      </c>
      <c r="B178" s="270"/>
      <c r="C178" s="201">
        <f>('666'!C$342*C74)*1.1</f>
        <v>96616080.000000015</v>
      </c>
    </row>
    <row r="179" spans="1:3" x14ac:dyDescent="0.25">
      <c r="A179" s="270" t="str">
        <f>"Затраты на материалы на "&amp;E61&amp;" шаге = Затраты на материалы * Объем реализации = "&amp;'666'!C$342&amp;"*"&amp;C75&amp;" *1,1 ="</f>
        <v>Затраты на материалы на 6 шаге = Затраты на материалы * Объем реализации = 354,88*275000 *1,1 =</v>
      </c>
      <c r="B179" s="270"/>
      <c r="C179" s="201">
        <f>('666'!C$342*C75)*1.1</f>
        <v>107351200.00000001</v>
      </c>
    </row>
    <row r="180" spans="1:3" x14ac:dyDescent="0.25">
      <c r="A180" s="270" t="str">
        <f>"Затраты на материалы на "&amp;E62&amp;" шаге = Затраты на материалы * Объем реализации = "&amp;'666'!C$342&amp;"*"&amp;C76&amp;" *1,1 ="</f>
        <v>Затраты на материалы на 7 шаге = Затраты на материалы * Объем реализации = 354,88*275000 *1,1 =</v>
      </c>
      <c r="B180" s="270"/>
      <c r="C180" s="201">
        <f>('666'!C$342*C76)*1.1</f>
        <v>107351200.00000001</v>
      </c>
    </row>
    <row r="181" spans="1:3" x14ac:dyDescent="0.25">
      <c r="A181" s="270" t="str">
        <f>"Затраты на материалы на "&amp;E63&amp;" шаге = Затраты на материалы * Объем реализации = "&amp;'666'!C$342&amp;"*"&amp;C77&amp;" *1,1 ="</f>
        <v>Затраты на материалы на 8 шаге = Затраты на материалы * Объем реализации = 354,88*275000 *1,1 =</v>
      </c>
      <c r="B181" s="270"/>
      <c r="C181" s="201">
        <f>('666'!C$342*C77)*1.1</f>
        <v>107351200.00000001</v>
      </c>
    </row>
    <row r="182" spans="1:3" x14ac:dyDescent="0.25">
      <c r="A182" s="270" t="str">
        <f>"Затраты на материалы на "&amp;E64&amp;" шаге = Затраты на материалы * Объем реализации = "&amp;'666'!C$342&amp;"*"&amp;C78&amp;" *1,1 ="</f>
        <v>Затраты на материалы на 9 шаге = Затраты на материалы * Объем реализации = 354,88*275000 *1,1 =</v>
      </c>
      <c r="B182" s="270"/>
      <c r="C182" s="201">
        <f>('666'!C$342*C78)*1.1</f>
        <v>107351200.00000001</v>
      </c>
    </row>
    <row r="183" spans="1:3" x14ac:dyDescent="0.25">
      <c r="A183" s="270" t="str">
        <f>"Затраты на материалы на "&amp;E65&amp;" шаге = Затраты на материалы * Объем реализации = "&amp;'666'!C$342&amp;"*"&amp;C79&amp;" *1,1 ="</f>
        <v>Затраты на материалы на 10 шаге = Затраты на материалы * Объем реализации = 354,88*275000 *1,1 =</v>
      </c>
      <c r="B183" s="270"/>
      <c r="C183" s="201">
        <f>('666'!C$342*C79)*1.1</f>
        <v>107351200.00000001</v>
      </c>
    </row>
    <row r="184" spans="1:3" ht="15.75" thickBot="1" x14ac:dyDescent="0.3">
      <c r="A184" s="212"/>
      <c r="B184" s="219"/>
      <c r="C184" s="212"/>
    </row>
    <row r="185" spans="1:3" ht="15.75" thickBot="1" x14ac:dyDescent="0.3">
      <c r="A185" s="212"/>
      <c r="B185" s="221" t="s">
        <v>394</v>
      </c>
      <c r="C185" s="212"/>
    </row>
    <row r="186" spans="1:3" x14ac:dyDescent="0.25">
      <c r="A186" s="270" t="str">
        <f>"Затраты на элктроэнергию на "&amp;E55&amp;" шаге = Затраты на элктроэнергию * Объем реализации = "&amp;'666'!C$343&amp;" * "&amp;C56&amp;" = "</f>
        <v xml:space="preserve">Затраты на элктроэнергию на 0 шаге = Затраты на элктроэнергию * Объем реализации = 13,69 * 0 = </v>
      </c>
      <c r="B186" s="270"/>
      <c r="C186" s="201">
        <f>'666'!C$343*C56</f>
        <v>0</v>
      </c>
    </row>
    <row r="187" spans="1:3" x14ac:dyDescent="0.25">
      <c r="A187" s="270" t="str">
        <f>"Затраты на элктроэнергию на "&amp;E56&amp;" шаге = Затраты на элктроэнергию * Объем реализации = "&amp;'666'!C$343&amp;" * "&amp;C57&amp;" = "</f>
        <v xml:space="preserve">Затраты на элктроэнергию на 1 шаге = Затраты на элктроэнергию * Объем реализации = 13,69 * 0 = </v>
      </c>
      <c r="B187" s="270"/>
      <c r="C187" s="201">
        <f>'666'!C$343*C57</f>
        <v>0</v>
      </c>
    </row>
    <row r="188" spans="1:3" x14ac:dyDescent="0.25">
      <c r="A188" s="270" t="str">
        <f>"Затраты на элктроэнергию на "&amp;E57&amp;" шаге = Затраты на элктроэнергию * Объем реализации = "&amp;'666'!C$343&amp;" * "&amp;C58&amp;" = "</f>
        <v xml:space="preserve">Затраты на элктроэнергию на 2 шаге = Затраты на элктроэнергию * Объем реализации = 13,69 * 55000 = </v>
      </c>
      <c r="B188" s="270"/>
      <c r="C188" s="201">
        <f>'666'!C$343*C58</f>
        <v>752950</v>
      </c>
    </row>
    <row r="189" spans="1:3" x14ac:dyDescent="0.25">
      <c r="A189" s="270" t="str">
        <f>"Затраты на элктроэнергию на "&amp;E58&amp;" шаге = Затраты на элктроэнергию * Объем реализации = "&amp;'666'!C$343&amp;" * "&amp;C59&amp;" = "</f>
        <v xml:space="preserve">Затраты на элктроэнергию на 3 шаге = Затраты на элктроэнергию * Объем реализации = 13,69 * 110000 = </v>
      </c>
      <c r="B189" s="270"/>
      <c r="C189" s="201">
        <f>'666'!C$343*C59</f>
        <v>1505900</v>
      </c>
    </row>
    <row r="190" spans="1:3" x14ac:dyDescent="0.25">
      <c r="A190" s="270" t="str">
        <f>"Затраты на элктроэнергию на "&amp;E59&amp;" шаге = Затраты на элктроэнергию * Объем реализации = "&amp;'666'!C$343&amp;" * "&amp;C60&amp;" = "</f>
        <v xml:space="preserve">Затраты на элктроэнергию на 4 шаге = Затраты на элктроэнергию * Объем реализации = 13,69 * 192500 = </v>
      </c>
      <c r="B190" s="270"/>
      <c r="C190" s="201">
        <f>'666'!C$343*C60</f>
        <v>2635325</v>
      </c>
    </row>
    <row r="191" spans="1:3" x14ac:dyDescent="0.25">
      <c r="A191" s="270" t="str">
        <f>"Затраты на элктроэнергию на "&amp;E60&amp;" шаге = Затраты на элктроэнергию * Объем реализации = "&amp;'666'!C$343&amp;" * "&amp;C61&amp;" = "</f>
        <v xml:space="preserve">Затраты на элктроэнергию на 5 шаге = Затраты на элктроэнергию * Объем реализации = 13,69 * 247500 = </v>
      </c>
      <c r="B191" s="270"/>
      <c r="C191" s="201">
        <f>'666'!C$343*C61</f>
        <v>3388275</v>
      </c>
    </row>
    <row r="192" spans="1:3" x14ac:dyDescent="0.25">
      <c r="A192" s="270" t="str">
        <f>"Затраты на элктроэнергию на "&amp;E61&amp;" шаге = Затраты на элктроэнергию * Объем реализации = "&amp;'666'!C$343&amp;" * "&amp;C62&amp;" = "</f>
        <v xml:space="preserve">Затраты на элктроэнергию на 6 шаге = Затраты на элктроэнергию * Объем реализации = 13,69 * 275000 = </v>
      </c>
      <c r="B192" s="270"/>
      <c r="C192" s="201">
        <f>'666'!C$343*C62</f>
        <v>3764750</v>
      </c>
    </row>
    <row r="193" spans="1:3" x14ac:dyDescent="0.25">
      <c r="A193" s="270" t="str">
        <f>"Затраты на элктроэнергию на "&amp;E62&amp;" шаге = Затраты на элктроэнергию * Объем реализации = "&amp;'666'!C$343&amp;" * "&amp;C63&amp;" = "</f>
        <v xml:space="preserve">Затраты на элктроэнергию на 7 шаге = Затраты на элктроэнергию * Объем реализации = 13,69 * 275000 = </v>
      </c>
      <c r="B193" s="270"/>
      <c r="C193" s="201">
        <f>'666'!C$343*C63</f>
        <v>3764750</v>
      </c>
    </row>
    <row r="194" spans="1:3" x14ac:dyDescent="0.25">
      <c r="A194" s="270" t="str">
        <f>"Затраты на элктроэнергию на "&amp;E63&amp;" шаге = Затраты на элктроэнергию * Объем реализации = "&amp;'666'!C$343&amp;" * "&amp;C64&amp;" = "</f>
        <v xml:space="preserve">Затраты на элктроэнергию на 8 шаге = Затраты на элктроэнергию * Объем реализации = 13,69 * 275000 = </v>
      </c>
      <c r="B194" s="270"/>
      <c r="C194" s="201">
        <f>'666'!C$343*C64</f>
        <v>3764750</v>
      </c>
    </row>
    <row r="195" spans="1:3" x14ac:dyDescent="0.25">
      <c r="A195" s="270" t="str">
        <f>"Затраты на элктроэнергию на "&amp;E64&amp;" шаге = Затраты на элктроэнергию * Объем реализации = "&amp;'666'!C$343&amp;" * "&amp;C65&amp;" = "</f>
        <v xml:space="preserve">Затраты на элктроэнергию на 9 шаге = Затраты на элктроэнергию * Объем реализации = 13,69 * 275000 = </v>
      </c>
      <c r="B195" s="270"/>
      <c r="C195" s="201">
        <f>'666'!C$343*C65</f>
        <v>3764750</v>
      </c>
    </row>
    <row r="196" spans="1:3" x14ac:dyDescent="0.25">
      <c r="A196" s="270" t="str">
        <f>"Затраты на элктроэнергию на "&amp;E65&amp;" шаге = Затраты на элктроэнергию * Объем реализации = "&amp;'666'!C$343&amp;" * "&amp;C66&amp;" = "</f>
        <v xml:space="preserve">Затраты на элктроэнергию на 10 шаге = Затраты на элктроэнергию * Объем реализации = 13,69 * 275000 = </v>
      </c>
      <c r="B196" s="270"/>
      <c r="C196" s="201">
        <f>'666'!C$343*C66</f>
        <v>3764750</v>
      </c>
    </row>
    <row r="197" spans="1:3" ht="15.75" thickBot="1" x14ac:dyDescent="0.3">
      <c r="A197" s="212"/>
      <c r="B197" s="219"/>
      <c r="C197" s="212"/>
    </row>
    <row r="198" spans="1:3" ht="15.75" thickBot="1" x14ac:dyDescent="0.3">
      <c r="A198" s="212"/>
      <c r="B198" s="220" t="s">
        <v>395</v>
      </c>
      <c r="C198" s="212"/>
    </row>
    <row r="199" spans="1:3" x14ac:dyDescent="0.25">
      <c r="A199" s="270" t="str">
        <f>"Затраты на элктроэнергию на "&amp;E55&amp;" шаге = Затраты на элктроэнергию * Объем реализации = "&amp;'666'!C$343&amp;" * "&amp;C69&amp;" = "</f>
        <v xml:space="preserve">Затраты на элктроэнергию на 0 шаге = Затраты на элктроэнергию * Объем реализации = 13,69 * 0 = </v>
      </c>
      <c r="B199" s="270"/>
      <c r="C199" s="201">
        <f>'666'!C$343*C69</f>
        <v>0</v>
      </c>
    </row>
    <row r="200" spans="1:3" x14ac:dyDescent="0.25">
      <c r="A200" s="270" t="str">
        <f>"Затраты на элктроэнергию на "&amp;E56&amp;" шаге = Затраты на элктроэнергию * Объем реализации = "&amp;'666'!C$343&amp;" * "&amp;C70&amp;" = "</f>
        <v xml:space="preserve">Затраты на элктроэнергию на 1 шаге = Затраты на элктроэнергию * Объем реализации = 13,69 * 0 = </v>
      </c>
      <c r="B200" s="270"/>
      <c r="C200" s="201">
        <f>'666'!C$343*C70</f>
        <v>0</v>
      </c>
    </row>
    <row r="201" spans="1:3" x14ac:dyDescent="0.25">
      <c r="A201" s="270" t="str">
        <f>"Затраты на элктроэнергию на "&amp;E57&amp;" шаге = Затраты на элктроэнергию * Объем реализации = "&amp;'666'!C$343&amp;" * "&amp;C71&amp;" = "</f>
        <v xml:space="preserve">Затраты на элктроэнергию на 2 шаге = Затраты на элктроэнергию * Объем реализации = 13,69 * 55000 = </v>
      </c>
      <c r="B201" s="270"/>
      <c r="C201" s="201">
        <f>'666'!C$343*C71</f>
        <v>752950</v>
      </c>
    </row>
    <row r="202" spans="1:3" x14ac:dyDescent="0.25">
      <c r="A202" s="270" t="str">
        <f>"Затраты на элктроэнергию на "&amp;E58&amp;" шаге = Затраты на элктроэнергию * Объем реализации = "&amp;'666'!C$343&amp;" * "&amp;C72&amp;" = "</f>
        <v xml:space="preserve">Затраты на элктроэнергию на 3 шаге = Затраты на элктроэнергию * Объем реализации = 13,69 * 110000 = </v>
      </c>
      <c r="B202" s="270"/>
      <c r="C202" s="201">
        <f>'666'!C$343*C72</f>
        <v>1505900</v>
      </c>
    </row>
    <row r="203" spans="1:3" x14ac:dyDescent="0.25">
      <c r="A203" s="270" t="str">
        <f>"Затраты на элктроэнергию на "&amp;E59&amp;" шаге = Затраты на элктроэнергию * Объем реализации = "&amp;'666'!C$343&amp;" * "&amp;C73&amp;" = "</f>
        <v xml:space="preserve">Затраты на элктроэнергию на 4 шаге = Затраты на элктроэнергию * Объем реализации = 13,69 * 192500 = </v>
      </c>
      <c r="B203" s="270"/>
      <c r="C203" s="201">
        <f>'666'!C$343*C73</f>
        <v>2635325</v>
      </c>
    </row>
    <row r="204" spans="1:3" x14ac:dyDescent="0.25">
      <c r="A204" s="270" t="str">
        <f>"Затраты на элктроэнергию на "&amp;E60&amp;" шаге = Затраты на элктроэнергию * Объем реализации = "&amp;'666'!C$343&amp;" * "&amp;C74&amp;" = "</f>
        <v xml:space="preserve">Затраты на элктроэнергию на 5 шаге = Затраты на элктроэнергию * Объем реализации = 13,69 * 247500 = </v>
      </c>
      <c r="B204" s="270"/>
      <c r="C204" s="201">
        <f>'666'!C$343*C74</f>
        <v>3388275</v>
      </c>
    </row>
    <row r="205" spans="1:3" x14ac:dyDescent="0.25">
      <c r="A205" s="270" t="str">
        <f>"Затраты на элктроэнергию на "&amp;E61&amp;" шаге = Затраты на элктроэнергию * Объем реализации = "&amp;'666'!C$343&amp;" * "&amp;C75&amp;" = "</f>
        <v xml:space="preserve">Затраты на элктроэнергию на 6 шаге = Затраты на элктроэнергию * Объем реализации = 13,69 * 275000 = </v>
      </c>
      <c r="B205" s="270"/>
      <c r="C205" s="201">
        <f>'666'!C$343*C75</f>
        <v>3764750</v>
      </c>
    </row>
    <row r="206" spans="1:3" x14ac:dyDescent="0.25">
      <c r="A206" s="270" t="str">
        <f>"Затраты на элктроэнергию на "&amp;E62&amp;" шаге = Затраты на элктроэнергию * Объем реализации = "&amp;'666'!C$343&amp;" * "&amp;C76&amp;" = "</f>
        <v xml:space="preserve">Затраты на элктроэнергию на 7 шаге = Затраты на элктроэнергию * Объем реализации = 13,69 * 275000 = </v>
      </c>
      <c r="B206" s="270"/>
      <c r="C206" s="201">
        <f>'666'!C$343*C76</f>
        <v>3764750</v>
      </c>
    </row>
    <row r="207" spans="1:3" x14ac:dyDescent="0.25">
      <c r="A207" s="270" t="str">
        <f>"Затраты на элктроэнергию на "&amp;E63&amp;" шаге = Затраты на элктроэнергию * Объем реализации = "&amp;'666'!C$343&amp;" * "&amp;C77&amp;" = "</f>
        <v xml:space="preserve">Затраты на элктроэнергию на 8 шаге = Затраты на элктроэнергию * Объем реализации = 13,69 * 275000 = </v>
      </c>
      <c r="B207" s="270"/>
      <c r="C207" s="201">
        <f>'666'!C$343*C77</f>
        <v>3764750</v>
      </c>
    </row>
    <row r="208" spans="1:3" x14ac:dyDescent="0.25">
      <c r="A208" s="270" t="str">
        <f>"Затраты на элктроэнергию на "&amp;E64&amp;" шаге = Затраты на элктроэнергию * Объем реализации = "&amp;'666'!C$343&amp;" * "&amp;C78&amp;" = "</f>
        <v xml:space="preserve">Затраты на элктроэнергию на 9 шаге = Затраты на элктроэнергию * Объем реализации = 13,69 * 275000 = </v>
      </c>
      <c r="B208" s="270"/>
      <c r="C208" s="201">
        <f>'666'!C$343*C78</f>
        <v>3764750</v>
      </c>
    </row>
    <row r="209" spans="1:3" x14ac:dyDescent="0.25">
      <c r="A209" s="270" t="str">
        <f>"Затраты на элктроэнергию на "&amp;E65&amp;" шаге = Затраты на элктроэнергию * Объем реализации = "&amp;'666'!C$343&amp;" * "&amp;C79&amp;" = "</f>
        <v xml:space="preserve">Затраты на элктроэнергию на 10 шаге = Затраты на элктроэнергию * Объем реализации = 13,69 * 275000 = </v>
      </c>
      <c r="B209" s="270"/>
      <c r="C209" s="201">
        <f>'666'!C$343*C79</f>
        <v>3764750</v>
      </c>
    </row>
    <row r="210" spans="1:3" ht="15.75" thickBot="1" x14ac:dyDescent="0.3">
      <c r="A210" s="212"/>
      <c r="B210" s="219"/>
      <c r="C210" s="212"/>
    </row>
    <row r="211" spans="1:3" ht="15.75" thickBot="1" x14ac:dyDescent="0.3">
      <c r="A211" s="212"/>
      <c r="B211" s="221" t="s">
        <v>394</v>
      </c>
      <c r="C211" s="212"/>
    </row>
    <row r="212" spans="1:3" x14ac:dyDescent="0.25">
      <c r="A212" s="270" t="str">
        <f>"Оплату труда производственного труда на "&amp;E55&amp;" шаге =  "&amp;'666'!A$345&amp;" * Объем реализации = "&amp;'666'!C$345&amp;" * "&amp;C56&amp;" ="</f>
        <v>Оплату труда производственного труда на 0 шаге =  Оплата труда с начислением на изделие * Объем реализации = 54,46 * 0 =</v>
      </c>
      <c r="B212" s="270"/>
      <c r="C212" s="201">
        <f>'666'!C$345*C56</f>
        <v>0</v>
      </c>
    </row>
    <row r="213" spans="1:3" x14ac:dyDescent="0.25">
      <c r="A213" s="270" t="str">
        <f>"Оплату труда производственного труда на "&amp;E56&amp;" шаге =  "&amp;'666'!A$345&amp;" * Объем реализации = "&amp;'666'!C$345&amp;" * "&amp;C57&amp;" ="</f>
        <v>Оплату труда производственного труда на 1 шаге =  Оплата труда с начислением на изделие * Объем реализации = 54,46 * 0 =</v>
      </c>
      <c r="B213" s="270"/>
      <c r="C213" s="201">
        <f>'666'!C$345*C57</f>
        <v>0</v>
      </c>
    </row>
    <row r="214" spans="1:3" x14ac:dyDescent="0.25">
      <c r="A214" s="270" t="str">
        <f>"Оплату труда производственного труда на "&amp;E57&amp;" шаге =  "&amp;'666'!A$345&amp;" * Объем реализации = "&amp;'666'!C$345&amp;" * "&amp;C58&amp;" ="</f>
        <v>Оплату труда производственного труда на 2 шаге =  Оплата труда с начислением на изделие * Объем реализации = 54,46 * 55000 =</v>
      </c>
      <c r="B214" s="270"/>
      <c r="C214" s="201">
        <f>'666'!C$345*C58</f>
        <v>2995300</v>
      </c>
    </row>
    <row r="215" spans="1:3" x14ac:dyDescent="0.25">
      <c r="A215" s="270" t="str">
        <f>"Оплату труда производственного труда на "&amp;E58&amp;" шаге =  "&amp;'666'!A$345&amp;" * Объем реализации = "&amp;'666'!C$345&amp;" * "&amp;C59&amp;" ="</f>
        <v>Оплату труда производственного труда на 3 шаге =  Оплата труда с начислением на изделие * Объем реализации = 54,46 * 110000 =</v>
      </c>
      <c r="B215" s="270"/>
      <c r="C215" s="201">
        <f>'666'!C$345*C59</f>
        <v>5990600</v>
      </c>
    </row>
    <row r="216" spans="1:3" x14ac:dyDescent="0.25">
      <c r="A216" s="270" t="str">
        <f>"Оплату труда производственного труда на "&amp;E59&amp;" шаге =  "&amp;'666'!A$345&amp;" * Объем реализации = "&amp;'666'!C$345&amp;" * "&amp;C60&amp;" ="</f>
        <v>Оплату труда производственного труда на 4 шаге =  Оплата труда с начислением на изделие * Объем реализации = 54,46 * 192500 =</v>
      </c>
      <c r="B216" s="270"/>
      <c r="C216" s="201">
        <f>'666'!C$345*C60</f>
        <v>10483550</v>
      </c>
    </row>
    <row r="217" spans="1:3" x14ac:dyDescent="0.25">
      <c r="A217" s="270" t="str">
        <f>"Оплату труда производственного труда на "&amp;E60&amp;" шаге =  "&amp;'666'!A$345&amp;" * Объем реализации = "&amp;'666'!C$345&amp;" * "&amp;C61&amp;" ="</f>
        <v>Оплату труда производственного труда на 5 шаге =  Оплата труда с начислением на изделие * Объем реализации = 54,46 * 247500 =</v>
      </c>
      <c r="B217" s="270"/>
      <c r="C217" s="201">
        <f>'666'!C$345*C61</f>
        <v>13478850</v>
      </c>
    </row>
    <row r="218" spans="1:3" x14ac:dyDescent="0.25">
      <c r="A218" s="270" t="str">
        <f>"Оплату труда производственного труда на "&amp;E61&amp;" шаге =  "&amp;'666'!A$345&amp;" * Объем реализации = "&amp;'666'!C$345&amp;" * "&amp;C62&amp;" ="</f>
        <v>Оплату труда производственного труда на 6 шаге =  Оплата труда с начислением на изделие * Объем реализации = 54,46 * 275000 =</v>
      </c>
      <c r="B218" s="270"/>
      <c r="C218" s="201">
        <f>'666'!C$345*C62</f>
        <v>14976500</v>
      </c>
    </row>
    <row r="219" spans="1:3" x14ac:dyDescent="0.25">
      <c r="A219" s="270" t="str">
        <f>"Оплату труда производственного труда на "&amp;E62&amp;" шаге =  "&amp;'666'!A$345&amp;" * Объем реализации = "&amp;'666'!C$345&amp;" * "&amp;C63&amp;" ="</f>
        <v>Оплату труда производственного труда на 7 шаге =  Оплата труда с начислением на изделие * Объем реализации = 54,46 * 275000 =</v>
      </c>
      <c r="B219" s="270"/>
      <c r="C219" s="201">
        <f>'666'!C$345*C63</f>
        <v>14976500</v>
      </c>
    </row>
    <row r="220" spans="1:3" x14ac:dyDescent="0.25">
      <c r="A220" s="270" t="str">
        <f>"Оплату труда производственного труда на "&amp;E63&amp;" шаге =  "&amp;'666'!A$345&amp;" * Объем реализации = "&amp;'666'!C$345&amp;" * "&amp;C64&amp;" ="</f>
        <v>Оплату труда производственного труда на 8 шаге =  Оплата труда с начислением на изделие * Объем реализации = 54,46 * 275000 =</v>
      </c>
      <c r="B220" s="270"/>
      <c r="C220" s="201">
        <f>'666'!C$345*C64</f>
        <v>14976500</v>
      </c>
    </row>
    <row r="221" spans="1:3" x14ac:dyDescent="0.25">
      <c r="A221" s="270" t="str">
        <f>"Оплату труда производственного труда на "&amp;E64&amp;" шаге =  "&amp;'666'!A$345&amp;" * Объем реализации = "&amp;'666'!C$345&amp;" * "&amp;C65&amp;" ="</f>
        <v>Оплату труда производственного труда на 9 шаге =  Оплата труда с начислением на изделие * Объем реализации = 54,46 * 275000 =</v>
      </c>
      <c r="B221" s="270"/>
      <c r="C221" s="201">
        <f>'666'!C$345*C65</f>
        <v>14976500</v>
      </c>
    </row>
    <row r="222" spans="1:3" x14ac:dyDescent="0.25">
      <c r="A222" s="270" t="str">
        <f>"Оплату труда производственного труда на "&amp;E65&amp;" шаге =  "&amp;'666'!A$345&amp;" * Объем реализации = "&amp;'666'!C$345&amp;" * "&amp;C66&amp;" ="</f>
        <v>Оплату труда производственного труда на 10 шаге =  Оплата труда с начислением на изделие * Объем реализации = 54,46 * 275000 =</v>
      </c>
      <c r="B222" s="270"/>
      <c r="C222" s="201">
        <f>'666'!C$345*C66</f>
        <v>14976500</v>
      </c>
    </row>
    <row r="223" spans="1:3" ht="15.75" thickBot="1" x14ac:dyDescent="0.3">
      <c r="A223" s="212"/>
      <c r="B223" s="219"/>
      <c r="C223" s="212"/>
    </row>
    <row r="224" spans="1:3" ht="15.75" thickBot="1" x14ac:dyDescent="0.3">
      <c r="A224" s="212"/>
      <c r="B224" s="220" t="s">
        <v>395</v>
      </c>
      <c r="C224" s="212"/>
    </row>
    <row r="225" spans="1:3" x14ac:dyDescent="0.25">
      <c r="A225" s="270" t="str">
        <f>"Оплату труда производственного труда на "&amp;E55&amp;" шаге =  "&amp;'666'!A$345&amp;" * Объем реализации = "&amp;'666'!C$345&amp;" * "&amp;C69&amp;" ="</f>
        <v>Оплату труда производственного труда на 0 шаге =  Оплата труда с начислением на изделие * Объем реализации = 54,46 * 0 =</v>
      </c>
      <c r="B225" s="270"/>
      <c r="C225" s="201">
        <f>'666'!C$345*C69</f>
        <v>0</v>
      </c>
    </row>
    <row r="226" spans="1:3" x14ac:dyDescent="0.25">
      <c r="A226" s="270" t="str">
        <f>"Оплату труда производственного труда на "&amp;E56&amp;" шаге =  "&amp;'666'!A$345&amp;" * Объем реализации = "&amp;'666'!C$345&amp;" * "&amp;C70&amp;" ="</f>
        <v>Оплату труда производственного труда на 1 шаге =  Оплата труда с начислением на изделие * Объем реализации = 54,46 * 0 =</v>
      </c>
      <c r="B226" s="270"/>
      <c r="C226" s="201">
        <f>'666'!C$345*C70</f>
        <v>0</v>
      </c>
    </row>
    <row r="227" spans="1:3" x14ac:dyDescent="0.25">
      <c r="A227" s="270" t="str">
        <f>"Оплату труда производственного труда на "&amp;E57&amp;" шаге =  "&amp;'666'!A$345&amp;" * Объем реализации = "&amp;'666'!C$345&amp;" * "&amp;C71&amp;" ="</f>
        <v>Оплату труда производственного труда на 2 шаге =  Оплата труда с начислением на изделие * Объем реализации = 54,46 * 55000 =</v>
      </c>
      <c r="B227" s="270"/>
      <c r="C227" s="201">
        <f>'666'!C$345*C71</f>
        <v>2995300</v>
      </c>
    </row>
    <row r="228" spans="1:3" x14ac:dyDescent="0.25">
      <c r="A228" s="270" t="str">
        <f>"Оплату труда производственного труда на "&amp;E58&amp;" шаге =  "&amp;'666'!A$345&amp;" * Объем реализации = "&amp;'666'!C$345&amp;" * "&amp;C72&amp;" ="</f>
        <v>Оплату труда производственного труда на 3 шаге =  Оплата труда с начислением на изделие * Объем реализации = 54,46 * 110000 =</v>
      </c>
      <c r="B228" s="270"/>
      <c r="C228" s="201">
        <f>'666'!C$345*C72</f>
        <v>5990600</v>
      </c>
    </row>
    <row r="229" spans="1:3" x14ac:dyDescent="0.25">
      <c r="A229" s="270" t="str">
        <f>"Оплату труда производственного труда на "&amp;E59&amp;" шаге =  "&amp;'666'!A$345&amp;" * Объем реализации = "&amp;'666'!C$345&amp;" * "&amp;C73&amp;" ="</f>
        <v>Оплату труда производственного труда на 4 шаге =  Оплата труда с начислением на изделие * Объем реализации = 54,46 * 192500 =</v>
      </c>
      <c r="B229" s="270"/>
      <c r="C229" s="201">
        <f>'666'!C$345*C73</f>
        <v>10483550</v>
      </c>
    </row>
    <row r="230" spans="1:3" x14ac:dyDescent="0.25">
      <c r="A230" s="270" t="str">
        <f>"Оплату труда производственного труда на "&amp;E60&amp;" шаге =  "&amp;'666'!A$345&amp;" * Объем реализации = "&amp;'666'!C$345&amp;" * "&amp;C74&amp;" ="</f>
        <v>Оплату труда производственного труда на 5 шаге =  Оплата труда с начислением на изделие * Объем реализации = 54,46 * 247500 =</v>
      </c>
      <c r="B230" s="270"/>
      <c r="C230" s="201">
        <f>'666'!C$345*C74</f>
        <v>13478850</v>
      </c>
    </row>
    <row r="231" spans="1:3" x14ac:dyDescent="0.25">
      <c r="A231" s="270" t="str">
        <f>"Оплату труда производственного труда на "&amp;E61&amp;" шаге =  "&amp;'666'!A$345&amp;" * Объем реализации = "&amp;'666'!C$345&amp;" * "&amp;C75&amp;" ="</f>
        <v>Оплату труда производственного труда на 6 шаге =  Оплата труда с начислением на изделие * Объем реализации = 54,46 * 275000 =</v>
      </c>
      <c r="B231" s="270"/>
      <c r="C231" s="201">
        <f>'666'!C$345*C75</f>
        <v>14976500</v>
      </c>
    </row>
    <row r="232" spans="1:3" x14ac:dyDescent="0.25">
      <c r="A232" s="270" t="str">
        <f>"Оплату труда производственного труда на "&amp;E62&amp;" шаге =  "&amp;'666'!A$345&amp;" * Объем реализации = "&amp;'666'!C$345&amp;" * "&amp;C76&amp;" ="</f>
        <v>Оплату труда производственного труда на 7 шаге =  Оплата труда с начислением на изделие * Объем реализации = 54,46 * 275000 =</v>
      </c>
      <c r="B232" s="270"/>
      <c r="C232" s="201">
        <f>'666'!C$345*C76</f>
        <v>14976500</v>
      </c>
    </row>
    <row r="233" spans="1:3" x14ac:dyDescent="0.25">
      <c r="A233" s="270" t="str">
        <f>"Оплату труда производственного труда на "&amp;E63&amp;" шаге =  "&amp;'666'!A$345&amp;" * Объем реализации = "&amp;'666'!C$345&amp;" * "&amp;C77&amp;" ="</f>
        <v>Оплату труда производственного труда на 8 шаге =  Оплата труда с начислением на изделие * Объем реализации = 54,46 * 275000 =</v>
      </c>
      <c r="B233" s="270"/>
      <c r="C233" s="201">
        <f>'666'!C$345*C77</f>
        <v>14976500</v>
      </c>
    </row>
    <row r="234" spans="1:3" x14ac:dyDescent="0.25">
      <c r="A234" s="270" t="str">
        <f>"Оплату труда производственного труда на "&amp;E64&amp;" шаге =  "&amp;'666'!A$345&amp;" * Объем реализации = "&amp;'666'!C$345&amp;" * "&amp;C78&amp;" ="</f>
        <v>Оплату труда производственного труда на 9 шаге =  Оплата труда с начислением на изделие * Объем реализации = 54,46 * 275000 =</v>
      </c>
      <c r="B234" s="270"/>
      <c r="C234" s="201">
        <f>'666'!C$345*C78</f>
        <v>14976500</v>
      </c>
    </row>
    <row r="235" spans="1:3" x14ac:dyDescent="0.25">
      <c r="A235" s="270" t="str">
        <f>"Оплату труда производственного труда на "&amp;E65&amp;" шаге =  "&amp;'666'!A$345&amp;" * Объем реализации = "&amp;'666'!C$345&amp;" * "&amp;C79&amp;" ="</f>
        <v>Оплату труда производственного труда на 10 шаге =  Оплата труда с начислением на изделие * Объем реализации = 54,46 * 275000 =</v>
      </c>
      <c r="B235" s="270"/>
      <c r="C235" s="201">
        <f>'666'!C$345*C79</f>
        <v>14976500</v>
      </c>
    </row>
    <row r="236" spans="1:3" ht="15.75" thickBot="1" x14ac:dyDescent="0.3">
      <c r="A236" s="212"/>
      <c r="B236" s="219"/>
      <c r="C236" s="212"/>
    </row>
    <row r="237" spans="1:3" ht="15.75" thickBot="1" x14ac:dyDescent="0.3">
      <c r="A237" s="212"/>
      <c r="B237" s="221" t="s">
        <v>394</v>
      </c>
      <c r="C237" s="212"/>
    </row>
    <row r="238" spans="1:3" x14ac:dyDescent="0.25">
      <c r="A238" s="212"/>
      <c r="B238" s="219" t="str">
        <f>"Итого переменных издержек на "&amp;E55&amp;"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38" s="201">
        <f>C160+C186+C212</f>
        <v>0</v>
      </c>
    </row>
    <row r="239" spans="1:3" x14ac:dyDescent="0.25">
      <c r="A239" s="212"/>
      <c r="B239" s="219" t="str">
        <f>"Итого переменных издержек на "&amp;E56&amp;"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39" s="201">
        <f t="shared" ref="C239:C248" si="40">C161+C187+C213</f>
        <v>0</v>
      </c>
    </row>
    <row r="240" spans="1:3" x14ac:dyDescent="0.25">
      <c r="A240" s="212"/>
      <c r="B240" s="219" t="str">
        <f>"Итого переменных издержек на "&amp;E57&amp;"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40" s="201">
        <f t="shared" si="40"/>
        <v>21314810</v>
      </c>
    </row>
    <row r="241" spans="1:3" x14ac:dyDescent="0.25">
      <c r="A241" s="212"/>
      <c r="B241" s="219" t="str">
        <f>"Итого переменных издержек на "&amp;E58&amp;"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41" s="201">
        <f t="shared" si="40"/>
        <v>42629620</v>
      </c>
    </row>
    <row r="242" spans="1:3" x14ac:dyDescent="0.25">
      <c r="A242" s="212"/>
      <c r="B242" s="219" t="str">
        <f>"Итого переменных издержек на "&amp;E59&amp;"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42" s="201">
        <f t="shared" si="40"/>
        <v>74601835</v>
      </c>
    </row>
    <row r="243" spans="1:3" x14ac:dyDescent="0.25">
      <c r="A243" s="212"/>
      <c r="B243" s="219" t="str">
        <f>"Итого переменных издержек на "&amp;E60&amp;"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43" s="201">
        <f t="shared" si="40"/>
        <v>95916645</v>
      </c>
    </row>
    <row r="244" spans="1:3" x14ac:dyDescent="0.25">
      <c r="A244" s="212"/>
      <c r="B244" s="219" t="str">
        <f>"Итого переменных издержек на "&amp;E61&amp;"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44" s="201">
        <f t="shared" si="40"/>
        <v>106574050</v>
      </c>
    </row>
    <row r="245" spans="1:3" x14ac:dyDescent="0.25">
      <c r="A245" s="212"/>
      <c r="B245" s="219" t="str">
        <f>"Итого переменных издержек на "&amp;E62&amp;"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45" s="201">
        <f t="shared" si="40"/>
        <v>106574050</v>
      </c>
    </row>
    <row r="246" spans="1:3" x14ac:dyDescent="0.25">
      <c r="A246" s="212"/>
      <c r="B246" s="219" t="str">
        <f>"Итого переменных издержек на "&amp;E63&amp;"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46" s="201">
        <f t="shared" si="40"/>
        <v>106574050</v>
      </c>
    </row>
    <row r="247" spans="1:3" x14ac:dyDescent="0.25">
      <c r="A247" s="212"/>
      <c r="B247" s="219" t="str">
        <f>"Итого переменных издержек на "&amp;E64&amp;"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47" s="201">
        <f t="shared" si="40"/>
        <v>106574050</v>
      </c>
    </row>
    <row r="248" spans="1:3" x14ac:dyDescent="0.25">
      <c r="A248" s="212"/>
      <c r="B248" s="219" t="str">
        <f>"Итого переменных издержек на "&amp;E65&amp;"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48" s="201">
        <f t="shared" si="40"/>
        <v>106574050</v>
      </c>
    </row>
    <row r="249" spans="1:3" ht="15.75" thickBot="1" x14ac:dyDescent="0.3">
      <c r="A249" s="212"/>
      <c r="B249" s="219"/>
      <c r="C249" s="212"/>
    </row>
    <row r="250" spans="1:3" ht="15.75" thickBot="1" x14ac:dyDescent="0.3">
      <c r="A250" s="212"/>
      <c r="B250" s="220" t="s">
        <v>395</v>
      </c>
      <c r="C250" s="212"/>
    </row>
    <row r="251" spans="1:3" x14ac:dyDescent="0.25">
      <c r="A251" s="212"/>
      <c r="B251" s="219" t="str">
        <f>"Итого переменных издержек на "&amp;E55&amp;"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51" s="201">
        <f>C173+C199+C225</f>
        <v>0</v>
      </c>
    </row>
    <row r="252" spans="1:3" x14ac:dyDescent="0.25">
      <c r="A252" s="212"/>
      <c r="B252" s="219" t="str">
        <f>"Итого переменных издержек на "&amp;E56&amp;"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52" s="201">
        <f t="shared" ref="C252:C261" si="41">C174+C200+C226</f>
        <v>0</v>
      </c>
    </row>
    <row r="253" spans="1:3" x14ac:dyDescent="0.25">
      <c r="A253" s="212"/>
      <c r="B253" s="219" t="str">
        <f>"Итого переменных издержек на "&amp;E57&amp;"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53" s="201">
        <f t="shared" si="41"/>
        <v>25218490</v>
      </c>
    </row>
    <row r="254" spans="1:3" x14ac:dyDescent="0.25">
      <c r="A254" s="212"/>
      <c r="B254" s="219" t="str">
        <f>"Итого переменных издержек на "&amp;E58&amp;"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54" s="201">
        <f t="shared" si="41"/>
        <v>50436980</v>
      </c>
    </row>
    <row r="255" spans="1:3" x14ac:dyDescent="0.25">
      <c r="A255" s="212"/>
      <c r="B255" s="219" t="str">
        <f>"Итого переменных издержек на "&amp;E59&amp;"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55" s="201">
        <f t="shared" si="41"/>
        <v>88264715</v>
      </c>
    </row>
    <row r="256" spans="1:3" x14ac:dyDescent="0.25">
      <c r="A256" s="212"/>
      <c r="B256" s="219" t="str">
        <f>"Итого переменных издержек на "&amp;E60&amp;"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56" s="201">
        <f t="shared" si="41"/>
        <v>113483205.00000001</v>
      </c>
    </row>
    <row r="257" spans="1:3" x14ac:dyDescent="0.25">
      <c r="A257" s="212"/>
      <c r="B257" s="219" t="str">
        <f>"Итого переменных издержек на "&amp;E61&amp;"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57" s="201">
        <f t="shared" si="41"/>
        <v>126092450.00000001</v>
      </c>
    </row>
    <row r="258" spans="1:3" x14ac:dyDescent="0.25">
      <c r="A258" s="212"/>
      <c r="B258" s="219" t="str">
        <f>"Итого переменных издержек на "&amp;E62&amp;"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58" s="201">
        <f t="shared" si="41"/>
        <v>126092450.00000001</v>
      </c>
    </row>
    <row r="259" spans="1:3" x14ac:dyDescent="0.25">
      <c r="A259" s="212"/>
      <c r="B259" s="219" t="str">
        <f>"Итого переменных издержек на "&amp;E63&amp;"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59" s="201">
        <f t="shared" si="41"/>
        <v>126092450.00000001</v>
      </c>
    </row>
    <row r="260" spans="1:3" x14ac:dyDescent="0.25">
      <c r="A260" s="212"/>
      <c r="B260" s="219" t="str">
        <f>"Итого переменных издержек на "&amp;E64&amp;"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60" s="201">
        <f t="shared" si="41"/>
        <v>126092450.00000001</v>
      </c>
    </row>
    <row r="261" spans="1:3" x14ac:dyDescent="0.25">
      <c r="A261" s="212"/>
      <c r="B261" s="219" t="str">
        <f>"Итого переменных издержек на "&amp;E65&amp;"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61" s="201">
        <f t="shared" si="41"/>
        <v>126092450.00000001</v>
      </c>
    </row>
    <row r="262" spans="1:3" ht="15.75" thickBot="1" x14ac:dyDescent="0.3">
      <c r="A262" s="212"/>
      <c r="B262" s="219"/>
      <c r="C262" s="212"/>
    </row>
    <row r="263" spans="1:3" ht="15.75" thickBot="1" x14ac:dyDescent="0.3">
      <c r="A263" s="212"/>
      <c r="B263" s="221" t="s">
        <v>394</v>
      </c>
      <c r="C263" s="212"/>
    </row>
    <row r="264" spans="1:3" x14ac:dyDescent="0.25">
      <c r="A264" s="212"/>
      <c r="B264" s="219" t="str">
        <f>"Прибыль налогообложения на "&amp;E55&amp;"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64" s="201">
        <f>C134-(C251+D$23+D$24)</f>
        <v>0</v>
      </c>
    </row>
    <row r="265" spans="1:3" x14ac:dyDescent="0.25">
      <c r="A265" s="212"/>
      <c r="B265" s="219" t="str">
        <f>"Прибыль налогообложения на "&amp;E56&amp;"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65" s="201">
        <f>C135-(C252+E$23+E$24)</f>
        <v>0</v>
      </c>
    </row>
    <row r="266" spans="1:3" x14ac:dyDescent="0.25">
      <c r="A266" s="212"/>
      <c r="B266" s="219" t="str">
        <f>"Прибыль налогообложения на "&amp;E57&amp;"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66" s="201">
        <f>C136-(C240+F$23+F$24)</f>
        <v>-16282761.428648986</v>
      </c>
    </row>
    <row r="267" spans="1:3" x14ac:dyDescent="0.25">
      <c r="A267" s="212"/>
      <c r="B267" s="219" t="str">
        <f>"Прибыль налогообложения на "&amp;E58&amp;"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67" s="201">
        <f>C137-(C241+F$23+F$24)</f>
        <v>8101928.5713510066</v>
      </c>
    </row>
    <row r="268" spans="1:3" x14ac:dyDescent="0.25">
      <c r="A268" s="212"/>
      <c r="B268" s="219" t="str">
        <f>"Прибыль налогообложения на "&amp;E59&amp;"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68" s="201">
        <f t="shared" ref="C268:C274" si="42">C138-(C242+F$23+F$24)</f>
        <v>44678963.571351022</v>
      </c>
    </row>
    <row r="269" spans="1:3" x14ac:dyDescent="0.25">
      <c r="A269" s="212"/>
      <c r="B269" s="219" t="str">
        <f>"Прибыль налогообложения на "&amp;E60&amp;"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69" s="201">
        <f t="shared" si="42"/>
        <v>69063653.571350962</v>
      </c>
    </row>
    <row r="270" spans="1:3" x14ac:dyDescent="0.25">
      <c r="A270" s="212"/>
      <c r="B270" s="219" t="str">
        <f>"Прибыль налогообложения на "&amp;E61&amp;"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70" s="201">
        <f t="shared" si="42"/>
        <v>81255998.571350992</v>
      </c>
    </row>
    <row r="271" spans="1:3" x14ac:dyDescent="0.25">
      <c r="A271" s="212"/>
      <c r="B271" s="219" t="str">
        <f>"Прибыль налогообложения на "&amp;E62&amp;"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71" s="201">
        <f t="shared" si="42"/>
        <v>81255998.571350992</v>
      </c>
    </row>
    <row r="272" spans="1:3" x14ac:dyDescent="0.25">
      <c r="A272" s="212"/>
      <c r="B272" s="219" t="str">
        <f>"Прибыль налогообложения на "&amp;E63&amp;"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72" s="201">
        <f t="shared" si="42"/>
        <v>81255998.571350992</v>
      </c>
    </row>
    <row r="273" spans="1:3" x14ac:dyDescent="0.25">
      <c r="A273" s="212"/>
      <c r="B273" s="219" t="str">
        <f>"Прибыль налогообложения на "&amp;E64&amp;"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73" s="201">
        <f t="shared" si="42"/>
        <v>81255998.571350992</v>
      </c>
    </row>
    <row r="274" spans="1:3" x14ac:dyDescent="0.25">
      <c r="A274" s="212"/>
      <c r="B274" s="219" t="str">
        <f>"Прибыль налогообложения на "&amp;E65&amp;"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74" s="201">
        <f t="shared" si="42"/>
        <v>81255998.571350992</v>
      </c>
    </row>
    <row r="275" spans="1:3" ht="15.75" thickBot="1" x14ac:dyDescent="0.3">
      <c r="A275" s="212"/>
      <c r="B275" s="219"/>
      <c r="C275" s="212"/>
    </row>
    <row r="276" spans="1:3" ht="15.75" thickBot="1" x14ac:dyDescent="0.3">
      <c r="A276" s="212"/>
      <c r="B276" s="220" t="s">
        <v>395</v>
      </c>
      <c r="C276" s="212"/>
    </row>
    <row r="277" spans="1:3" x14ac:dyDescent="0.25">
      <c r="A277" s="212"/>
      <c r="B277" s="219" t="str">
        <f>"Прибыль налогообложения на "&amp;E55&amp;"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77" s="201">
        <f>C147-(C264+D$23+D$24)</f>
        <v>0</v>
      </c>
    </row>
    <row r="278" spans="1:3" x14ac:dyDescent="0.25">
      <c r="A278" s="212"/>
      <c r="B278" s="219" t="str">
        <f>"Прибыль налогообложения на "&amp;E56&amp;"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78" s="201">
        <f>C148-(C265+E$23+E$24)</f>
        <v>0</v>
      </c>
    </row>
    <row r="279" spans="1:3" x14ac:dyDescent="0.25">
      <c r="A279" s="212"/>
      <c r="B279" s="219" t="str">
        <f>"Прибыль налогообложения на "&amp;E57&amp;"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79" s="201">
        <f>C149-(C253+F$23+F$24)</f>
        <v>-20186441.428648986</v>
      </c>
    </row>
    <row r="280" spans="1:3" x14ac:dyDescent="0.25">
      <c r="A280" s="212"/>
      <c r="B280" s="219" t="str">
        <f>"Прибыль налогообложения на "&amp;E58&amp;"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80" s="201">
        <f>C150-(C254+F$23+F$24)</f>
        <v>294568.57135100663</v>
      </c>
    </row>
    <row r="281" spans="1:3" x14ac:dyDescent="0.25">
      <c r="A281" s="212"/>
      <c r="B281" s="219" t="str">
        <f>"Прибыль налогообложения на "&amp;E59&amp;"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81" s="201">
        <f t="shared" ref="C281:C287" si="43">C151-(C255+F$23+F$24)</f>
        <v>31016083.571351022</v>
      </c>
    </row>
    <row r="282" spans="1:3" x14ac:dyDescent="0.25">
      <c r="A282" s="212"/>
      <c r="B282" s="219" t="str">
        <f>"Прибыль налогообложения на "&amp;E60&amp;"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82" s="201">
        <f t="shared" si="43"/>
        <v>51497093.571350962</v>
      </c>
    </row>
    <row r="283" spans="1:3" x14ac:dyDescent="0.25">
      <c r="A283" s="212"/>
      <c r="B283" s="219" t="str">
        <f>"Прибыль налогообложения на "&amp;E61&amp;"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83" s="201">
        <f t="shared" si="43"/>
        <v>61737598.571350992</v>
      </c>
    </row>
    <row r="284" spans="1:3" x14ac:dyDescent="0.25">
      <c r="A284" s="212"/>
      <c r="B284" s="219" t="str">
        <f>"Прибыль налогообложения на "&amp;E62&amp;"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84" s="201">
        <f t="shared" si="43"/>
        <v>61737598.571350992</v>
      </c>
    </row>
    <row r="285" spans="1:3" x14ac:dyDescent="0.25">
      <c r="A285" s="212"/>
      <c r="B285" s="219" t="str">
        <f>"Прибыль налогообложения на "&amp;E63&amp;"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85" s="201">
        <f t="shared" si="43"/>
        <v>61737598.571350992</v>
      </c>
    </row>
    <row r="286" spans="1:3" x14ac:dyDescent="0.25">
      <c r="A286" s="212"/>
      <c r="B286" s="219" t="str">
        <f>"Прибыль налогообложения на "&amp;E64&amp;"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86" s="201">
        <f t="shared" si="43"/>
        <v>61737598.571350992</v>
      </c>
    </row>
    <row r="287" spans="1:3" x14ac:dyDescent="0.25">
      <c r="A287" s="212"/>
      <c r="B287" s="219" t="str">
        <f>"Прибыль налогообложения на "&amp;E65&amp;"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87" s="201">
        <f t="shared" si="43"/>
        <v>61737598.571350992</v>
      </c>
    </row>
    <row r="288" spans="1:3" ht="15.75" thickBot="1" x14ac:dyDescent="0.3">
      <c r="A288" s="212"/>
      <c r="B288" s="219"/>
      <c r="C288" s="212"/>
    </row>
    <row r="289" spans="1:3" ht="15.75" thickBot="1" x14ac:dyDescent="0.3">
      <c r="A289" s="212"/>
      <c r="B289" s="221" t="s">
        <v>394</v>
      </c>
      <c r="C289" s="212"/>
    </row>
    <row r="290" spans="1:3" x14ac:dyDescent="0.25">
      <c r="A290" s="212"/>
      <c r="B290" s="219" t="str">
        <f>"Налоги и сборы на "&amp;E55&amp;" шаге = 20% * Прибыль налогообложения = 20% * "&amp;ROUND(C277,2)&amp;" ="</f>
        <v>Налоги и сборы на 0 шаге = 20% * Прибыль налогообложения = 20% * 0 =</v>
      </c>
      <c r="C290" s="201">
        <f>20%*C277</f>
        <v>0</v>
      </c>
    </row>
    <row r="291" spans="1:3" x14ac:dyDescent="0.25">
      <c r="A291" s="212"/>
      <c r="B291" s="219" t="str">
        <f>"Налоги и сборы на "&amp;E56&amp;" шаге = 20% * Прибыль налогообложения = 20% * "&amp;ROUND(C278,2)&amp;" ="</f>
        <v>Налоги и сборы на 1 шаге = 20% * Прибыль налогообложения = 20% * 0 =</v>
      </c>
      <c r="C291" s="201">
        <f t="shared" ref="C291" si="44">20%*C278</f>
        <v>0</v>
      </c>
    </row>
    <row r="292" spans="1:3" x14ac:dyDescent="0.25">
      <c r="A292" s="212"/>
      <c r="B292" s="219" t="str">
        <f>"Налоги и сборы на "&amp;E57&amp;" шаге = 20% * Прибыль налогообложения = 20% * 0 ="</f>
        <v>Налоги и сборы на 2 шаге = 20% * Прибыль налогообложения = 20% * 0 =</v>
      </c>
      <c r="C292" s="201">
        <v>0</v>
      </c>
    </row>
    <row r="293" spans="1:3" x14ac:dyDescent="0.25">
      <c r="A293" s="212"/>
      <c r="B293" s="219" t="str">
        <f>"Налоги и сборы на "&amp;E58&amp;" шаге = 20% * Прибыль налогообложения = 20% * 0 ="</f>
        <v>Налоги и сборы на 3 шаге = 20% * Прибыль налогообложения = 20% * 0 =</v>
      </c>
      <c r="C293" s="201">
        <f>C267*20%</f>
        <v>1620385.7142702015</v>
      </c>
    </row>
    <row r="294" spans="1:3" x14ac:dyDescent="0.25">
      <c r="A294" s="212"/>
      <c r="B294" s="219" t="str">
        <f>"Налоги и сборы на "&amp;E59&amp;" шаге = 20% * Прибыль налогообложения = 20% * "&amp;ROUND(C281,2)&amp;" ="</f>
        <v>Налоги и сборы на 4 шаге = 20% * Прибыль налогообложения = 20% * 31016083,57 =</v>
      </c>
      <c r="C294" s="201">
        <f t="shared" ref="C294:C300" si="45">C268*20%</f>
        <v>8935792.7142702043</v>
      </c>
    </row>
    <row r="295" spans="1:3" x14ac:dyDescent="0.25">
      <c r="A295" s="212"/>
      <c r="B295" s="219" t="str">
        <f>"Налоги и сборы на "&amp;E60&amp;" шаге = 20% * Прибыль налогообложения = 20% * "&amp;ROUND(C282,2)&amp;" ="</f>
        <v>Налоги и сборы на 5 шаге = 20% * Прибыль налогообложения = 20% * 51497093,57 =</v>
      </c>
      <c r="C295" s="201">
        <f t="shared" si="45"/>
        <v>13812730.714270193</v>
      </c>
    </row>
    <row r="296" spans="1:3" x14ac:dyDescent="0.25">
      <c r="A296" s="212"/>
      <c r="B296" s="219" t="str">
        <f>"Налоги и сборы на "&amp;E61&amp;" шаге = 20% * Прибыль налогообложения = 20% * "&amp;ROUND(C283,2)&amp;" ="</f>
        <v>Налоги и сборы на 6 шаге = 20% * Прибыль налогообложения = 20% * 61737598,57 =</v>
      </c>
      <c r="C296" s="201">
        <f t="shared" si="45"/>
        <v>16251199.714270199</v>
      </c>
    </row>
    <row r="297" spans="1:3" x14ac:dyDescent="0.25">
      <c r="A297" s="212"/>
      <c r="B297" s="219" t="str">
        <f>"Налоги и сборы на "&amp;E62&amp;" шаге = 20% * Прибыль налогообложения = 20% * "&amp;ROUND(C284,2)&amp;" ="</f>
        <v>Налоги и сборы на 7 шаге = 20% * Прибыль налогообложения = 20% * 61737598,57 =</v>
      </c>
      <c r="C297" s="201">
        <f t="shared" si="45"/>
        <v>16251199.714270199</v>
      </c>
    </row>
    <row r="298" spans="1:3" x14ac:dyDescent="0.25">
      <c r="A298" s="212"/>
      <c r="B298" s="219" t="str">
        <f>"Налоги и сборы на "&amp;E63&amp;" шаге = 20% * Прибыль налогообложения = 20% * "&amp;ROUND(C285,2)&amp;" ="</f>
        <v>Налоги и сборы на 8 шаге = 20% * Прибыль налогообложения = 20% * 61737598,57 =</v>
      </c>
      <c r="C298" s="201">
        <f t="shared" si="45"/>
        <v>16251199.714270199</v>
      </c>
    </row>
    <row r="299" spans="1:3" x14ac:dyDescent="0.25">
      <c r="A299" s="212"/>
      <c r="B299" s="219" t="str">
        <f>"Налоги и сборы на "&amp;E64&amp;" шаге = 20% * Прибыль налогообложения = 20% * "&amp;ROUND(C286,2)&amp;" ="</f>
        <v>Налоги и сборы на 9 шаге = 20% * Прибыль налогообложения = 20% * 61737598,57 =</v>
      </c>
      <c r="C299" s="201">
        <f t="shared" si="45"/>
        <v>16251199.714270199</v>
      </c>
    </row>
    <row r="300" spans="1:3" x14ac:dyDescent="0.25">
      <c r="A300" s="212"/>
      <c r="B300" s="219" t="str">
        <f>"Налоги и сборы на "&amp;E65&amp;" шаге = 20% * Прибыль налогообложения = 20% * "&amp;ROUND(C287,2)&amp;" ="</f>
        <v>Налоги и сборы на 10 шаге = 20% * Прибыль налогообложения = 20% * 61737598,57 =</v>
      </c>
      <c r="C300" s="201">
        <f t="shared" si="45"/>
        <v>16251199.714270199</v>
      </c>
    </row>
    <row r="301" spans="1:3" ht="15.75" thickBot="1" x14ac:dyDescent="0.3">
      <c r="A301" s="212"/>
      <c r="B301" s="219"/>
      <c r="C301" s="212"/>
    </row>
    <row r="302" spans="1:3" ht="15.75" thickBot="1" x14ac:dyDescent="0.3">
      <c r="A302" s="212"/>
      <c r="B302" s="220" t="s">
        <v>395</v>
      </c>
      <c r="C302" s="212"/>
    </row>
    <row r="303" spans="1:3" x14ac:dyDescent="0.25">
      <c r="A303" s="212"/>
      <c r="B303" s="219" t="str">
        <f>"Налоги и сборы на "&amp;E55&amp;" шаге = 20% * Прибыль налогообложения = 20% * "&amp;ROUND(C290,2)&amp;" ="</f>
        <v>Налоги и сборы на 0 шаге = 20% * Прибыль налогообложения = 20% * 0 =</v>
      </c>
      <c r="C303" s="201">
        <f>20%*C290</f>
        <v>0</v>
      </c>
    </row>
    <row r="304" spans="1:3" x14ac:dyDescent="0.25">
      <c r="A304" s="212"/>
      <c r="B304" s="219" t="str">
        <f>"Налоги и сборы на "&amp;E56&amp;" шаге = 20% * Прибыль налогообложения = 20% * "&amp;ROUND(C291,2)&amp;" ="</f>
        <v>Налоги и сборы на 1 шаге = 20% * Прибыль налогообложения = 20% * 0 =</v>
      </c>
      <c r="C304" s="201">
        <f t="shared" ref="C304" si="46">20%*C291</f>
        <v>0</v>
      </c>
    </row>
    <row r="305" spans="1:3" x14ac:dyDescent="0.25">
      <c r="A305" s="212"/>
      <c r="B305" s="219" t="str">
        <f>"Налоги и сборы на "&amp;E57&amp;" шаге = 20% * Прибыль налогообложения = 20% * "&amp;ROUND(C292,2)&amp;" ="</f>
        <v>Налоги и сборы на 2 шаге = 20% * Прибыль налогообложения = 20% * 0 =</v>
      </c>
      <c r="C305" s="201">
        <v>0</v>
      </c>
    </row>
    <row r="306" spans="1:3" x14ac:dyDescent="0.25">
      <c r="A306" s="212"/>
      <c r="B306" s="219" t="str">
        <f>"Налоги и сборы на "&amp;E58&amp;" шаге = 20% * Прибыль налогообложения = 20% * "&amp;ROUND(C293,2)&amp;" ="</f>
        <v>Налоги и сборы на 3 шаге = 20% * Прибыль налогообложения = 20% * 1620385,71 =</v>
      </c>
      <c r="C306" s="201">
        <v>0</v>
      </c>
    </row>
    <row r="307" spans="1:3" x14ac:dyDescent="0.25">
      <c r="A307" s="212"/>
      <c r="B307" s="219" t="str">
        <f>"Налоги и сборы на "&amp;E59&amp;" шаге = 20% * Прибыль налогообложения = 20% * "&amp;ROUND(C294,2)&amp;" ="</f>
        <v>Налоги и сборы на 4 шаге = 20% * Прибыль налогообложения = 20% * 8935792,71 =</v>
      </c>
      <c r="C307" s="201">
        <f t="shared" ref="C307:C313" si="47">20%*C281</f>
        <v>6203216.7142702043</v>
      </c>
    </row>
    <row r="308" spans="1:3" x14ac:dyDescent="0.25">
      <c r="A308" s="212"/>
      <c r="B308" s="219" t="str">
        <f>"Налоги и сборы на "&amp;E60&amp;" шаге = 20% * Прибыль налогообложения = 20% * "&amp;ROUND(C295,2)&amp;" ="</f>
        <v>Налоги и сборы на 5 шаге = 20% * Прибыль налогообложения = 20% * 13812730,71 =</v>
      </c>
      <c r="C308" s="201">
        <f t="shared" si="47"/>
        <v>10299418.714270193</v>
      </c>
    </row>
    <row r="309" spans="1:3" x14ac:dyDescent="0.25">
      <c r="A309" s="212"/>
      <c r="B309" s="219" t="str">
        <f>"Налоги и сборы на "&amp;E61&amp;" шаге = 20% * Прибыль налогообложения = 20% * "&amp;ROUND(C296,2)&amp;" ="</f>
        <v>Налоги и сборы на 6 шаге = 20% * Прибыль налогообложения = 20% * 16251199,71 =</v>
      </c>
      <c r="C309" s="201">
        <f t="shared" si="47"/>
        <v>12347519.714270199</v>
      </c>
    </row>
    <row r="310" spans="1:3" x14ac:dyDescent="0.25">
      <c r="A310" s="212"/>
      <c r="B310" s="219" t="str">
        <f>"Налоги и сборы на "&amp;E62&amp;" шаге = 20% * Прибыль налогообложения = 20% * "&amp;ROUND(C297,2)&amp;" ="</f>
        <v>Налоги и сборы на 7 шаге = 20% * Прибыль налогообложения = 20% * 16251199,71 =</v>
      </c>
      <c r="C310" s="201">
        <f t="shared" si="47"/>
        <v>12347519.714270199</v>
      </c>
    </row>
    <row r="311" spans="1:3" x14ac:dyDescent="0.25">
      <c r="A311" s="212"/>
      <c r="B311" s="219" t="str">
        <f>"Налоги и сборы на "&amp;E63&amp;" шаге = 20% * Прибыль налогообложения = 20% * "&amp;ROUND(C298,2)&amp;" ="</f>
        <v>Налоги и сборы на 8 шаге = 20% * Прибыль налогообложения = 20% * 16251199,71 =</v>
      </c>
      <c r="C311" s="201">
        <f t="shared" si="47"/>
        <v>12347519.714270199</v>
      </c>
    </row>
    <row r="312" spans="1:3" x14ac:dyDescent="0.25">
      <c r="A312" s="212"/>
      <c r="B312" s="219" t="str">
        <f>"Налоги и сборы на "&amp;E64&amp;" шаге = 20% * Прибыль налогообложения = 20% * "&amp;ROUND(C299,2)&amp;" ="</f>
        <v>Налоги и сборы на 9 шаге = 20% * Прибыль налогообложения = 20% * 16251199,71 =</v>
      </c>
      <c r="C312" s="201">
        <f t="shared" si="47"/>
        <v>12347519.714270199</v>
      </c>
    </row>
    <row r="313" spans="1:3" x14ac:dyDescent="0.25">
      <c r="A313" s="212"/>
      <c r="B313" s="219" t="str">
        <f>"Налоги и сборы на "&amp;E65&amp;" шаге = 20% * Прибыль налогообложения = 20% * "&amp;ROUND(C300,2)&amp;" ="</f>
        <v>Налоги и сборы на 10 шаге = 20% * Прибыль налогообложения = 20% * 16251199,71 =</v>
      </c>
      <c r="C313" s="201">
        <f t="shared" si="47"/>
        <v>12347519.714270199</v>
      </c>
    </row>
    <row r="314" spans="1:3" ht="15.75" thickBot="1" x14ac:dyDescent="0.3">
      <c r="A314" s="212"/>
      <c r="B314" s="219"/>
      <c r="C314" s="212"/>
    </row>
    <row r="315" spans="1:3" ht="15.75" thickBot="1" x14ac:dyDescent="0.3">
      <c r="A315" s="212"/>
      <c r="B315" s="221" t="s">
        <v>394</v>
      </c>
      <c r="C315" s="212"/>
    </row>
    <row r="316" spans="1:3" x14ac:dyDescent="0.25">
      <c r="A316" s="212"/>
      <c r="B316" s="219" t="str">
        <f>"Чистая прибыль на "&amp;E55&amp;" шаге = Прибыль налогооблажения - Налоги и сборы = "&amp;ROUND(C264,2)&amp;" - "&amp;ROUND(C290,2)&amp;" = "</f>
        <v xml:space="preserve">Чистая прибыль на 0 шаге = Прибыль налогооблажения - Налоги и сборы = 0 - 0 = </v>
      </c>
      <c r="C316" s="201">
        <f>C264-C290</f>
        <v>0</v>
      </c>
    </row>
    <row r="317" spans="1:3" x14ac:dyDescent="0.25">
      <c r="A317" s="212"/>
      <c r="B317" s="219" t="str">
        <f>"Чистая прибыль на "&amp;E56&amp;" шаге = Прибыль налогооблажения - Налоги и сборы = "&amp;ROUND(C265,2)&amp;" - "&amp;ROUND(C291,2)&amp;" = "</f>
        <v xml:space="preserve">Чистая прибыль на 1 шаге = Прибыль налогооблажения - Налоги и сборы = 0 - 0 = </v>
      </c>
      <c r="C317" s="201">
        <f t="shared" ref="C317:C326" si="48">C265-C291</f>
        <v>0</v>
      </c>
    </row>
    <row r="318" spans="1:3" x14ac:dyDescent="0.25">
      <c r="A318" s="212"/>
      <c r="B318" s="219" t="str">
        <f>"Чистая прибыль на "&amp;E57&amp;" шаге = Прибыль налогооблажения - Налоги и сборы = "&amp;ROUND(C266,2)&amp;" - "&amp;ROUND(C292,2)&amp;" = "</f>
        <v xml:space="preserve">Чистая прибыль на 2 шаге = Прибыль налогооблажения - Налоги и сборы = -16282761,43 - 0 = </v>
      </c>
      <c r="C318" s="201">
        <f t="shared" si="48"/>
        <v>-16282761.428648986</v>
      </c>
    </row>
    <row r="319" spans="1:3" x14ac:dyDescent="0.25">
      <c r="A319" s="212"/>
      <c r="B319" s="219" t="str">
        <f>"Чистая прибыль на "&amp;E58&amp;" шаге = Прибыль налогооблажения - Налоги и сборы = "&amp;ROUND(C267,2)&amp;" - "&amp;ROUND(C293,2)&amp;" = "</f>
        <v xml:space="preserve">Чистая прибыль на 3 шаге = Прибыль налогооблажения - Налоги и сборы = 8101928,57 - 1620385,71 = </v>
      </c>
      <c r="C319" s="201">
        <f t="shared" si="48"/>
        <v>6481542.8570808051</v>
      </c>
    </row>
    <row r="320" spans="1:3" x14ac:dyDescent="0.25">
      <c r="A320" s="212"/>
      <c r="B320" s="219" t="str">
        <f>"Чистая прибыль на "&amp;E59&amp;" шаге = Прибыль налогооблажения - Налоги и сборы = "&amp;ROUND(C268,2)&amp;" - "&amp;ROUND(C294,2)&amp;" = "</f>
        <v xml:space="preserve">Чистая прибыль на 4 шаге = Прибыль налогооблажения - Налоги и сборы = 44678963,57 - 8935792,71 = </v>
      </c>
      <c r="C320" s="201">
        <f t="shared" si="48"/>
        <v>35743170.857080817</v>
      </c>
    </row>
    <row r="321" spans="1:3" x14ac:dyDescent="0.25">
      <c r="A321" s="212"/>
      <c r="B321" s="219" t="str">
        <f>"Чистая прибыль на "&amp;E60&amp;" шаге = Прибыль налогооблажения - Налоги и сборы = "&amp;ROUND(C269,2)&amp;" - "&amp;ROUND(C295,2)&amp;" = "</f>
        <v xml:space="preserve">Чистая прибыль на 5 шаге = Прибыль налогооблажения - Налоги и сборы = 69063653,57 - 13812730,71 = </v>
      </c>
      <c r="C321" s="201">
        <f t="shared" si="48"/>
        <v>55250922.857080773</v>
      </c>
    </row>
    <row r="322" spans="1:3" x14ac:dyDescent="0.25">
      <c r="A322" s="212"/>
      <c r="B322" s="219" t="str">
        <f>"Чистая прибыль на "&amp;E61&amp;" шаге = Прибыль налогооблажения - Налоги и сборы = "&amp;ROUND(C270,2)&amp;" - "&amp;ROUND(C296,2)&amp;" = "</f>
        <v xml:space="preserve">Чистая прибыль на 6 шаге = Прибыль налогооблажения - Налоги и сборы = 81255998,57 - 16251199,71 = </v>
      </c>
      <c r="C322" s="201">
        <f t="shared" si="48"/>
        <v>65004798.857080795</v>
      </c>
    </row>
    <row r="323" spans="1:3" x14ac:dyDescent="0.25">
      <c r="A323" s="212"/>
      <c r="B323" s="219" t="str">
        <f>"Чистая прибыль на "&amp;E62&amp;" шаге = Прибыль налогооблажения - Налоги и сборы = "&amp;ROUND(C271,2)&amp;" - "&amp;ROUND(C297,2)&amp;" = "</f>
        <v xml:space="preserve">Чистая прибыль на 7 шаге = Прибыль налогооблажения - Налоги и сборы = 81255998,57 - 16251199,71 = </v>
      </c>
      <c r="C323" s="201">
        <f t="shared" si="48"/>
        <v>65004798.857080795</v>
      </c>
    </row>
    <row r="324" spans="1:3" x14ac:dyDescent="0.25">
      <c r="A324" s="212"/>
      <c r="B324" s="219" t="str">
        <f>"Чистая прибыль на "&amp;E63&amp;" шаге = Прибыль налогооблажения - Налоги и сборы = "&amp;ROUND(C272,2)&amp;" - "&amp;ROUND(C298,2)&amp;" = "</f>
        <v xml:space="preserve">Чистая прибыль на 8 шаге = Прибыль налогооблажения - Налоги и сборы = 81255998,57 - 16251199,71 = </v>
      </c>
      <c r="C324" s="201">
        <f t="shared" si="48"/>
        <v>65004798.857080795</v>
      </c>
    </row>
    <row r="325" spans="1:3" x14ac:dyDescent="0.25">
      <c r="A325" s="212"/>
      <c r="B325" s="219" t="str">
        <f>"Чистая прибыль на "&amp;E64&amp;" шаге = Прибыль налогооблажения - Налоги и сборы = "&amp;ROUND(C273,2)&amp;" - "&amp;ROUND(C299,2)&amp;" = "</f>
        <v xml:space="preserve">Чистая прибыль на 9 шаге = Прибыль налогооблажения - Налоги и сборы = 81255998,57 - 16251199,71 = </v>
      </c>
      <c r="C325" s="201">
        <f t="shared" si="48"/>
        <v>65004798.857080795</v>
      </c>
    </row>
    <row r="326" spans="1:3" x14ac:dyDescent="0.25">
      <c r="A326" s="212"/>
      <c r="B326" s="219" t="str">
        <f>"Чистая прибыль на "&amp;E65&amp;" шаге = Прибыль налогооблажения - Налоги и сборы = "&amp;ROUND(C274,2)&amp;" - "&amp;ROUND(C300,2)&amp;" = "</f>
        <v xml:space="preserve">Чистая прибыль на 10 шаге = Прибыль налогооблажения - Налоги и сборы = 81255998,57 - 16251199,71 = </v>
      </c>
      <c r="C326" s="201">
        <f t="shared" si="48"/>
        <v>65004798.857080795</v>
      </c>
    </row>
    <row r="327" spans="1:3" ht="15.75" thickBot="1" x14ac:dyDescent="0.3">
      <c r="A327" s="212"/>
      <c r="B327" s="219"/>
      <c r="C327" s="212"/>
    </row>
    <row r="328" spans="1:3" ht="15.75" thickBot="1" x14ac:dyDescent="0.3">
      <c r="A328" s="212"/>
      <c r="B328" s="220" t="s">
        <v>395</v>
      </c>
      <c r="C328" s="212"/>
    </row>
    <row r="329" spans="1:3" x14ac:dyDescent="0.25">
      <c r="A329" s="212"/>
      <c r="B329" s="219" t="str">
        <f>"Чистая прибыль на "&amp;E55&amp;" шаге = Прибыль налогооблажения - Налоги и сборы = "&amp;ROUND(C277,2)&amp;" - "&amp;ROUND(C303,2)&amp;" = "</f>
        <v xml:space="preserve">Чистая прибыль на 0 шаге = Прибыль налогооблажения - Налоги и сборы = 0 - 0 = </v>
      </c>
      <c r="C329" s="201">
        <f>C277-C303</f>
        <v>0</v>
      </c>
    </row>
    <row r="330" spans="1:3" x14ac:dyDescent="0.25">
      <c r="A330" s="212"/>
      <c r="B330" s="219" t="str">
        <f>"Чистая прибыль на "&amp;E56&amp;" шаге = Прибыль налогооблажения - Налоги и сборы = "&amp;ROUND(C278,2)&amp;" - "&amp;ROUND(C304,2)&amp;" = "</f>
        <v xml:space="preserve">Чистая прибыль на 1 шаге = Прибыль налогооблажения - Налоги и сборы = 0 - 0 = </v>
      </c>
      <c r="C330" s="201">
        <f t="shared" ref="C330:C339" si="49">C278-C304</f>
        <v>0</v>
      </c>
    </row>
    <row r="331" spans="1:3" x14ac:dyDescent="0.25">
      <c r="A331" s="212"/>
      <c r="B331" s="219" t="str">
        <f>"Чистая прибыль на "&amp;E57&amp;" шаге = Прибыль налогооблажения - Налоги и сборы = "&amp;ROUND(C279,2)&amp;" - "&amp;ROUND(C305,2)&amp;" = "</f>
        <v xml:space="preserve">Чистая прибыль на 2 шаге = Прибыль налогооблажения - Налоги и сборы = -20186441,43 - 0 = </v>
      </c>
      <c r="C331" s="201">
        <f t="shared" si="49"/>
        <v>-20186441.428648986</v>
      </c>
    </row>
    <row r="332" spans="1:3" x14ac:dyDescent="0.25">
      <c r="A332" s="212"/>
      <c r="B332" s="219" t="str">
        <f>"Чистая прибыль на "&amp;E58&amp;" шаге = Прибыль налогооблажения - Налоги и сборы = "&amp;ROUND(C280,2)&amp;" - "&amp;ROUND(C306,2)&amp;" = "</f>
        <v xml:space="preserve">Чистая прибыль на 3 шаге = Прибыль налогооблажения - Налоги и сборы = 294568,57 - 0 = </v>
      </c>
      <c r="C332" s="201">
        <f t="shared" si="49"/>
        <v>294568.57135100663</v>
      </c>
    </row>
    <row r="333" spans="1:3" x14ac:dyDescent="0.25">
      <c r="A333" s="212"/>
      <c r="B333" s="219" t="str">
        <f>"Чистая прибыль на "&amp;E59&amp;" шаге = Прибыль налогооблажения - Налоги и сборы = "&amp;ROUND(C281,2)&amp;" - "&amp;ROUND(C307,2)&amp;" = "</f>
        <v xml:space="preserve">Чистая прибыль на 4 шаге = Прибыль налогооблажения - Налоги и сборы = 31016083,57 - 6203216,71 = </v>
      </c>
      <c r="C333" s="201">
        <f t="shared" si="49"/>
        <v>24812866.857080817</v>
      </c>
    </row>
    <row r="334" spans="1:3" x14ac:dyDescent="0.25">
      <c r="A334" s="212"/>
      <c r="B334" s="219" t="str">
        <f>"Чистая прибыль на "&amp;E60&amp;" шаге = Прибыль налогооблажения - Налоги и сборы = "&amp;ROUND(C282,2)&amp;" - "&amp;ROUND(C308,2)&amp;" = "</f>
        <v xml:space="preserve">Чистая прибыль на 5 шаге = Прибыль налогооблажения - Налоги и сборы = 51497093,57 - 10299418,71 = </v>
      </c>
      <c r="C334" s="201">
        <f t="shared" si="49"/>
        <v>41197674.857080773</v>
      </c>
    </row>
    <row r="335" spans="1:3" x14ac:dyDescent="0.25">
      <c r="A335" s="212"/>
      <c r="B335" s="219" t="str">
        <f>"Чистая прибыль на "&amp;E61&amp;" шаге = Прибыль налогооблажения - Налоги и сборы = "&amp;ROUND(C283,2)&amp;" - "&amp;ROUND(C309,2)&amp;" = "</f>
        <v xml:space="preserve">Чистая прибыль на 6 шаге = Прибыль налогооблажения - Налоги и сборы = 61737598,57 - 12347519,71 = </v>
      </c>
      <c r="C335" s="201">
        <f t="shared" si="49"/>
        <v>49390078.857080795</v>
      </c>
    </row>
    <row r="336" spans="1:3" x14ac:dyDescent="0.25">
      <c r="A336" s="212"/>
      <c r="B336" s="219" t="str">
        <f>"Чистая прибыль на "&amp;E62&amp;" шаге = Прибыль налогооблажения - Налоги и сборы = "&amp;ROUND(C284,2)&amp;" - "&amp;ROUND(C310,2)&amp;" = "</f>
        <v xml:space="preserve">Чистая прибыль на 7 шаге = Прибыль налогооблажения - Налоги и сборы = 61737598,57 - 12347519,71 = </v>
      </c>
      <c r="C336" s="201">
        <f t="shared" si="49"/>
        <v>49390078.857080795</v>
      </c>
    </row>
    <row r="337" spans="1:3" x14ac:dyDescent="0.25">
      <c r="A337" s="212"/>
      <c r="B337" s="219" t="str">
        <f>"Чистая прибыль на "&amp;E63&amp;" шаге = Прибыль налогооблажения - Налоги и сборы = "&amp;ROUND(C285,2)&amp;" - "&amp;ROUND(C311,2)&amp;" = "</f>
        <v xml:space="preserve">Чистая прибыль на 8 шаге = Прибыль налогооблажения - Налоги и сборы = 61737598,57 - 12347519,71 = </v>
      </c>
      <c r="C337" s="201">
        <f t="shared" si="49"/>
        <v>49390078.857080795</v>
      </c>
    </row>
    <row r="338" spans="1:3" x14ac:dyDescent="0.25">
      <c r="A338" s="212"/>
      <c r="B338" s="219" t="str">
        <f>"Чистая прибыль на "&amp;E64&amp;" шаге = Прибыль налогооблажения - Налоги и сборы = "&amp;ROUND(C286,2)&amp;" - "&amp;ROUND(C312,2)&amp;" = "</f>
        <v xml:space="preserve">Чистая прибыль на 9 шаге = Прибыль налогооблажения - Налоги и сборы = 61737598,57 - 12347519,71 = </v>
      </c>
      <c r="C338" s="201">
        <f t="shared" si="49"/>
        <v>49390078.857080795</v>
      </c>
    </row>
    <row r="339" spans="1:3" x14ac:dyDescent="0.25">
      <c r="A339" s="212"/>
      <c r="B339" s="219" t="str">
        <f>"Чистая прибыль на "&amp;E65&amp;" шаге = Прибыль налогооблажения - Налоги и сборы = "&amp;ROUND(C287,2)&amp;" - "&amp;ROUND(C313,2)&amp;" = "</f>
        <v xml:space="preserve">Чистая прибыль на 10 шаге = Прибыль налогооблажения - Налоги и сборы = 61737598,57 - 12347519,71 = </v>
      </c>
      <c r="C339" s="201">
        <f t="shared" si="49"/>
        <v>49390078.857080795</v>
      </c>
    </row>
    <row r="340" spans="1:3" ht="15.75" thickBot="1" x14ac:dyDescent="0.3">
      <c r="A340" s="212"/>
      <c r="B340" s="219"/>
      <c r="C340" s="212"/>
    </row>
    <row r="341" spans="1:3" ht="15.75" thickBot="1" x14ac:dyDescent="0.3">
      <c r="A341" s="212"/>
      <c r="B341" s="221" t="s">
        <v>394</v>
      </c>
      <c r="C341" s="212"/>
    </row>
    <row r="342" spans="1:3" x14ac:dyDescent="0.25">
      <c r="A342" s="212"/>
      <c r="B342" s="219" t="str">
        <f>"Денежный поток от ОД на "&amp;E55&amp;" шаге = Чистая прибыль + Амортизация = "&amp;C329&amp;" + 0 = "</f>
        <v xml:space="preserve">Денежный поток от ОД на 0 шаге = Чистая прибыль + Амортизация = 0 + 0 = </v>
      </c>
      <c r="C342" s="201">
        <v>0</v>
      </c>
    </row>
    <row r="343" spans="1:3" x14ac:dyDescent="0.25">
      <c r="A343" s="212"/>
      <c r="B343" s="219" t="str">
        <f>"Денежный поток от ОД на "&amp;E56&amp;" шаге = Чистая прибыль + Амортизация = "&amp;C330&amp;" + 0 = "</f>
        <v xml:space="preserve">Денежный поток от ОД на 1 шаге = Чистая прибыль + Амортизация = 0 + 0 = </v>
      </c>
      <c r="C343" s="201">
        <v>0</v>
      </c>
    </row>
    <row r="344" spans="1:3" x14ac:dyDescent="0.25">
      <c r="A344" s="212"/>
      <c r="B344" s="219" t="str">
        <f>"Денежный поток от ОД на "&amp;E57&amp;" шаге = Чистая прибыль + Амортизация = "&amp;ROUND(C331,2)&amp;" + "&amp;F$24&amp;" = "</f>
        <v xml:space="preserve">Денежный поток от ОД на 2 шаге = Чистая прибыль + Амортизация = -20186441,43 + 1866646,8 = </v>
      </c>
      <c r="C344" s="201">
        <f>C318+F$24</f>
        <v>-14416114.628648985</v>
      </c>
    </row>
    <row r="345" spans="1:3" x14ac:dyDescent="0.25">
      <c r="A345" s="212"/>
      <c r="B345" s="219" t="str">
        <f>"Денежный поток от ОД на "&amp;E58&amp;" шаге = Чистая прибыль + Амортизация = "&amp;ROUND(C332,2)&amp;" + "&amp;F$24&amp;" = "</f>
        <v xml:space="preserve">Денежный поток от ОД на 3 шаге = Чистая прибыль + Амортизация = 294568,57 + 1866646,8 = </v>
      </c>
      <c r="C345" s="201">
        <f t="shared" ref="C345:C352" si="50">C319+F$24</f>
        <v>8348189.6570808049</v>
      </c>
    </row>
    <row r="346" spans="1:3" x14ac:dyDescent="0.25">
      <c r="A346" s="212"/>
      <c r="B346" s="219" t="str">
        <f>"Денежный поток от ОД на "&amp;E59&amp;" шаге = Чистая прибыль + Амортизация = "&amp;ROUND(C333,2)&amp;" + "&amp;F$24&amp;" = "</f>
        <v xml:space="preserve">Денежный поток от ОД на 4 шаге = Чистая прибыль + Амортизация = 24812866,86 + 1866646,8 = </v>
      </c>
      <c r="C346" s="201">
        <f t="shared" si="50"/>
        <v>37609817.657080814</v>
      </c>
    </row>
    <row r="347" spans="1:3" x14ac:dyDescent="0.25">
      <c r="A347" s="212"/>
      <c r="B347" s="219" t="str">
        <f>"Денежный поток от ОД на "&amp;E60&amp;" шаге = Чистая прибыль + Амортизация = "&amp;ROUND(C334,2)&amp;" + "&amp;F$24&amp;" = "</f>
        <v xml:space="preserve">Денежный поток от ОД на 5 шаге = Чистая прибыль + Амортизация = 41197674,86 + 1866646,8 = </v>
      </c>
      <c r="C347" s="201">
        <f t="shared" si="50"/>
        <v>57117569.65708077</v>
      </c>
    </row>
    <row r="348" spans="1:3" x14ac:dyDescent="0.25">
      <c r="A348" s="212"/>
      <c r="B348" s="219" t="str">
        <f>"Денежный поток от ОД на "&amp;E61&amp;" шаге = Чистая прибыль + Амортизация = "&amp;ROUND(C335,2)&amp;" + "&amp;F$24&amp;" = "</f>
        <v xml:space="preserve">Денежный поток от ОД на 6 шаге = Чистая прибыль + Амортизация = 49390078,86 + 1866646,8 = </v>
      </c>
      <c r="C348" s="201">
        <f t="shared" si="50"/>
        <v>66871445.657080792</v>
      </c>
    </row>
    <row r="349" spans="1:3" x14ac:dyDescent="0.25">
      <c r="A349" s="212"/>
      <c r="B349" s="219" t="str">
        <f>"Денежный поток от ОД на "&amp;E62&amp;" шаге = Чистая прибыль + Амортизация = "&amp;ROUND(C336,2)&amp;" + "&amp;F$24&amp;" = "</f>
        <v xml:space="preserve">Денежный поток от ОД на 7 шаге = Чистая прибыль + Амортизация = 49390078,86 + 1866646,8 = </v>
      </c>
      <c r="C349" s="201">
        <f t="shared" si="50"/>
        <v>66871445.657080792</v>
      </c>
    </row>
    <row r="350" spans="1:3" x14ac:dyDescent="0.25">
      <c r="A350" s="212"/>
      <c r="B350" s="219" t="str">
        <f>"Денежный поток от ОД на "&amp;E63&amp;" шаге = Чистая прибыль + Амортизация = "&amp;ROUND(C337,2)&amp;" + "&amp;F$24&amp;" = "</f>
        <v xml:space="preserve">Денежный поток от ОД на 8 шаге = Чистая прибыль + Амортизация = 49390078,86 + 1866646,8 = </v>
      </c>
      <c r="C350" s="201">
        <f t="shared" si="50"/>
        <v>66871445.657080792</v>
      </c>
    </row>
    <row r="351" spans="1:3" x14ac:dyDescent="0.25">
      <c r="A351" s="212"/>
      <c r="B351" s="219" t="str">
        <f>"Денежный поток от ОД на "&amp;E64&amp;" шаге = Чистая прибыль + Амортизация = "&amp;ROUND(C338,2)&amp;" + "&amp;F$24&amp;" = "</f>
        <v xml:space="preserve">Денежный поток от ОД на 9 шаге = Чистая прибыль + Амортизация = 49390078,86 + 1866646,8 = </v>
      </c>
      <c r="C351" s="201">
        <f t="shared" si="50"/>
        <v>66871445.657080792</v>
      </c>
    </row>
    <row r="352" spans="1:3" x14ac:dyDescent="0.25">
      <c r="A352" s="212"/>
      <c r="B352" s="219" t="str">
        <f>"Денежный поток от ОД на "&amp;E65&amp;" шаге = Чистая прибыль + Амортизация = "&amp;ROUND(C339,2)&amp;" + "&amp;F$24&amp;" = "</f>
        <v xml:space="preserve">Денежный поток от ОД на 10 шаге = Чистая прибыль + Амортизация = 49390078,86 + 1866646,8 = </v>
      </c>
      <c r="C352" s="201">
        <f t="shared" si="50"/>
        <v>66871445.657080792</v>
      </c>
    </row>
    <row r="353" spans="1:3" ht="15.75" thickBot="1" x14ac:dyDescent="0.3">
      <c r="A353" s="212"/>
      <c r="B353" s="219"/>
      <c r="C353" s="212"/>
    </row>
    <row r="354" spans="1:3" ht="15.75" thickBot="1" x14ac:dyDescent="0.3">
      <c r="A354" s="212"/>
      <c r="B354" s="220" t="s">
        <v>395</v>
      </c>
      <c r="C354" s="212"/>
    </row>
    <row r="355" spans="1:3" x14ac:dyDescent="0.25">
      <c r="A355" s="212"/>
      <c r="B355" s="219" t="str">
        <f>"Денежный поток от ОД на "&amp;E55&amp;" шаге = Чистая прибыль + Амортизация = "&amp;C342&amp;" + 0 = "</f>
        <v xml:space="preserve">Денежный поток от ОД на 0 шаге = Чистая прибыль + Амортизация = 0 + 0 = </v>
      </c>
      <c r="C355" s="201">
        <v>0</v>
      </c>
    </row>
    <row r="356" spans="1:3" x14ac:dyDescent="0.25">
      <c r="A356" s="212"/>
      <c r="B356" s="219" t="str">
        <f>"Денежный поток от ОД на "&amp;E56&amp;" шаге = Чистая прибыль + Амортизация = "&amp;C343&amp;" + 0 = "</f>
        <v xml:space="preserve">Денежный поток от ОД на 1 шаге = Чистая прибыль + Амортизация = 0 + 0 = </v>
      </c>
      <c r="C356" s="201">
        <v>0</v>
      </c>
    </row>
    <row r="357" spans="1:3" x14ac:dyDescent="0.25">
      <c r="A357" s="212"/>
      <c r="B357" s="219" t="str">
        <f>"Денежный поток от ОД на "&amp;E57&amp;" шаге = Чистая прибыль + Амортизация = "&amp;C344&amp;" + 0 = "</f>
        <v xml:space="preserve">Денежный поток от ОД на 2 шаге = Чистая прибыль + Амортизация = -14416114,628649 + 0 = </v>
      </c>
      <c r="C357" s="201">
        <f>C331+F$24</f>
        <v>-18319794.628648985</v>
      </c>
    </row>
    <row r="358" spans="1:3" x14ac:dyDescent="0.25">
      <c r="A358" s="212"/>
      <c r="B358" s="219" t="str">
        <f>"Денежный поток от ОД на "&amp;E58&amp;" шаге = Чистая прибыль + Амортизация = "&amp;C345&amp;" + 0 = "</f>
        <v xml:space="preserve">Денежный поток от ОД на 3 шаге = Чистая прибыль + Амортизация = 8348189,6570808 + 0 = </v>
      </c>
      <c r="C358" s="201">
        <f t="shared" ref="C358:C365" si="51">C332+F$24</f>
        <v>2161215.3713510064</v>
      </c>
    </row>
    <row r="359" spans="1:3" x14ac:dyDescent="0.25">
      <c r="A359" s="212"/>
      <c r="B359" s="219" t="str">
        <f>"Денежный поток от ОД на "&amp;E59&amp;" шаге = Чистая прибыль + Амортизация = "&amp;C346&amp;" + 0 = "</f>
        <v xml:space="preserve">Денежный поток от ОД на 4 шаге = Чистая прибыль + Амортизация = 37609817,6570808 + 0 = </v>
      </c>
      <c r="C359" s="201">
        <f t="shared" si="51"/>
        <v>26679513.657080818</v>
      </c>
    </row>
    <row r="360" spans="1:3" x14ac:dyDescent="0.25">
      <c r="A360" s="212"/>
      <c r="B360" s="219" t="str">
        <f>"Денежный поток от ОД на "&amp;E60&amp;" шаге = Чистая прибыль + Амортизация = "&amp;C347&amp;" + 0 = "</f>
        <v xml:space="preserve">Денежный поток от ОД на 5 шаге = Чистая прибыль + Амортизация = 57117569,6570808 + 0 = </v>
      </c>
      <c r="C360" s="201">
        <f t="shared" si="51"/>
        <v>43064321.65708077</v>
      </c>
    </row>
    <row r="361" spans="1:3" x14ac:dyDescent="0.25">
      <c r="A361" s="212"/>
      <c r="B361" s="219" t="str">
        <f>"Денежный поток от ОД на "&amp;E61&amp;" шаге = Чистая прибыль + Амортизация = "&amp;C348&amp;" + 0 = "</f>
        <v xml:space="preserve">Денежный поток от ОД на 6 шаге = Чистая прибыль + Амортизация = 66871445,6570808 + 0 = </v>
      </c>
      <c r="C361" s="201">
        <f t="shared" si="51"/>
        <v>51256725.657080792</v>
      </c>
    </row>
    <row r="362" spans="1:3" x14ac:dyDescent="0.25">
      <c r="A362" s="212"/>
      <c r="B362" s="219" t="str">
        <f>"Денежный поток от ОД на "&amp;E62&amp;" шаге = Чистая прибыль + Амортизация = "&amp;C349&amp;" + 0 = "</f>
        <v xml:space="preserve">Денежный поток от ОД на 7 шаге = Чистая прибыль + Амортизация = 66871445,6570808 + 0 = </v>
      </c>
      <c r="C362" s="201">
        <f t="shared" si="51"/>
        <v>51256725.657080792</v>
      </c>
    </row>
    <row r="363" spans="1:3" x14ac:dyDescent="0.25">
      <c r="A363" s="212"/>
      <c r="B363" s="219" t="str">
        <f>"Денежный поток от ОД на "&amp;E63&amp;" шаге = Чистая прибыль + Амортизация = "&amp;C350&amp;" + 0 = "</f>
        <v xml:space="preserve">Денежный поток от ОД на 8 шаге = Чистая прибыль + Амортизация = 66871445,6570808 + 0 = </v>
      </c>
      <c r="C363" s="201">
        <f t="shared" si="51"/>
        <v>51256725.657080792</v>
      </c>
    </row>
    <row r="364" spans="1:3" x14ac:dyDescent="0.25">
      <c r="A364" s="212"/>
      <c r="B364" s="219" t="str">
        <f>"Денежный поток от ОД на "&amp;E64&amp;" шаге = Чистая прибыль + Амортизация = "&amp;C351&amp;" + 0 = "</f>
        <v xml:space="preserve">Денежный поток от ОД на 9 шаге = Чистая прибыль + Амортизация = 66871445,6570808 + 0 = </v>
      </c>
      <c r="C364" s="201">
        <f t="shared" si="51"/>
        <v>51256725.657080792</v>
      </c>
    </row>
    <row r="365" spans="1:3" x14ac:dyDescent="0.25">
      <c r="A365" s="212"/>
      <c r="B365" s="219" t="str">
        <f>"Денежный поток от ОД на "&amp;E65&amp;" шаге = Чистая прибыль + Амортизация = "&amp;C352&amp;" + 0 = "</f>
        <v xml:space="preserve">Денежный поток от ОД на 10 шаге = Чистая прибыль + Амортизация = 66871445,6570808 + 0 = </v>
      </c>
      <c r="C365" s="201">
        <f t="shared" si="51"/>
        <v>51256725.657080792</v>
      </c>
    </row>
    <row r="366" spans="1:3" ht="15.75" thickBot="1" x14ac:dyDescent="0.3">
      <c r="A366" s="212"/>
      <c r="B366" s="219"/>
      <c r="C366" s="212"/>
    </row>
    <row r="367" spans="1:3" ht="15.75" thickBot="1" x14ac:dyDescent="0.3">
      <c r="A367" s="212"/>
      <c r="B367" s="221" t="s">
        <v>394</v>
      </c>
      <c r="C367" s="212"/>
    </row>
    <row r="368" spans="1:3" x14ac:dyDescent="0.25">
      <c r="A368" s="212"/>
      <c r="B368" s="219" t="str">
        <f>"ДП проекта на "&amp;E55&amp;" шаге = "&amp;B$32&amp;" + "&amp;B$28&amp;" = "&amp;C342&amp;" + "&amp;D$32&amp;" ="</f>
        <v>ДП проекта на 0 шаге = денежный поток (ДП) от ИД + денежный поток от ОД = 0 + -87599403 =</v>
      </c>
      <c r="C368" s="201">
        <f>D$30</f>
        <v>-87599403</v>
      </c>
    </row>
    <row r="369" spans="1:3" x14ac:dyDescent="0.25">
      <c r="A369" s="212"/>
      <c r="B369" s="219" t="str">
        <f>"ДП проекта на "&amp;E56&amp;" шаге = "&amp;B$32&amp;" + "&amp;B$28&amp;" = "&amp;C343&amp;" + "&amp;E$32&amp;" ="</f>
        <v>ДП проекта на 1 шаге = денежный поток (ДП) от ИД + денежный поток от ОД = 0 + -6396300 =</v>
      </c>
      <c r="C369" s="201">
        <f>E$30</f>
        <v>-6396300</v>
      </c>
    </row>
    <row r="370" spans="1:3" x14ac:dyDescent="0.25">
      <c r="A370" s="212"/>
      <c r="B370" s="219" t="str">
        <f>"ДП проекта на "&amp;E57&amp;" шаге = "&amp;B$32&amp;" + "&amp;B$28&amp;" = "&amp;ROUND(C344,2)&amp;" + "&amp;F$32&amp;" ="</f>
        <v>ДП проекта на 2 шаге = денежный поток (ДП) от ИД + денежный поток от ОД = -14416114,63 + 0 =</v>
      </c>
      <c r="C370" s="201">
        <f>C344</f>
        <v>-14416114.628648985</v>
      </c>
    </row>
    <row r="371" spans="1:3" x14ac:dyDescent="0.25">
      <c r="A371" s="212"/>
      <c r="B371" s="219" t="str">
        <f>"ДП проекта на "&amp;E58&amp;" шаге = "&amp;B$32&amp;" + "&amp;B$28&amp;" = "&amp;ROUND(C345,2)&amp;" + "&amp;F$32&amp;" ="</f>
        <v>ДП проекта на 3 шаге = денежный поток (ДП) от ИД + денежный поток от ОД = 8348189,66 + 0 =</v>
      </c>
      <c r="C371" s="201">
        <f t="shared" ref="C371:C378" si="52">C345</f>
        <v>8348189.6570808049</v>
      </c>
    </row>
    <row r="372" spans="1:3" x14ac:dyDescent="0.25">
      <c r="A372" s="212"/>
      <c r="B372" s="219" t="str">
        <f>"ДП проекта на "&amp;E59&amp;" шаге = "&amp;B$32&amp;" + "&amp;B$28&amp;" = "&amp;ROUND(C346,2)&amp;" + "&amp;F$32&amp;" ="</f>
        <v>ДП проекта на 4 шаге = денежный поток (ДП) от ИД + денежный поток от ОД = 37609817,66 + 0 =</v>
      </c>
      <c r="C372" s="201">
        <f t="shared" si="52"/>
        <v>37609817.657080814</v>
      </c>
    </row>
    <row r="373" spans="1:3" x14ac:dyDescent="0.25">
      <c r="A373" s="212"/>
      <c r="B373" s="219" t="str">
        <f>"ДП проекта на "&amp;E60&amp;" шаге = "&amp;B$32&amp;" + "&amp;B$28&amp;" = "&amp;ROUND(C347,2)&amp;" + "&amp;F$32&amp;" ="</f>
        <v>ДП проекта на 5 шаге = денежный поток (ДП) от ИД + денежный поток от ОД = 57117569,66 + 0 =</v>
      </c>
      <c r="C373" s="201">
        <f t="shared" si="52"/>
        <v>57117569.65708077</v>
      </c>
    </row>
    <row r="374" spans="1:3" x14ac:dyDescent="0.25">
      <c r="A374" s="212"/>
      <c r="B374" s="219" t="str">
        <f>"ДП проекта на "&amp;E61&amp;" шаге = "&amp;B$32&amp;" + "&amp;B$28&amp;" = "&amp;ROUND(C348,2)&amp;" + "&amp;F$32&amp;" ="</f>
        <v>ДП проекта на 6 шаге = денежный поток (ДП) от ИД + денежный поток от ОД = 66871445,66 + 0 =</v>
      </c>
      <c r="C374" s="201">
        <f t="shared" si="52"/>
        <v>66871445.657080792</v>
      </c>
    </row>
    <row r="375" spans="1:3" x14ac:dyDescent="0.25">
      <c r="A375" s="212"/>
      <c r="B375" s="219" t="str">
        <f>"ДП проекта на "&amp;E62&amp;" шаге = "&amp;B$32&amp;" + "&amp;B$28&amp;" = "&amp;ROUND(C349,2)&amp;" + "&amp;F$32&amp;" ="</f>
        <v>ДП проекта на 7 шаге = денежный поток (ДП) от ИД + денежный поток от ОД = 66871445,66 + 0 =</v>
      </c>
      <c r="C375" s="201">
        <f t="shared" si="52"/>
        <v>66871445.657080792</v>
      </c>
    </row>
    <row r="376" spans="1:3" x14ac:dyDescent="0.25">
      <c r="A376" s="212"/>
      <c r="B376" s="219" t="str">
        <f>"ДП проекта на "&amp;E63&amp;" шаге = "&amp;B$32&amp;" + "&amp;B$28&amp;" = "&amp;ROUND(C350,2)&amp;" + "&amp;F$32&amp;" ="</f>
        <v>ДП проекта на 8 шаге = денежный поток (ДП) от ИД + денежный поток от ОД = 66871445,66 + 0 =</v>
      </c>
      <c r="C376" s="201">
        <f t="shared" si="52"/>
        <v>66871445.657080792</v>
      </c>
    </row>
    <row r="377" spans="1:3" x14ac:dyDescent="0.25">
      <c r="A377" s="212"/>
      <c r="B377" s="219" t="str">
        <f>"ДП проекта на "&amp;E64&amp;" шаге = "&amp;B$32&amp;" + "&amp;B$28&amp;" = "&amp;ROUND(C351,2)&amp;" + "&amp;F$32&amp;" ="</f>
        <v>ДП проекта на 9 шаге = денежный поток (ДП) от ИД + денежный поток от ОД = 66871445,66 + 0 =</v>
      </c>
      <c r="C377" s="201">
        <f t="shared" si="52"/>
        <v>66871445.657080792</v>
      </c>
    </row>
    <row r="378" spans="1:3" x14ac:dyDescent="0.25">
      <c r="A378" s="212"/>
      <c r="B378" s="219" t="str">
        <f>"ДП проекта на "&amp;E65&amp;" шаге = "&amp;B$32&amp;" + "&amp;B$28&amp;" = "&amp;ROUND(C352,2)&amp;" + "&amp;F$32&amp;" ="</f>
        <v>ДП проекта на 10 шаге = денежный поток (ДП) от ИД + денежный поток от ОД = 66871445,66 + 0 =</v>
      </c>
      <c r="C378" s="201">
        <f t="shared" si="52"/>
        <v>66871445.657080792</v>
      </c>
    </row>
    <row r="379" spans="1:3" ht="15.75" thickBot="1" x14ac:dyDescent="0.3">
      <c r="A379" s="212"/>
      <c r="B379" s="219"/>
      <c r="C379" s="212"/>
    </row>
    <row r="380" spans="1:3" ht="15.75" thickBot="1" x14ac:dyDescent="0.3">
      <c r="A380" s="212"/>
      <c r="B380" s="220" t="s">
        <v>395</v>
      </c>
      <c r="C380" s="212"/>
    </row>
    <row r="381" spans="1:3" x14ac:dyDescent="0.25">
      <c r="A381" s="212"/>
      <c r="B381" s="219" t="str">
        <f>"ДП проекта на "&amp;E55&amp;" шаге = "&amp;B$32&amp;" + "&amp;B$28&amp;" = "&amp;C355&amp;" + "&amp;D$32&amp;" ="</f>
        <v>ДП проекта на 0 шаге = денежный поток (ДП) от ИД + денежный поток от ОД = 0 + -87599403 =</v>
      </c>
      <c r="C381" s="201">
        <f>D$30</f>
        <v>-87599403</v>
      </c>
    </row>
    <row r="382" spans="1:3" x14ac:dyDescent="0.25">
      <c r="A382" s="212"/>
      <c r="B382" s="219" t="str">
        <f>"ДП проекта на "&amp;E56&amp;" шаге = "&amp;B$32&amp;" + "&amp;B$28&amp;" = "&amp;C356&amp;" + "&amp;D$32&amp;" ="</f>
        <v>ДП проекта на 1 шаге = денежный поток (ДП) от ИД + денежный поток от ОД = 0 + -87599403 =</v>
      </c>
      <c r="C382" s="201">
        <f>E$30</f>
        <v>-6396300</v>
      </c>
    </row>
    <row r="383" spans="1:3" x14ac:dyDescent="0.25">
      <c r="A383" s="212"/>
      <c r="B383" s="219" t="str">
        <f>"ДП проекта на "&amp;E57&amp;" шаге = "&amp;B$32&amp;" + "&amp;B$28&amp;" = "&amp;C357&amp;" + "&amp;D$32&amp;" ="</f>
        <v>ДП проекта на 2 шаге = денежный поток (ДП) от ИД + денежный поток от ОД = -18319794,628649 + -87599403 =</v>
      </c>
      <c r="C383" s="201">
        <f>C357</f>
        <v>-18319794.628648985</v>
      </c>
    </row>
    <row r="384" spans="1:3" x14ac:dyDescent="0.25">
      <c r="A384" s="212"/>
      <c r="B384" s="219" t="str">
        <f>"ДП проекта на "&amp;E58&amp;" шаге = "&amp;B$32&amp;" + "&amp;B$28&amp;" = "&amp;C358&amp;" + "&amp;D$32&amp;" ="</f>
        <v>ДП проекта на 3 шаге = денежный поток (ДП) от ИД + денежный поток от ОД = 2161215,37135101 + -87599403 =</v>
      </c>
      <c r="C384" s="201">
        <f t="shared" ref="C384:C391" si="53">C358</f>
        <v>2161215.3713510064</v>
      </c>
    </row>
    <row r="385" spans="1:3" x14ac:dyDescent="0.25">
      <c r="A385" s="212"/>
      <c r="B385" s="219" t="str">
        <f>"ДП проекта на "&amp;E59&amp;" шаге = "&amp;B$32&amp;" + "&amp;B$28&amp;" = "&amp;C359&amp;" + "&amp;D$32&amp;" ="</f>
        <v>ДП проекта на 4 шаге = денежный поток (ДП) от ИД + денежный поток от ОД = 26679513,6570808 + -87599403 =</v>
      </c>
      <c r="C385" s="201">
        <f t="shared" si="53"/>
        <v>26679513.657080818</v>
      </c>
    </row>
    <row r="386" spans="1:3" x14ac:dyDescent="0.25">
      <c r="A386" s="212"/>
      <c r="B386" s="219" t="str">
        <f>"ДП проекта на "&amp;E60&amp;" шаге = "&amp;B$32&amp;" + "&amp;B$28&amp;" = "&amp;C360&amp;" + "&amp;D$32&amp;" ="</f>
        <v>ДП проекта на 5 шаге = денежный поток (ДП) от ИД + денежный поток от ОД = 43064321,6570808 + -87599403 =</v>
      </c>
      <c r="C386" s="201">
        <f t="shared" si="53"/>
        <v>43064321.65708077</v>
      </c>
    </row>
    <row r="387" spans="1:3" x14ac:dyDescent="0.25">
      <c r="A387" s="212"/>
      <c r="B387" s="219" t="str">
        <f>"ДП проекта на "&amp;E61&amp;" шаге = "&amp;B$32&amp;" + "&amp;B$28&amp;" = "&amp;C361&amp;" + "&amp;D$32&amp;" ="</f>
        <v>ДП проекта на 6 шаге = денежный поток (ДП) от ИД + денежный поток от ОД = 51256725,6570808 + -87599403 =</v>
      </c>
      <c r="C387" s="201">
        <f t="shared" si="53"/>
        <v>51256725.657080792</v>
      </c>
    </row>
    <row r="388" spans="1:3" x14ac:dyDescent="0.25">
      <c r="A388" s="212"/>
      <c r="B388" s="219" t="str">
        <f>"ДП проекта на "&amp;E62&amp;" шаге = "&amp;B$32&amp;" + "&amp;B$28&amp;" = "&amp;C362&amp;" + "&amp;D$32&amp;" ="</f>
        <v>ДП проекта на 7 шаге = денежный поток (ДП) от ИД + денежный поток от ОД = 51256725,6570808 + -87599403 =</v>
      </c>
      <c r="C388" s="201">
        <f t="shared" si="53"/>
        <v>51256725.657080792</v>
      </c>
    </row>
    <row r="389" spans="1:3" x14ac:dyDescent="0.25">
      <c r="A389" s="212"/>
      <c r="B389" s="219" t="str">
        <f>"ДП проекта на "&amp;E63&amp;" шаге = "&amp;B$32&amp;" + "&amp;B$28&amp;" = "&amp;C363&amp;" + "&amp;D$32&amp;" ="</f>
        <v>ДП проекта на 8 шаге = денежный поток (ДП) от ИД + денежный поток от ОД = 51256725,6570808 + -87599403 =</v>
      </c>
      <c r="C389" s="201">
        <f t="shared" si="53"/>
        <v>51256725.657080792</v>
      </c>
    </row>
    <row r="390" spans="1:3" x14ac:dyDescent="0.25">
      <c r="A390" s="212"/>
      <c r="B390" s="219" t="str">
        <f>"ДП проекта на "&amp;E64&amp;" шаге = "&amp;B$32&amp;" + "&amp;B$28&amp;" = "&amp;C364&amp;" + "&amp;D$32&amp;" ="</f>
        <v>ДП проекта на 9 шаге = денежный поток (ДП) от ИД + денежный поток от ОД = 51256725,6570808 + -87599403 =</v>
      </c>
      <c r="C390" s="201">
        <f t="shared" si="53"/>
        <v>51256725.657080792</v>
      </c>
    </row>
    <row r="391" spans="1:3" x14ac:dyDescent="0.25">
      <c r="A391" s="212"/>
      <c r="B391" s="219" t="str">
        <f>"ДП проекта на "&amp;E65&amp;" шаге = "&amp;B$32&amp;" + "&amp;B$28&amp;" = "&amp;C365&amp;" + "&amp;D$32&amp;" ="</f>
        <v>ДП проекта на 10 шаге = денежный поток (ДП) от ИД + денежный поток от ОД = 51256725,6570808 + -87599403 =</v>
      </c>
      <c r="C391" s="201">
        <f t="shared" si="53"/>
        <v>51256725.657080792</v>
      </c>
    </row>
    <row r="392" spans="1:3" ht="15.75" thickBot="1" x14ac:dyDescent="0.3">
      <c r="A392" s="212"/>
      <c r="B392" s="206"/>
      <c r="C392" s="212"/>
    </row>
    <row r="393" spans="1:3" ht="15.75" thickBot="1" x14ac:dyDescent="0.3">
      <c r="A393" s="212"/>
      <c r="B393" s="221" t="s">
        <v>394</v>
      </c>
      <c r="C393" s="212"/>
    </row>
    <row r="394" spans="1:3" x14ac:dyDescent="0.25">
      <c r="A394" s="212"/>
      <c r="B394" s="218" t="str">
        <f>B$36&amp;" на "&amp;E55&amp;" шаге = Коэффициент дисконтирования * ДП проекта = "&amp;F55&amp;" * "&amp;ROUND(C368,2)&amp;" ="</f>
        <v>дисконтированный ДП на 0 шаге = Коэффициент дисконтирования * ДП проекта = 1 * -87599403 =</v>
      </c>
      <c r="C394" s="201">
        <f>C368*F55</f>
        <v>-87599403</v>
      </c>
    </row>
    <row r="395" spans="1:3" x14ac:dyDescent="0.25">
      <c r="A395" s="212"/>
      <c r="B395" s="218" t="str">
        <f>B$36&amp;" на "&amp;E56&amp;" шаге = Коэффициент дисконтирования * ДП проекта = "&amp;F56&amp;" * "&amp;ROUND(C369,2)&amp;" ="</f>
        <v>дисконтированный ДП на 1 шаге = Коэффициент дисконтирования * ДП проекта = 0,833 * -6396300 =</v>
      </c>
      <c r="C395" s="201">
        <f>C369*F56</f>
        <v>-5328117.8999999994</v>
      </c>
    </row>
    <row r="396" spans="1:3" x14ac:dyDescent="0.25">
      <c r="A396" s="212"/>
      <c r="B396" s="218" t="str">
        <f>B$36&amp;" на "&amp;E57&amp;" шаге = Коэффициент дисконтирования * ДП проекта = "&amp;F57&amp;" * "&amp;ROUND(C370,2)&amp;" ="</f>
        <v>дисконтированный ДП на 2 шаге = Коэффициент дисконтирования * ДП проекта = 0,694 * -14416114,63 =</v>
      </c>
      <c r="C396" s="201">
        <f>C370*F57</f>
        <v>-10004783.552282395</v>
      </c>
    </row>
    <row r="397" spans="1:3" x14ac:dyDescent="0.25">
      <c r="A397" s="212"/>
      <c r="B397" s="218" t="str">
        <f>B$36&amp;" на "&amp;E58&amp;" шаге = Коэффициент дисконтирования * ДП проекта = "&amp;F58&amp;" * "&amp;ROUND(C371,2)&amp;" ="</f>
        <v>дисконтированный ДП на 3 шаге = Коэффициент дисконтирования * ДП проекта = 0,579 * 8348189,66 =</v>
      </c>
      <c r="C397" s="201">
        <f>C371*F58</f>
        <v>4833601.8114497857</v>
      </c>
    </row>
    <row r="398" spans="1:3" x14ac:dyDescent="0.25">
      <c r="A398" s="212"/>
      <c r="B398" s="218" t="str">
        <f>B$36&amp;" на "&amp;E59&amp;" шаге = Коэффициент дисконтирования * ДП проекта = "&amp;F59&amp;" * "&amp;ROUND(C372,2)&amp;" ="</f>
        <v>дисконтированный ДП на 4 шаге = Коэффициент дисконтирования * ДП проекта = 0,482 * 37609817,66 =</v>
      </c>
      <c r="C398" s="201">
        <f>C372*F59</f>
        <v>18127932.110712953</v>
      </c>
    </row>
    <row r="399" spans="1:3" x14ac:dyDescent="0.25">
      <c r="A399" s="212"/>
      <c r="B399" s="218" t="str">
        <f>B$36&amp;" на "&amp;E60&amp;" шаге = Коэффициент дисконтирования * ДП проекта = "&amp;F60&amp;" * "&amp;ROUND(C373,2)&amp;" ="</f>
        <v>дисконтированный ДП на 5 шаге = Коэффициент дисконтирования * ДП проекта = 0,402 * 57117569,66 =</v>
      </c>
      <c r="C399" s="201">
        <f>C373*F60</f>
        <v>22961263.002146471</v>
      </c>
    </row>
    <row r="400" spans="1:3" x14ac:dyDescent="0.25">
      <c r="A400" s="212"/>
      <c r="B400" s="218" t="str">
        <f>B$36&amp;" на "&amp;E61&amp;" шаге = Коэффициент дисконтирования * ДП проекта = "&amp;F61&amp;" * "&amp;ROUND(C374,2)&amp;" ="</f>
        <v>дисконтированный ДП на 6 шаге = Коэффициент дисконтирования * ДП проекта = 0,335 * 66871445,66 =</v>
      </c>
      <c r="C400" s="201">
        <f>C374*F61</f>
        <v>22401934.295122068</v>
      </c>
    </row>
    <row r="401" spans="1:3" x14ac:dyDescent="0.25">
      <c r="A401" s="212"/>
      <c r="B401" s="218" t="str">
        <f>B$36&amp;" на "&amp;E62&amp;" шаге = Коэффициент дисконтирования * ДП проекта = "&amp;F62&amp;" * "&amp;ROUND(C375,2)&amp;" ="</f>
        <v>дисконтированный ДП на 7 шаге = Коэффициент дисконтирования * ДП проекта = 0,279 * 66871445,66 =</v>
      </c>
      <c r="C401" s="201">
        <f>C375*F62</f>
        <v>18657133.338325541</v>
      </c>
    </row>
    <row r="402" spans="1:3" x14ac:dyDescent="0.25">
      <c r="A402" s="212"/>
      <c r="B402" s="218" t="str">
        <f>B$36&amp;" на "&amp;E63&amp;" шаге = Коэффициент дисконтирования * ДП проекта = "&amp;F63&amp;" * "&amp;ROUND(C376,2)&amp;" ="</f>
        <v>дисконтированный ДП на 8 шаге = Коэффициент дисконтирования * ДП проекта = 0,233 * 66871445,66 =</v>
      </c>
      <c r="C402" s="201">
        <f>C376*F63</f>
        <v>15581046.838099826</v>
      </c>
    </row>
    <row r="403" spans="1:3" x14ac:dyDescent="0.25">
      <c r="A403" s="212"/>
      <c r="B403" s="218" t="str">
        <f>B$36&amp;" на "&amp;E64&amp;" шаге = Коэффициент дисконтирования * ДП проекта = "&amp;F64&amp;" * "&amp;ROUND(C377,2)&amp;" ="</f>
        <v>дисконтированный ДП на 9 шаге = Коэффициент дисконтирования * ДП проекта = 0,194 * 66871445,66 =</v>
      </c>
      <c r="C403" s="201">
        <f>C377*F64</f>
        <v>12973060.457473675</v>
      </c>
    </row>
    <row r="404" spans="1:3" x14ac:dyDescent="0.25">
      <c r="A404" s="212"/>
      <c r="B404" s="218" t="str">
        <f>B$36&amp;" на "&amp;E65&amp;" шаге = Коэффициент дисконтирования * ДП проекта = "&amp;F65&amp;" * "&amp;ROUND(C378,2)&amp;" ="</f>
        <v>дисконтированный ДП на 10 шаге = Коэффициент дисконтирования * ДП проекта = 0,162 * 66871445,66 =</v>
      </c>
      <c r="C404" s="201">
        <f>C378*F65</f>
        <v>10833174.196447089</v>
      </c>
    </row>
    <row r="405" spans="1:3" ht="15.75" thickBot="1" x14ac:dyDescent="0.3">
      <c r="A405" s="212"/>
      <c r="B405" s="219"/>
      <c r="C405" s="212"/>
    </row>
    <row r="406" spans="1:3" ht="15.75" thickBot="1" x14ac:dyDescent="0.3">
      <c r="A406" s="212"/>
      <c r="B406" s="220" t="s">
        <v>395</v>
      </c>
      <c r="C406" s="212"/>
    </row>
    <row r="407" spans="1:3" x14ac:dyDescent="0.25">
      <c r="A407" s="212"/>
      <c r="B407" s="218" t="str">
        <f>B$36&amp;" на "&amp;E55&amp;" шаге = Коэффициент дисконтирования * ДП проекта = "&amp;F55&amp;" * "&amp;ROUND(C381,2)&amp;" ="</f>
        <v>дисконтированный ДП на 0 шаге = Коэффициент дисконтирования * ДП проекта = 1 * -87599403 =</v>
      </c>
      <c r="C407" s="201">
        <f>C381*F55</f>
        <v>-87599403</v>
      </c>
    </row>
    <row r="408" spans="1:3" x14ac:dyDescent="0.25">
      <c r="A408" s="212"/>
      <c r="B408" s="218" t="str">
        <f>B$36&amp;" на "&amp;E56&amp;" шаге = Коэффициент дисконтирования * ДП проекта = "&amp;F56&amp;" * "&amp;ROUND(C382,2)&amp;" ="</f>
        <v>дисконтированный ДП на 1 шаге = Коэффициент дисконтирования * ДП проекта = 0,833 * -6396300 =</v>
      </c>
      <c r="C408" s="201">
        <f>C382*F56</f>
        <v>-5328117.8999999994</v>
      </c>
    </row>
    <row r="409" spans="1:3" x14ac:dyDescent="0.25">
      <c r="A409" s="212"/>
      <c r="B409" s="218" t="str">
        <f>B$36&amp;" на "&amp;E57&amp;" шаге = Коэффициент дисконтирования * ДП проекта = "&amp;F57&amp;" * "&amp;ROUND(C383,2)&amp;" ="</f>
        <v>дисконтированный ДП на 2 шаге = Коэффициент дисконтирования * ДП проекта = 0,694 * -18319794,63 =</v>
      </c>
      <c r="C409" s="201">
        <f>C383*F57</f>
        <v>-12713937.472282395</v>
      </c>
    </row>
    <row r="410" spans="1:3" x14ac:dyDescent="0.25">
      <c r="A410" s="212"/>
      <c r="B410" s="218" t="str">
        <f>B$36&amp;" на "&amp;E58&amp;" шаге = Коэффициент дисконтирования * ДП проекта = "&amp;F58&amp;" * "&amp;ROUND(C384,2)&amp;" ="</f>
        <v>дисконтированный ДП на 3 шаге = Коэффициент дисконтирования * ДП проекта = 0,579 * 2161215,37 =</v>
      </c>
      <c r="C410" s="201">
        <f>C384*F58</f>
        <v>1251343.7000122326</v>
      </c>
    </row>
    <row r="411" spans="1:3" x14ac:dyDescent="0.25">
      <c r="A411" s="212"/>
      <c r="B411" s="218" t="str">
        <f>B$36&amp;" на "&amp;E59&amp;" шаге = Коэффициент дисконтирования * ДП проекта = "&amp;F59&amp;" * "&amp;ROUND(C385,2)&amp;" ="</f>
        <v>дисконтированный ДП на 4 шаге = Коэффициент дисконтирования * ДП проекта = 0,482 * 26679513,66 =</v>
      </c>
      <c r="C411" s="201">
        <f>C385*F59</f>
        <v>12859525.582712954</v>
      </c>
    </row>
    <row r="412" spans="1:3" x14ac:dyDescent="0.25">
      <c r="A412" s="212"/>
      <c r="B412" s="218" t="str">
        <f>B$36&amp;" на "&amp;E60&amp;" шаге = Коэффициент дисконтирования * ДП проекта = "&amp;F60&amp;" * "&amp;ROUND(C386,2)&amp;" ="</f>
        <v>дисконтированный ДП на 5 шаге = Коэффициент дисконтирования * ДП проекта = 0,402 * 43064321,66 =</v>
      </c>
      <c r="C412" s="201">
        <f>C386*F60</f>
        <v>17311857.306146469</v>
      </c>
    </row>
    <row r="413" spans="1:3" x14ac:dyDescent="0.25">
      <c r="A413" s="212"/>
      <c r="B413" s="218" t="str">
        <f>B$36&amp;" на "&amp;E61&amp;" шаге = Коэффициент дисконтирования * ДП проекта = "&amp;F61&amp;" * "&amp;ROUND(C387,2)&amp;" ="</f>
        <v>дисконтированный ДП на 6 шаге = Коэффициент дисконтирования * ДП проекта = 0,335 * 51256725,66 =</v>
      </c>
      <c r="C413" s="201">
        <f>C387*F61</f>
        <v>17171003.095122065</v>
      </c>
    </row>
    <row r="414" spans="1:3" x14ac:dyDescent="0.25">
      <c r="A414" s="212"/>
      <c r="B414" s="218" t="str">
        <f>B$36&amp;" на "&amp;E62&amp;" шаге = Коэффициент дисконтирования * ДП проекта = "&amp;F62&amp;" * "&amp;ROUND(C388,2)&amp;" ="</f>
        <v>дисконтированный ДП на 7 шаге = Коэффициент дисконтирования * ДП проекта = 0,279 * 51256725,66 =</v>
      </c>
      <c r="C414" s="201">
        <f>C388*F62</f>
        <v>14300626.458325543</v>
      </c>
    </row>
    <row r="415" spans="1:3" x14ac:dyDescent="0.25">
      <c r="A415" s="212"/>
      <c r="B415" s="218" t="str">
        <f>B$36&amp;" на "&amp;E63&amp;" шаге = Коэффициент дисконтирования * ДП проекта = "&amp;F63&amp;" * "&amp;ROUND(C389,2)&amp;" ="</f>
        <v>дисконтированный ДП на 8 шаге = Коэффициент дисконтирования * ДП проекта = 0,233 * 51256725,66 =</v>
      </c>
      <c r="C415" s="201">
        <f>C389*F63</f>
        <v>11942817.078099824</v>
      </c>
    </row>
    <row r="416" spans="1:3" x14ac:dyDescent="0.25">
      <c r="A416" s="212"/>
      <c r="B416" s="218" t="str">
        <f>B$36&amp;" на "&amp;E64&amp;" шаге = Коэффициент дисконтирования * ДП проекта = "&amp;F64&amp;" * "&amp;ROUND(C390,2)&amp;" ="</f>
        <v>дисконтированный ДП на 9 шаге = Коэффициент дисконтирования * ДП проекта = 0,194 * 51256725,66 =</v>
      </c>
      <c r="C416" s="201">
        <f>C390*F64</f>
        <v>9943804.7774736732</v>
      </c>
    </row>
    <row r="417" spans="1:3" x14ac:dyDescent="0.25">
      <c r="A417" s="212"/>
      <c r="B417" s="218" t="str">
        <f>B$36&amp;" на "&amp;E65&amp;" шаге = Коэффициент дисконтирования * ДП проекта = "&amp;F65&amp;" * "&amp;ROUND(C391,2)&amp;" ="</f>
        <v>дисконтированный ДП на 10 шаге = Коэффициент дисконтирования * ДП проекта = 0,162 * 51256725,66 =</v>
      </c>
      <c r="C417" s="201">
        <f>C391*F65</f>
        <v>8303589.5564470887</v>
      </c>
    </row>
    <row r="418" spans="1:3" ht="15.75" thickBot="1" x14ac:dyDescent="0.3">
      <c r="A418" s="212"/>
      <c r="B418" s="219"/>
      <c r="C418" s="212"/>
    </row>
    <row r="419" spans="1:3" ht="15.75" thickBot="1" x14ac:dyDescent="0.3">
      <c r="A419" s="212"/>
      <c r="B419" s="221" t="s">
        <v>394</v>
      </c>
      <c r="C419" s="212"/>
    </row>
    <row r="420" spans="1:3" x14ac:dyDescent="0.25">
      <c r="A420" s="212"/>
      <c r="B420" s="219" t="str">
        <f>B$37&amp;" на "&amp;E55&amp;" шаге = Дисконтрированный ДП на "&amp;E55&amp;" шаге"</f>
        <v>ДДП накопленным итогом ЧДД на 0 шаге = Дисконтрированный ДП на 0 шаге</v>
      </c>
      <c r="C420" s="201">
        <f>C394</f>
        <v>-87599403</v>
      </c>
    </row>
    <row r="421" spans="1:3" x14ac:dyDescent="0.25">
      <c r="A421" s="212"/>
      <c r="B421" s="219" t="str">
        <f>B$37&amp;" на "&amp;E56&amp;" шаге = "&amp;B$37&amp;" на "&amp;E55&amp;" шаге + Дисконтрированный ДП на "&amp;E56&amp;" шаге"</f>
        <v>ДДП накопленным итогом ЧДД на 1 шаге = ДДП накопленным итогом ЧДД на 0 шаге + Дисконтрированный ДП на 1 шаге</v>
      </c>
      <c r="C421" s="201">
        <f>C420+C395</f>
        <v>-92927520.900000006</v>
      </c>
    </row>
    <row r="422" spans="1:3" x14ac:dyDescent="0.25">
      <c r="A422" s="212"/>
      <c r="B422" s="219" t="str">
        <f>B$37&amp;" на "&amp;E57&amp;" шаге = "&amp;B$37&amp;" на "&amp;E56&amp;" шаге + Дисконтрированный ДП на "&amp;E57&amp;" шаге"</f>
        <v>ДДП накопленным итогом ЧДД на 2 шаге = ДДП накопленным итогом ЧДД на 1 шаге + Дисконтрированный ДП на 2 шаге</v>
      </c>
      <c r="C422" s="201">
        <f t="shared" ref="C422:C429" si="54">C421+C396</f>
        <v>-102932304.4522824</v>
      </c>
    </row>
    <row r="423" spans="1:3" x14ac:dyDescent="0.25">
      <c r="A423" s="212"/>
      <c r="B423" s="219" t="str">
        <f>B$37&amp;" на "&amp;E58&amp;" шаге = "&amp;B$37&amp;" на "&amp;E57&amp;" шаге + Дисконтрированный ДП на "&amp;E58&amp;" шаге"</f>
        <v>ДДП накопленным итогом ЧДД на 3 шаге = ДДП накопленным итогом ЧДД на 2 шаге + Дисконтрированный ДП на 3 шаге</v>
      </c>
      <c r="C423" s="201">
        <f t="shared" si="54"/>
        <v>-98098702.640832618</v>
      </c>
    </row>
    <row r="424" spans="1:3" x14ac:dyDescent="0.25">
      <c r="A424" s="212"/>
      <c r="B424" s="219" t="str">
        <f>B$37&amp;" на "&amp;E59&amp;" шаге = "&amp;B$37&amp;" на "&amp;E58&amp;" шаге + Дисконтрированный ДП на "&amp;E59&amp;" шаге"</f>
        <v>ДДП накопленным итогом ЧДД на 4 шаге = ДДП накопленным итогом ЧДД на 3 шаге + Дисконтрированный ДП на 4 шаге</v>
      </c>
      <c r="C424" s="201">
        <f t="shared" si="54"/>
        <v>-79970770.530119658</v>
      </c>
    </row>
    <row r="425" spans="1:3" x14ac:dyDescent="0.25">
      <c r="A425" s="212"/>
      <c r="B425" s="219" t="str">
        <f>B$37&amp;" на "&amp;E60&amp;" шаге = "&amp;B$37&amp;" на "&amp;E59&amp;" шаге + Дисконтрированный ДП на "&amp;E60&amp;" шаге"</f>
        <v>ДДП накопленным итогом ЧДД на 5 шаге = ДДП накопленным итогом ЧДД на 4 шаге + Дисконтрированный ДП на 5 шаге</v>
      </c>
      <c r="C425" s="201">
        <f t="shared" si="54"/>
        <v>-57009507.52797319</v>
      </c>
    </row>
    <row r="426" spans="1:3" x14ac:dyDescent="0.25">
      <c r="A426" s="212"/>
      <c r="B426" s="219" t="str">
        <f>B$37&amp;" на "&amp;E61&amp;" шаге = "&amp;B$37&amp;" на "&amp;E60&amp;" шаге + Дисконтрированный ДП на "&amp;E61&amp;" шаге"</f>
        <v>ДДП накопленным итогом ЧДД на 6 шаге = ДДП накопленным итогом ЧДД на 5 шаге + Дисконтрированный ДП на 6 шаге</v>
      </c>
      <c r="C426" s="201">
        <f t="shared" si="54"/>
        <v>-34607573.232851118</v>
      </c>
    </row>
    <row r="427" spans="1:3" x14ac:dyDescent="0.25">
      <c r="A427" s="212"/>
      <c r="B427" s="219" t="str">
        <f>B$37&amp;" на "&amp;E62&amp;" шаге = "&amp;B$37&amp;" на "&amp;E61&amp;" шаге + Дисконтрированный ДП на "&amp;E62&amp;" шаге"</f>
        <v>ДДП накопленным итогом ЧДД на 7 шаге = ДДП накопленным итогом ЧДД на 6 шаге + Дисконтрированный ДП на 7 шаге</v>
      </c>
      <c r="C427" s="201">
        <f t="shared" si="54"/>
        <v>-15950439.894525576</v>
      </c>
    </row>
    <row r="428" spans="1:3" x14ac:dyDescent="0.25">
      <c r="A428" s="212"/>
      <c r="B428" s="219" t="str">
        <f>B$37&amp;" на "&amp;E63&amp;" шаге = "&amp;B$37&amp;" на "&amp;E62&amp;" шаге + Дисконтрированный ДП на "&amp;E63&amp;" шаге"</f>
        <v>ДДП накопленным итогом ЧДД на 8 шаге = ДДП накопленным итогом ЧДД на 7 шаге + Дисконтрированный ДП на 8 шаге</v>
      </c>
      <c r="C428" s="201">
        <f t="shared" si="54"/>
        <v>-369393.05642575026</v>
      </c>
    </row>
    <row r="429" spans="1:3" x14ac:dyDescent="0.25">
      <c r="A429" s="212"/>
      <c r="B429" s="219" t="str">
        <f>B$37&amp;" на "&amp;E64&amp;" шаге = "&amp;B$37&amp;" на "&amp;E63&amp;" шаге + Дисконтрированный ДП на "&amp;E64&amp;" шаге"</f>
        <v>ДДП накопленным итогом ЧДД на 9 шаге = ДДП накопленным итогом ЧДД на 8 шаге + Дисконтрированный ДП на 9 шаге</v>
      </c>
      <c r="C429" s="201">
        <f t="shared" si="54"/>
        <v>12603667.401047925</v>
      </c>
    </row>
    <row r="430" spans="1:3" x14ac:dyDescent="0.25">
      <c r="A430" s="212"/>
      <c r="B430" s="219" t="str">
        <f>B$37&amp;" на "&amp;E65&amp;" шаге = "&amp;B$37&amp;" на "&amp;E64&amp;" шаге + Дисконтрированный ДП на "&amp;E65&amp;" шаге"</f>
        <v>ДДП накопленным итогом ЧДД на 10 шаге = ДДП накопленным итогом ЧДД на 9 шаге + Дисконтрированный ДП на 10 шаге</v>
      </c>
      <c r="C430" s="201">
        <f>C429+C404</f>
        <v>23436841.597495012</v>
      </c>
    </row>
    <row r="431" spans="1:3" ht="15.75" thickBot="1" x14ac:dyDescent="0.3">
      <c r="A431" s="212"/>
      <c r="B431" s="219"/>
      <c r="C431" s="212"/>
    </row>
    <row r="432" spans="1:3" ht="15.75" thickBot="1" x14ac:dyDescent="0.3">
      <c r="A432" s="212"/>
      <c r="B432" s="220" t="s">
        <v>395</v>
      </c>
      <c r="C432" s="212"/>
    </row>
    <row r="433" spans="1:3" x14ac:dyDescent="0.25">
      <c r="A433" s="212"/>
      <c r="B433" s="219" t="str">
        <f>B$37&amp;" на "&amp;E55&amp;" шаге = Дисконтрированный ДП на "&amp;E55&amp;" шаге"</f>
        <v>ДДП накопленным итогом ЧДД на 0 шаге = Дисконтрированный ДП на 0 шаге</v>
      </c>
      <c r="C433" s="201">
        <f>C407</f>
        <v>-87599403</v>
      </c>
    </row>
    <row r="434" spans="1:3" x14ac:dyDescent="0.25">
      <c r="A434" s="212"/>
      <c r="B434" s="219" t="str">
        <f>B$37&amp;" на "&amp;E56&amp;" шаге = "&amp;B$37&amp;" на "&amp;E55&amp;" шаге + Дисконтрированный ДП на "&amp;E56&amp;" шаге"</f>
        <v>ДДП накопленным итогом ЧДД на 1 шаге = ДДП накопленным итогом ЧДД на 0 шаге + Дисконтрированный ДП на 1 шаге</v>
      </c>
      <c r="C434" s="201">
        <f>C433+C408</f>
        <v>-92927520.900000006</v>
      </c>
    </row>
    <row r="435" spans="1:3" x14ac:dyDescent="0.25">
      <c r="A435" s="212"/>
      <c r="B435" s="219" t="str">
        <f>B$37&amp;" на "&amp;E57&amp;" шаге = "&amp;B$37&amp;" на "&amp;E56&amp;" шаге + Дисконтрированный ДП на "&amp;E57&amp;" шаге"</f>
        <v>ДДП накопленным итогом ЧДД на 2 шаге = ДДП накопленным итогом ЧДД на 1 шаге + Дисконтрированный ДП на 2 шаге</v>
      </c>
      <c r="C435" s="201">
        <f t="shared" ref="C435:C442" si="55">C434+C409</f>
        <v>-105641458.3722824</v>
      </c>
    </row>
    <row r="436" spans="1:3" x14ac:dyDescent="0.25">
      <c r="A436" s="212"/>
      <c r="B436" s="219" t="str">
        <f>B$37&amp;" на "&amp;E58&amp;" шаге = "&amp;B$37&amp;" на "&amp;E57&amp;" шаге + Дисконтрированный ДП на "&amp;E58&amp;" шаге"</f>
        <v>ДДП накопленным итогом ЧДД на 3 шаге = ДДП накопленным итогом ЧДД на 2 шаге + Дисконтрированный ДП на 3 шаге</v>
      </c>
      <c r="C436" s="201">
        <f t="shared" si="55"/>
        <v>-104390114.67227016</v>
      </c>
    </row>
    <row r="437" spans="1:3" x14ac:dyDescent="0.25">
      <c r="A437" s="212"/>
      <c r="B437" s="219" t="str">
        <f>B$37&amp;" на "&amp;E59&amp;" шаге = "&amp;B$37&amp;" на "&amp;E58&amp;" шаге + Дисконтрированный ДП на "&amp;E59&amp;" шаге"</f>
        <v>ДДП накопленным итогом ЧДД на 4 шаге = ДДП накопленным итогом ЧДД на 3 шаге + Дисконтрированный ДП на 4 шаге</v>
      </c>
      <c r="C437" s="201">
        <f t="shared" si="55"/>
        <v>-91530589.089557216</v>
      </c>
    </row>
    <row r="438" spans="1:3" x14ac:dyDescent="0.25">
      <c r="A438" s="212"/>
      <c r="B438" s="219" t="str">
        <f>B$37&amp;" на "&amp;E60&amp;" шаге = "&amp;B$37&amp;" на "&amp;E59&amp;" шаге + Дисконтрированный ДП на "&amp;E60&amp;" шаге"</f>
        <v>ДДП накопленным итогом ЧДД на 5 шаге = ДДП накопленным итогом ЧДД на 4 шаге + Дисконтрированный ДП на 5 шаге</v>
      </c>
      <c r="C438" s="201">
        <f t="shared" si="55"/>
        <v>-74218731.783410743</v>
      </c>
    </row>
    <row r="439" spans="1:3" x14ac:dyDescent="0.25">
      <c r="A439" s="212"/>
      <c r="B439" s="219" t="str">
        <f>B$37&amp;" на "&amp;E61&amp;" шаге = "&amp;B$37&amp;" на "&amp;E60&amp;" шаге + Дисконтрированный ДП на "&amp;E61&amp;" шаге"</f>
        <v>ДДП накопленным итогом ЧДД на 6 шаге = ДДП накопленным итогом ЧДД на 5 шаге + Дисконтрированный ДП на 6 шаге</v>
      </c>
      <c r="C439" s="201">
        <f t="shared" si="55"/>
        <v>-57047728.688288674</v>
      </c>
    </row>
    <row r="440" spans="1:3" x14ac:dyDescent="0.25">
      <c r="A440" s="212"/>
      <c r="B440" s="219" t="str">
        <f>B$37&amp;" на "&amp;E62&amp;" шаге = "&amp;B$37&amp;" на "&amp;E61&amp;" шаге + Дисконтрированный ДП на "&amp;E62&amp;" шаге"</f>
        <v>ДДП накопленным итогом ЧДД на 7 шаге = ДДП накопленным итогом ЧДД на 6 шаге + Дисконтрированный ДП на 7 шаге</v>
      </c>
      <c r="C440" s="201">
        <f t="shared" si="55"/>
        <v>-42747102.229963131</v>
      </c>
    </row>
    <row r="441" spans="1:3" x14ac:dyDescent="0.25">
      <c r="A441" s="212"/>
      <c r="B441" s="219" t="str">
        <f>B$37&amp;" на "&amp;E63&amp;" шаге = "&amp;B$37&amp;" на "&amp;E62&amp;" шаге + Дисконтрированный ДП на "&amp;E63&amp;" шаге"</f>
        <v>ДДП накопленным итогом ЧДД на 8 шаге = ДДП накопленным итогом ЧДД на 7 шаге + Дисконтрированный ДП на 8 шаге</v>
      </c>
      <c r="C441" s="201">
        <f t="shared" si="55"/>
        <v>-30804285.151863307</v>
      </c>
    </row>
    <row r="442" spans="1:3" x14ac:dyDescent="0.25">
      <c r="A442" s="212"/>
      <c r="B442" s="219" t="str">
        <f>B$37&amp;" на "&amp;E64&amp;" шаге = "&amp;B$37&amp;" на "&amp;E63&amp;" шаге + Дисконтрированный ДП на "&amp;E64&amp;" шаге"</f>
        <v>ДДП накопленным итогом ЧДД на 9 шаге = ДДП накопленным итогом ЧДД на 8 шаге + Дисконтрированный ДП на 9 шаге</v>
      </c>
      <c r="C442" s="201">
        <f t="shared" si="55"/>
        <v>-20860480.374389634</v>
      </c>
    </row>
    <row r="443" spans="1:3" x14ac:dyDescent="0.25">
      <c r="A443" s="212"/>
      <c r="B443" s="219" t="str">
        <f>B$37&amp;" на "&amp;E65&amp;" шаге = "&amp;B$37&amp;" на "&amp;E64&amp;" шаге + Дисконтрированный ДП на "&amp;E65&amp;" шаге"</f>
        <v>ДДП накопленным итогом ЧДД на 10 шаге = ДДП накопленным итогом ЧДД на 9 шаге + Дисконтрированный ДП на 10 шаге</v>
      </c>
      <c r="C443" s="201">
        <f>C442+C417</f>
        <v>-12556890.817942545</v>
      </c>
    </row>
    <row r="444" spans="1:3" ht="15.75" thickBot="1" x14ac:dyDescent="0.3">
      <c r="A444" s="212"/>
      <c r="B444" s="219"/>
      <c r="C444" s="212"/>
    </row>
    <row r="445" spans="1:3" ht="15.75" thickBot="1" x14ac:dyDescent="0.3">
      <c r="A445" s="212"/>
      <c r="B445" s="221" t="s">
        <v>394</v>
      </c>
      <c r="C445" s="212"/>
    </row>
    <row r="446" spans="1:3" x14ac:dyDescent="0.25">
      <c r="A446" s="212"/>
      <c r="B446" s="218" t="str">
        <f>B$39&amp;" на "&amp;E55&amp;" шаге = "&amp;B$38&amp;" * Коэффициент дисконтрирования = "&amp;C82&amp;" * "&amp;F55&amp;" ="</f>
        <v>Дисконтрированные притоки на 0 шаге = Притоки * Коэффициент дисконтрирования = 0 * 1 =</v>
      </c>
      <c r="C446" s="212">
        <f>C82*F55</f>
        <v>0</v>
      </c>
    </row>
    <row r="447" spans="1:3" x14ac:dyDescent="0.25">
      <c r="A447" s="212"/>
      <c r="B447" s="218" t="str">
        <f>B$39&amp;" на "&amp;E56&amp;" шаге = "&amp;B$38&amp;" * Коэффициент дисконтрирования = "&amp;C83&amp;" * "&amp;F56&amp;" ="</f>
        <v>Дисконтрированные притоки на 1 шаге = Притоки * Коэффициент дисконтрирования = 0 * 0,833 =</v>
      </c>
      <c r="C447" s="212">
        <f>C83*F56</f>
        <v>0</v>
      </c>
    </row>
    <row r="448" spans="1:3" x14ac:dyDescent="0.25">
      <c r="A448" s="212"/>
      <c r="B448" s="218" t="str">
        <f>B$39&amp;" на "&amp;E57&amp;" шаге = "&amp;B$38&amp;" * Коэффициент дисконтрирования = "&amp;C84&amp;" * "&amp;F57&amp;" ="</f>
        <v>Дисконтрированные притоки на 2 шаге = Притоки * Коэффициент дисконтрирования = 54839400 * 0,694 =</v>
      </c>
      <c r="C448" s="212">
        <f>C84*F57</f>
        <v>38058543.599999994</v>
      </c>
    </row>
    <row r="449" spans="1:3" x14ac:dyDescent="0.25">
      <c r="A449" s="212"/>
      <c r="B449" s="218" t="str">
        <f>B$39&amp;" на "&amp;E58&amp;" шаге = "&amp;B$38&amp;" * Коэффициент дисконтрирования = "&amp;C85&amp;" * "&amp;F58&amp;" ="</f>
        <v>Дисконтрированные притоки на 3 шаге = Притоки * Коэффициент дисконтрирования = 109678800 * 0,579 =</v>
      </c>
      <c r="C449" s="212">
        <f>C85*F58</f>
        <v>63504025.199999988</v>
      </c>
    </row>
    <row r="450" spans="1:3" x14ac:dyDescent="0.25">
      <c r="A450" s="212"/>
      <c r="B450" s="218" t="str">
        <f>B$39&amp;" на "&amp;E59&amp;" шаге = "&amp;B$38&amp;" * Коэффициент дисконтрирования = "&amp;C86&amp;" * "&amp;F59&amp;" ="</f>
        <v>Дисконтрированные притоки на 4 шаге = Притоки * Коэффициент дисконтрирования = 191937900 * 0,482 =</v>
      </c>
      <c r="C450" s="212">
        <f>C86*F59</f>
        <v>92514067.799999997</v>
      </c>
    </row>
    <row r="451" spans="1:3" x14ac:dyDescent="0.25">
      <c r="A451" s="212"/>
      <c r="B451" s="218" t="str">
        <f>B$39&amp;" на "&amp;E60&amp;" шаге = "&amp;B$38&amp;" * Коэффициент дисконтрирования = "&amp;C87&amp;" * "&amp;F60&amp;" ="</f>
        <v>Дисконтрированные притоки на 5 шаге = Притоки * Коэффициент дисконтрирования = 246777300 * 0,402 =</v>
      </c>
      <c r="C451" s="212">
        <f>C87*F60</f>
        <v>99204474.599999994</v>
      </c>
    </row>
    <row r="452" spans="1:3" x14ac:dyDescent="0.25">
      <c r="A452" s="212"/>
      <c r="B452" s="218" t="str">
        <f>B$39&amp;" на "&amp;E61&amp;" шаге = "&amp;B$38&amp;" * Коэффициент дисконтрирования = "&amp;C88&amp;" * "&amp;F61&amp;" ="</f>
        <v>Дисконтрированные притоки на 6 шаге = Притоки * Коэффициент дисконтрирования = 274197000 * 0,335 =</v>
      </c>
      <c r="C452" s="212">
        <f>C88*F61</f>
        <v>91855995</v>
      </c>
    </row>
    <row r="453" spans="1:3" x14ac:dyDescent="0.25">
      <c r="A453" s="212"/>
      <c r="B453" s="218" t="str">
        <f>B$39&amp;" на "&amp;E62&amp;" шаге = "&amp;B$38&amp;" * Коэффициент дисконтрирования = "&amp;C89&amp;" * "&amp;F62&amp;" ="</f>
        <v>Дисконтрированные притоки на 7 шаге = Притоки * Коэффициент дисконтрирования = 274197000 * 0,279 =</v>
      </c>
      <c r="C453" s="212">
        <f>C89*F62</f>
        <v>76500963</v>
      </c>
    </row>
    <row r="454" spans="1:3" x14ac:dyDescent="0.25">
      <c r="A454" s="212"/>
      <c r="B454" s="218" t="str">
        <f>B$39&amp;" на "&amp;E63&amp;" шаге = "&amp;B$38&amp;" * Коэффициент дисконтрирования = "&amp;C90&amp;" * "&amp;F63&amp;" ="</f>
        <v>Дисконтрированные притоки на 8 шаге = Притоки * Коэффициент дисконтрирования = 274197000 * 0,233 =</v>
      </c>
      <c r="C454" s="212">
        <f>C90*F63</f>
        <v>63887901</v>
      </c>
    </row>
    <row r="455" spans="1:3" x14ac:dyDescent="0.25">
      <c r="A455" s="212"/>
      <c r="B455" s="218" t="str">
        <f>B$39&amp;" на "&amp;E64&amp;" шаге = "&amp;B$38&amp;" * Коэффициент дисконтрирования = "&amp;C91&amp;" * "&amp;F64&amp;" ="</f>
        <v>Дисконтрированные притоки на 9 шаге = Притоки * Коэффициент дисконтрирования = 274197000 * 0,194 =</v>
      </c>
      <c r="C455" s="212">
        <f>C91*F64</f>
        <v>53194218</v>
      </c>
    </row>
    <row r="456" spans="1:3" x14ac:dyDescent="0.25">
      <c r="A456" s="212"/>
      <c r="B456" s="218" t="str">
        <f>B$39&amp;" на "&amp;E65&amp;" шаге = "&amp;B$38&amp;" * Коэффициент дисконтрирования = "&amp;C92&amp;" * "&amp;F65&amp;" ="</f>
        <v>Дисконтрированные притоки на 10 шаге = Притоки * Коэффициент дисконтрирования = 274197000 * 0,162 =</v>
      </c>
      <c r="C456" s="212">
        <f>C92*F65</f>
        <v>44419914</v>
      </c>
    </row>
    <row r="457" spans="1:3" ht="15.75" thickBot="1" x14ac:dyDescent="0.3">
      <c r="A457" s="212"/>
      <c r="B457" s="218" t="s">
        <v>436</v>
      </c>
      <c r="C457" s="212">
        <f>SUM(C446:C456)</f>
        <v>623140102.19999993</v>
      </c>
    </row>
    <row r="458" spans="1:3" ht="15.75" thickBot="1" x14ac:dyDescent="0.3">
      <c r="A458" s="212"/>
      <c r="B458" s="220" t="s">
        <v>395</v>
      </c>
      <c r="C458" s="212"/>
    </row>
    <row r="459" spans="1:3" x14ac:dyDescent="0.25">
      <c r="A459" s="212"/>
      <c r="B459" s="218" t="str">
        <f>B$39&amp;" на "&amp;E55&amp;" шаге = "&amp;B$38&amp;" * Коэффициент дисконтрирования = "&amp;C95&amp;" * "&amp;F55&amp;" ="</f>
        <v>Дисконтрированные притоки на 0 шаге = Притоки * Коэффициент дисконтрирования = 0 * 1 =</v>
      </c>
      <c r="C459" s="212">
        <f>C95*F55</f>
        <v>0</v>
      </c>
    </row>
    <row r="460" spans="1:3" x14ac:dyDescent="0.25">
      <c r="A460" s="212"/>
      <c r="B460" s="218" t="str">
        <f>B$39&amp;" на "&amp;E56&amp;" шаге = "&amp;B$38&amp;" * Коэффициент дисконтрирования = "&amp;C96&amp;" * "&amp;F56&amp;" ="</f>
        <v>Дисконтрированные притоки на 1 шаге = Притоки * Коэффициент дисконтрирования = 0 * 0,833 =</v>
      </c>
      <c r="C460" s="212">
        <f>C96*F56</f>
        <v>0</v>
      </c>
    </row>
    <row r="461" spans="1:3" x14ac:dyDescent="0.25">
      <c r="A461" s="212"/>
      <c r="B461" s="218" t="str">
        <f>B$39&amp;" на "&amp;E57&amp;" шаге = "&amp;B$38&amp;" * Коэффициент дисконтрирования = "&amp;C97&amp;" * "&amp;F57&amp;" ="</f>
        <v>Дисконтрированные притоки на 2 шаге = Притоки * Коэффициент дисконтрирования = 54839400 * 0,694 =</v>
      </c>
      <c r="C461" s="212">
        <f>C97*F57</f>
        <v>38058543.599999994</v>
      </c>
    </row>
    <row r="462" spans="1:3" x14ac:dyDescent="0.25">
      <c r="A462" s="212"/>
      <c r="B462" s="218" t="str">
        <f>B$39&amp;" на "&amp;E58&amp;" шаге = "&amp;B$38&amp;" * Коэффициент дисконтрирования = "&amp;C98&amp;" * "&amp;F58&amp;" ="</f>
        <v>Дисконтрированные притоки на 3 шаге = Притоки * Коэффициент дисконтрирования = 109678800 * 0,579 =</v>
      </c>
      <c r="C462" s="212">
        <f>C98*F58</f>
        <v>63504025.199999988</v>
      </c>
    </row>
    <row r="463" spans="1:3" x14ac:dyDescent="0.25">
      <c r="A463" s="212"/>
      <c r="B463" s="218" t="str">
        <f>B$39&amp;" на "&amp;E59&amp;" шаге = "&amp;B$38&amp;" * Коэффициент дисконтрирования = "&amp;C99&amp;" * "&amp;F59&amp;" ="</f>
        <v>Дисконтрированные притоки на 4 шаге = Притоки * Коэффициент дисконтрирования = 191937900 * 0,482 =</v>
      </c>
      <c r="C463" s="212">
        <f>C99*F59</f>
        <v>92514067.799999997</v>
      </c>
    </row>
    <row r="464" spans="1:3" x14ac:dyDescent="0.25">
      <c r="A464" s="212"/>
      <c r="B464" s="218" t="str">
        <f>B$39&amp;" на "&amp;E60&amp;" шаге = "&amp;B$38&amp;" * Коэффициент дисконтрирования = "&amp;C100&amp;" * "&amp;F60&amp;" ="</f>
        <v>Дисконтрированные притоки на 5 шаге = Притоки * Коэффициент дисконтрирования = 246777300 * 0,402 =</v>
      </c>
      <c r="C464" s="212">
        <f>C100*F60</f>
        <v>99204474.599999994</v>
      </c>
    </row>
    <row r="465" spans="1:3" x14ac:dyDescent="0.25">
      <c r="A465" s="212"/>
      <c r="B465" s="218" t="str">
        <f>B$39&amp;" на "&amp;E61&amp;" шаге = "&amp;B$38&amp;" * Коэффициент дисконтрирования = "&amp;C101&amp;" * "&amp;F61&amp;" ="</f>
        <v>Дисконтрированные притоки на 6 шаге = Притоки * Коэффициент дисконтрирования = 274197000 * 0,335 =</v>
      </c>
      <c r="C465" s="212">
        <f>C101*F61</f>
        <v>91855995</v>
      </c>
    </row>
    <row r="466" spans="1:3" x14ac:dyDescent="0.25">
      <c r="A466" s="212"/>
      <c r="B466" s="218" t="str">
        <f>B$39&amp;" на "&amp;E62&amp;" шаге = "&amp;B$38&amp;" * Коэффициент дисконтрирования = "&amp;C102&amp;" * "&amp;F62&amp;" ="</f>
        <v>Дисконтрированные притоки на 7 шаге = Притоки * Коэффициент дисконтрирования = 274197000 * 0,279 =</v>
      </c>
      <c r="C466" s="212">
        <f>C102*F62</f>
        <v>76500963</v>
      </c>
    </row>
    <row r="467" spans="1:3" x14ac:dyDescent="0.25">
      <c r="A467" s="212"/>
      <c r="B467" s="218" t="str">
        <f>B$39&amp;" на "&amp;E63&amp;" шаге = "&amp;B$38&amp;" * Коэффициент дисконтрирования = "&amp;C103&amp;" * "&amp;F63&amp;" ="</f>
        <v>Дисконтрированные притоки на 8 шаге = Притоки * Коэффициент дисконтрирования = 274197000 * 0,233 =</v>
      </c>
      <c r="C467" s="212">
        <f>C103*F63</f>
        <v>63887901</v>
      </c>
    </row>
    <row r="468" spans="1:3" x14ac:dyDescent="0.25">
      <c r="A468" s="212"/>
      <c r="B468" s="218" t="str">
        <f>B$39&amp;" на "&amp;E64&amp;" шаге = "&amp;B$38&amp;" * Коэффициент дисконтрирования = "&amp;C104&amp;" * "&amp;F64&amp;" ="</f>
        <v>Дисконтрированные притоки на 9 шаге = Притоки * Коэффициент дисконтрирования = 274197000 * 0,194 =</v>
      </c>
      <c r="C468" s="212">
        <f>C104*F64</f>
        <v>53194218</v>
      </c>
    </row>
    <row r="469" spans="1:3" x14ac:dyDescent="0.25">
      <c r="A469" s="212"/>
      <c r="B469" s="218" t="str">
        <f>B$39&amp;" на "&amp;E65&amp;" шаге = "&amp;B$38&amp;" * Коэффициент дисконтрирования = "&amp;C105&amp;" * "&amp;F65&amp;" ="</f>
        <v>Дисконтрированные притоки на 10 шаге = Притоки * Коэффициент дисконтрирования = 274197000 * 0,162 =</v>
      </c>
      <c r="C469" s="212">
        <f>C105*F65</f>
        <v>44419914</v>
      </c>
    </row>
    <row r="470" spans="1:3" ht="15.75" thickBot="1" x14ac:dyDescent="0.3">
      <c r="A470" s="212"/>
      <c r="B470" s="218" t="s">
        <v>436</v>
      </c>
      <c r="C470" s="212">
        <f>SUM(C459:C469)</f>
        <v>623140102.19999993</v>
      </c>
    </row>
    <row r="471" spans="1:3" ht="15.75" thickBot="1" x14ac:dyDescent="0.3">
      <c r="A471" s="212"/>
      <c r="B471" s="221" t="s">
        <v>394</v>
      </c>
      <c r="C471" s="212"/>
    </row>
    <row r="472" spans="1:3" x14ac:dyDescent="0.25">
      <c r="A472" s="212"/>
      <c r="B472" s="219" t="str">
        <f>B$41&amp;" на "&amp;E55&amp;"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72" s="201">
        <f>C238-D$23-C290-D$30</f>
        <v>87599403</v>
      </c>
    </row>
    <row r="473" spans="1:3" x14ac:dyDescent="0.25">
      <c r="A473" s="212"/>
      <c r="B473" s="219" t="str">
        <f>B$41&amp;" на "&amp;E56&amp;"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73" s="201">
        <f>C239-E$23-C291-E$30</f>
        <v>6396300</v>
      </c>
    </row>
    <row r="474" spans="1:3" x14ac:dyDescent="0.25">
      <c r="A474" s="212"/>
      <c r="B474" s="219" t="str">
        <f>B$41&amp;" на "&amp;E57&amp;"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74" s="201">
        <f>C240-F$23-C292-F$30</f>
        <v>-17485994.628648981</v>
      </c>
    </row>
    <row r="475" spans="1:3" x14ac:dyDescent="0.25">
      <c r="A475" s="212"/>
      <c r="B475" s="219" t="str">
        <f>B$41&amp;" на "&amp;E58&amp;"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75" s="201">
        <f t="shared" ref="C475:C482" si="56">C241-F$23-C293-F$30</f>
        <v>2208429.657080817</v>
      </c>
    </row>
    <row r="476" spans="1:3" x14ac:dyDescent="0.25">
      <c r="A476" s="212"/>
      <c r="B476" s="219" t="str">
        <f>B$41&amp;" на "&amp;E59&amp;"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76" s="201">
        <f t="shared" si="56"/>
        <v>26865237.657080814</v>
      </c>
    </row>
    <row r="477" spans="1:3" x14ac:dyDescent="0.25">
      <c r="A477" s="212"/>
      <c r="B477" s="219" t="str">
        <f>B$41&amp;" на "&amp;E60&amp;"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77" s="201">
        <f t="shared" si="56"/>
        <v>43303109.657080829</v>
      </c>
    </row>
    <row r="478" spans="1:3" x14ac:dyDescent="0.25">
      <c r="A478" s="212"/>
      <c r="B478" s="219" t="str">
        <f>B$41&amp;" на "&amp;E61&amp;"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78" s="201">
        <f t="shared" si="56"/>
        <v>51522045.657080822</v>
      </c>
    </row>
    <row r="479" spans="1:3" x14ac:dyDescent="0.25">
      <c r="A479" s="212"/>
      <c r="B479" s="219" t="str">
        <f>B$41&amp;" на "&amp;E62&amp;"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79" s="201">
        <f t="shared" si="56"/>
        <v>51522045.657080822</v>
      </c>
    </row>
    <row r="480" spans="1:3" x14ac:dyDescent="0.25">
      <c r="A480" s="212"/>
      <c r="B480" s="219" t="str">
        <f>B$41&amp;" на "&amp;E63&amp;"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80" s="201">
        <f t="shared" si="56"/>
        <v>51522045.657080822</v>
      </c>
    </row>
    <row r="481" spans="1:3" x14ac:dyDescent="0.25">
      <c r="A481" s="212"/>
      <c r="B481" s="219" t="str">
        <f>B$41&amp;" на "&amp;E64&amp;"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81" s="201">
        <f t="shared" si="56"/>
        <v>51522045.657080822</v>
      </c>
    </row>
    <row r="482" spans="1:3" x14ac:dyDescent="0.25">
      <c r="A482" s="212"/>
      <c r="B482" s="219" t="str">
        <f>B$41&amp;" на "&amp;E65&amp;"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82" s="201">
        <f t="shared" si="56"/>
        <v>51522045.657080822</v>
      </c>
    </row>
    <row r="483" spans="1:3" ht="15.75" thickBot="1" x14ac:dyDescent="0.3">
      <c r="A483" s="212"/>
      <c r="B483" s="219"/>
      <c r="C483" s="212"/>
    </row>
    <row r="484" spans="1:3" ht="15.75" thickBot="1" x14ac:dyDescent="0.3">
      <c r="A484" s="212"/>
      <c r="B484" s="220" t="s">
        <v>395</v>
      </c>
      <c r="C484" s="212"/>
    </row>
    <row r="485" spans="1:3" x14ac:dyDescent="0.25">
      <c r="A485" s="212"/>
      <c r="B485" s="219" t="str">
        <f>B$41&amp;" на "&amp;E55&amp;"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85" s="201">
        <f>C251-D$23-C303-D$30</f>
        <v>87599403</v>
      </c>
    </row>
    <row r="486" spans="1:3" x14ac:dyDescent="0.25">
      <c r="A486" s="212"/>
      <c r="B486" s="219" t="str">
        <f>B$41&amp;" на "&amp;E56&amp;"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86" s="201">
        <f>C252-E$23-C304-E$30</f>
        <v>6396300</v>
      </c>
    </row>
    <row r="487" spans="1:3" x14ac:dyDescent="0.25">
      <c r="A487" s="212"/>
      <c r="B487" s="219" t="str">
        <f>B$41&amp;" на "&amp;E57&amp;"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87" s="201">
        <f>C253-F$23-C305-F$30</f>
        <v>-13582314.628648981</v>
      </c>
    </row>
    <row r="488" spans="1:3" x14ac:dyDescent="0.25">
      <c r="A488" s="212"/>
      <c r="B488" s="219" t="str">
        <f>B$41&amp;" на "&amp;E58&amp;"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88" s="201">
        <f t="shared" ref="C488:C495" si="57">C254-F$23-C306-F$30</f>
        <v>11636175.371351019</v>
      </c>
    </row>
    <row r="489" spans="1:3" x14ac:dyDescent="0.25">
      <c r="A489" s="212"/>
      <c r="B489" s="219" t="str">
        <f>B$41&amp;" на "&amp;E59&amp;"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89" s="201">
        <f t="shared" si="57"/>
        <v>43260693.657080814</v>
      </c>
    </row>
    <row r="490" spans="1:3" x14ac:dyDescent="0.25">
      <c r="A490" s="212"/>
      <c r="B490" s="219" t="str">
        <f>B$41&amp;" на "&amp;E60&amp;"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90" s="201">
        <f t="shared" si="57"/>
        <v>64382981.657080844</v>
      </c>
    </row>
    <row r="491" spans="1:3" x14ac:dyDescent="0.25">
      <c r="A491" s="212"/>
      <c r="B491" s="219" t="str">
        <f>B$41&amp;" на "&amp;E61&amp;"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91" s="201">
        <f t="shared" si="57"/>
        <v>74944125.657080829</v>
      </c>
    </row>
    <row r="492" spans="1:3" x14ac:dyDescent="0.25">
      <c r="A492" s="212"/>
      <c r="B492" s="219" t="str">
        <f>B$41&amp;" на "&amp;E62&amp;"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92" s="201">
        <f t="shared" si="57"/>
        <v>74944125.657080829</v>
      </c>
    </row>
    <row r="493" spans="1:3" x14ac:dyDescent="0.25">
      <c r="A493" s="212"/>
      <c r="B493" s="219" t="str">
        <f>B$41&amp;" на "&amp;E63&amp;"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93" s="201">
        <f t="shared" si="57"/>
        <v>74944125.657080829</v>
      </c>
    </row>
    <row r="494" spans="1:3" x14ac:dyDescent="0.25">
      <c r="A494" s="212"/>
      <c r="B494" s="219" t="str">
        <f>B$41&amp;" на "&amp;E64&amp;"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94" s="201">
        <f t="shared" si="57"/>
        <v>74944125.657080829</v>
      </c>
    </row>
    <row r="495" spans="1:3" x14ac:dyDescent="0.25">
      <c r="A495" s="212"/>
      <c r="B495" s="219" t="str">
        <f>B$41&amp;" на "&amp;E65&amp;"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95" s="201">
        <f t="shared" si="57"/>
        <v>74944125.657080829</v>
      </c>
    </row>
    <row r="496" spans="1:3" ht="15.75" thickBot="1" x14ac:dyDescent="0.3">
      <c r="A496" s="212"/>
      <c r="B496" s="219"/>
      <c r="C496" s="212"/>
    </row>
    <row r="497" spans="1:3" ht="15.75" thickBot="1" x14ac:dyDescent="0.3">
      <c r="A497" s="212"/>
      <c r="B497" s="221" t="s">
        <v>394</v>
      </c>
      <c r="C497" s="212"/>
    </row>
    <row r="498" spans="1:3" x14ac:dyDescent="0.25">
      <c r="A498" s="212"/>
      <c r="B498" s="219" t="str">
        <f>B$42&amp;" на "&amp;E55&amp;" шаге = Оттоки * Коэффициент дисконтирования = "&amp;ROUND(C485,2)&amp;" * "&amp;F55&amp;" ="</f>
        <v>Дисконтрированные оттоки на 0 шаге = Оттоки * Коэффициент дисконтирования = 87599403 * 1 =</v>
      </c>
      <c r="C498" s="201">
        <f>C472*F55</f>
        <v>87599403</v>
      </c>
    </row>
    <row r="499" spans="1:3" x14ac:dyDescent="0.25">
      <c r="A499" s="212"/>
      <c r="B499" s="219" t="str">
        <f>B$42&amp;" на "&amp;E56&amp;" шаге = Оттоки * Коэффициент дисконтирования = "&amp;ROUND(C486,2)&amp;" * "&amp;F56&amp;" ="</f>
        <v>Дисконтрированные оттоки на 1 шаге = Оттоки * Коэффициент дисконтирования = 6396300 * 0,833 =</v>
      </c>
      <c r="C499" s="201">
        <f>C473*F56</f>
        <v>5328117.8999999994</v>
      </c>
    </row>
    <row r="500" spans="1:3" x14ac:dyDescent="0.25">
      <c r="A500" s="212"/>
      <c r="B500" s="219" t="str">
        <f>B$42&amp;" на "&amp;E57&amp;" шаге = Оттоки * Коэффициент дисконтирования = "&amp;ROUND(C487,2)&amp;" * "&amp;F57&amp;" ="</f>
        <v>Дисконтрированные оттоки на 2 шаге = Оттоки * Коэффициент дисконтирования = -13582314,63 * 0,694 =</v>
      </c>
      <c r="C500" s="201">
        <f>C474*F57</f>
        <v>-12135280.272282392</v>
      </c>
    </row>
    <row r="501" spans="1:3" x14ac:dyDescent="0.25">
      <c r="A501" s="212"/>
      <c r="B501" s="219" t="str">
        <f>B$42&amp;" на "&amp;E58&amp;" шаге = Оттоки * Коэффициент дисконтирования = "&amp;ROUND(C488,2)&amp;" * "&amp;F58&amp;" ="</f>
        <v>Дисконтрированные оттоки на 3 шаге = Оттоки * Коэффициент дисконтирования = 11636175,37 * 0,579 =</v>
      </c>
      <c r="C501" s="201">
        <f>C475*F58</f>
        <v>1278680.7714497929</v>
      </c>
    </row>
    <row r="502" spans="1:3" x14ac:dyDescent="0.25">
      <c r="A502" s="212"/>
      <c r="B502" s="219" t="str">
        <f>B$42&amp;" на "&amp;E59&amp;" шаге = Оттоки * Коэффициент дисконтирования = "&amp;ROUND(C489,2)&amp;" * "&amp;F59&amp;" ="</f>
        <v>Дисконтрированные оттоки на 4 шаге = Оттоки * Коэффициент дисконтирования = 43260693,66 * 0,482 =</v>
      </c>
      <c r="C502" s="201">
        <f>C476*F59</f>
        <v>12949044.550712952</v>
      </c>
    </row>
    <row r="503" spans="1:3" x14ac:dyDescent="0.25">
      <c r="A503" s="212"/>
      <c r="B503" s="219" t="str">
        <f>B$42&amp;" на "&amp;E60&amp;" шаге = Оттоки * Коэффициент дисконтирования = "&amp;ROUND(C490,2)&amp;" * "&amp;F60&amp;" ="</f>
        <v>Дисконтрированные оттоки на 5 шаге = Оттоки * Коэффициент дисконтирования = 64382981,66 * 0,402 =</v>
      </c>
      <c r="C503" s="201">
        <f>C477*F60</f>
        <v>17407850.082146496</v>
      </c>
    </row>
    <row r="504" spans="1:3" x14ac:dyDescent="0.25">
      <c r="A504" s="212"/>
      <c r="B504" s="219" t="str">
        <f>B$42&amp;" на "&amp;E61&amp;" шаге = Оттоки * Коэффициент дисконтирования = "&amp;ROUND(C491,2)&amp;" * "&amp;F61&amp;" ="</f>
        <v>Дисконтрированные оттоки на 6 шаге = Оттоки * Коэффициент дисконтирования = 74944125,66 * 0,335 =</v>
      </c>
      <c r="C504" s="201">
        <f>C478*F61</f>
        <v>17259885.295122076</v>
      </c>
    </row>
    <row r="505" spans="1:3" x14ac:dyDescent="0.25">
      <c r="A505" s="212"/>
      <c r="B505" s="219" t="str">
        <f>B$42&amp;" на "&amp;E62&amp;" шаге = Оттоки * Коэффициент дисконтирования = "&amp;ROUND(C492,2)&amp;" * "&amp;F62&amp;" ="</f>
        <v>Дисконтрированные оттоки на 7 шаге = Оттоки * Коэффициент дисконтирования = 74944125,66 * 0,279 =</v>
      </c>
      <c r="C505" s="201">
        <f>C479*F62</f>
        <v>14374650.738325551</v>
      </c>
    </row>
    <row r="506" spans="1:3" x14ac:dyDescent="0.25">
      <c r="A506" s="212"/>
      <c r="B506" s="219" t="str">
        <f>B$42&amp;" на "&amp;E63&amp;" шаге = Оттоки * Коэффициент дисконтирования = "&amp;ROUND(C493,2)&amp;" * "&amp;F63&amp;" ="</f>
        <v>Дисконтрированные оттоки на 8 шаге = Оттоки * Коэффициент дисконтирования = 74944125,66 * 0,233 =</v>
      </c>
      <c r="C506" s="201">
        <f>C480*F63</f>
        <v>12004636.638099832</v>
      </c>
    </row>
    <row r="507" spans="1:3" x14ac:dyDescent="0.25">
      <c r="A507" s="212"/>
      <c r="B507" s="219" t="str">
        <f>B$42&amp;" на "&amp;E64&amp;" шаге = Оттоки * Коэффициент дисконтирования = "&amp;ROUND(C494,2)&amp;" * "&amp;F64&amp;" ="</f>
        <v>Дисконтрированные оттоки на 9 шаге = Оттоки * Коэффициент дисконтирования = 74944125,66 * 0,194 =</v>
      </c>
      <c r="C507" s="201">
        <f>C481*F64</f>
        <v>9995276.8574736789</v>
      </c>
    </row>
    <row r="508" spans="1:3" x14ac:dyDescent="0.25">
      <c r="A508" s="212"/>
      <c r="B508" s="219" t="str">
        <f>B$42&amp;" на "&amp;E65&amp;" шаге = Оттоки * Коэффициент дисконтирования = "&amp;ROUND(C495,2)&amp;" * "&amp;F65&amp;" ="</f>
        <v>Дисконтрированные оттоки на 10 шаге = Оттоки * Коэффициент дисконтирования = 74944125,66 * 0,162 =</v>
      </c>
      <c r="C508" s="201">
        <f>C482*F65</f>
        <v>8346571.3964470932</v>
      </c>
    </row>
    <row r="509" spans="1:3" ht="15.75" thickBot="1" x14ac:dyDescent="0.3">
      <c r="A509" s="212"/>
      <c r="B509" s="219" t="str">
        <f>B43&amp;" = "</f>
        <v xml:space="preserve">Сумма дисконтрированных оттоков = </v>
      </c>
      <c r="C509" s="201">
        <f>SUM(C498:C508)</f>
        <v>174408836.95749506</v>
      </c>
    </row>
    <row r="510" spans="1:3" ht="15.75" thickBot="1" x14ac:dyDescent="0.3">
      <c r="A510" s="212"/>
      <c r="B510" s="220" t="s">
        <v>395</v>
      </c>
      <c r="C510" s="212"/>
    </row>
    <row r="511" spans="1:3" x14ac:dyDescent="0.25">
      <c r="A511" s="212"/>
      <c r="B511" s="219" t="str">
        <f>B$42&amp;" на "&amp;E55&amp;" шаге = Оттоки * Коэффициент дисконтирования = "&amp;ROUND(C498,2)&amp;" * "&amp;F55&amp;" ="</f>
        <v>Дисконтрированные оттоки на 0 шаге = Оттоки * Коэффициент дисконтирования = 87599403 * 1 =</v>
      </c>
      <c r="C511" s="201">
        <f>C485*F55</f>
        <v>87599403</v>
      </c>
    </row>
    <row r="512" spans="1:3" x14ac:dyDescent="0.25">
      <c r="A512" s="212"/>
      <c r="B512" s="219" t="str">
        <f>B$42&amp;" на "&amp;E56&amp;" шаге = Оттоки * Коэффициент дисконтирования = "&amp;ROUND(C499,2)&amp;" * "&amp;F56&amp;" ="</f>
        <v>Дисконтрированные оттоки на 1 шаге = Оттоки * Коэффициент дисконтирования = 5328117,9 * 0,833 =</v>
      </c>
      <c r="C512" s="201">
        <f>C486*F56</f>
        <v>5328117.8999999994</v>
      </c>
    </row>
    <row r="513" spans="1:3" x14ac:dyDescent="0.25">
      <c r="A513" s="212"/>
      <c r="B513" s="219" t="str">
        <f>B$42&amp;" на "&amp;E57&amp;" шаге = Оттоки * Коэффициент дисконтирования = "&amp;ROUND(C500,2)&amp;" * "&amp;F57&amp;" ="</f>
        <v>Дисконтрированные оттоки на 2 шаге = Оттоки * Коэффициент дисконтирования = -12135280,27 * 0,694 =</v>
      </c>
      <c r="C513" s="201">
        <f>C487*F57</f>
        <v>-9426126.3522823919</v>
      </c>
    </row>
    <row r="514" spans="1:3" x14ac:dyDescent="0.25">
      <c r="A514" s="212"/>
      <c r="B514" s="219" t="str">
        <f>B$42&amp;" на "&amp;E58&amp;" шаге = Оттоки * Коэффициент дисконтирования = "&amp;ROUND(C501,2)&amp;" * "&amp;F58&amp;" ="</f>
        <v>Дисконтрированные оттоки на 3 шаге = Оттоки * Коэффициент дисконтирования = 1278680,77 * 0,579 =</v>
      </c>
      <c r="C514" s="201">
        <f>C488*F58</f>
        <v>6737345.5400122395</v>
      </c>
    </row>
    <row r="515" spans="1:3" x14ac:dyDescent="0.25">
      <c r="A515" s="212"/>
      <c r="B515" s="219" t="str">
        <f>B$42&amp;" на "&amp;E59&amp;" шаге = Оттоки * Коэффициент дисконтирования = "&amp;ROUND(C502,2)&amp;" * "&amp;F59&amp;" ="</f>
        <v>Дисконтрированные оттоки на 4 шаге = Оттоки * Коэффициент дисконтирования = 12949044,55 * 0,482 =</v>
      </c>
      <c r="C515" s="201">
        <f>C489*F59</f>
        <v>20851654.34271295</v>
      </c>
    </row>
    <row r="516" spans="1:3" x14ac:dyDescent="0.25">
      <c r="A516" s="212"/>
      <c r="B516" s="219" t="str">
        <f>B$42&amp;" на "&amp;E60&amp;" шаге = Оттоки * Коэффициент дисконтирования = "&amp;ROUND(C503,2)&amp;" * "&amp;F60&amp;" ="</f>
        <v>Дисконтрированные оттоки на 5 шаге = Оттоки * Коэффициент дисконтирования = 17407850,08 * 0,402 =</v>
      </c>
      <c r="C516" s="201">
        <f>C490*F60</f>
        <v>25881958.626146499</v>
      </c>
    </row>
    <row r="517" spans="1:3" x14ac:dyDescent="0.25">
      <c r="A517" s="212"/>
      <c r="B517" s="219" t="str">
        <f>B$42&amp;" на "&amp;E61&amp;" шаге = Оттоки * Коэффициент дисконтирования = "&amp;ROUND(C504,2)&amp;" * "&amp;F61&amp;" ="</f>
        <v>Дисконтрированные оттоки на 6 шаге = Оттоки * Коэффициент дисконтирования = 17259885,3 * 0,335 =</v>
      </c>
      <c r="C517" s="201">
        <f>C491*F61</f>
        <v>25106282.09512208</v>
      </c>
    </row>
    <row r="518" spans="1:3" x14ac:dyDescent="0.25">
      <c r="A518" s="212"/>
      <c r="B518" s="219" t="str">
        <f>B$42&amp;" на "&amp;E62&amp;" шаге = Оттоки * Коэффициент дисконтирования = "&amp;ROUND(C505,2)&amp;" * "&amp;F62&amp;" ="</f>
        <v>Дисконтрированные оттоки на 7 шаге = Оттоки * Коэффициент дисконтирования = 14374650,74 * 0,279 =</v>
      </c>
      <c r="C518" s="201">
        <f>C492*F62</f>
        <v>20909411.058325551</v>
      </c>
    </row>
    <row r="519" spans="1:3" x14ac:dyDescent="0.25">
      <c r="A519" s="212"/>
      <c r="B519" s="219" t="str">
        <f>B$42&amp;" на "&amp;E63&amp;" шаге = Оттоки * Коэффициент дисконтирования = "&amp;ROUND(C506,2)&amp;" * "&amp;F63&amp;" ="</f>
        <v>Дисконтрированные оттоки на 8 шаге = Оттоки * Коэффициент дисконтирования = 12004636,64 * 0,233 =</v>
      </c>
      <c r="C519" s="201">
        <f>C493*F63</f>
        <v>17461981.278099835</v>
      </c>
    </row>
    <row r="520" spans="1:3" x14ac:dyDescent="0.25">
      <c r="A520" s="212"/>
      <c r="B520" s="219" t="str">
        <f>B$42&amp;" на "&amp;E64&amp;" шаге = Оттоки * Коэффициент дисконтирования = "&amp;ROUND(C507,2)&amp;" * "&amp;F64&amp;" ="</f>
        <v>Дисконтрированные оттоки на 9 шаге = Оттоки * Коэффициент дисконтирования = 9995276,86 * 0,194 =</v>
      </c>
      <c r="C520" s="201">
        <f>C494*F64</f>
        <v>14539160.377473682</v>
      </c>
    </row>
    <row r="521" spans="1:3" x14ac:dyDescent="0.25">
      <c r="A521" s="212"/>
      <c r="B521" s="219" t="str">
        <f>B$42&amp;" на "&amp;E65&amp;" шаге = Оттоки * Коэффициент дисконтирования = "&amp;ROUND(C508,2)&amp;" * "&amp;F65&amp;" ="</f>
        <v>Дисконтрированные оттоки на 10 шаге = Оттоки * Коэффициент дисконтирования = 8346571,4 * 0,162 =</v>
      </c>
      <c r="C521" s="201">
        <f>C495*F65</f>
        <v>12140948.356447095</v>
      </c>
    </row>
    <row r="522" spans="1:3" x14ac:dyDescent="0.25">
      <c r="A522" s="212"/>
      <c r="B522" s="219" t="str">
        <f>B43&amp;" = "</f>
        <v xml:space="preserve">Сумма дисконтрированных оттоков = </v>
      </c>
      <c r="C522" s="201">
        <f>SUM(C511:C521)</f>
        <v>227130136.22205755</v>
      </c>
    </row>
    <row r="523" spans="1:3" x14ac:dyDescent="0.25">
      <c r="A523" s="212"/>
      <c r="B523" s="219"/>
      <c r="C523" s="212"/>
    </row>
    <row r="524" spans="1:3" x14ac:dyDescent="0.25">
      <c r="A524" s="212"/>
      <c r="B524" s="218" t="str">
        <f>B$44&amp;" на "&amp;E55&amp;" шаге = "&amp;B$30&amp;" * Коэффициент дисконтирования ="</f>
        <v>Диспонтрикрованные инвестиции на 0 шаге = инвестиции * Коэффициент дисконтирования =</v>
      </c>
      <c r="C524" s="201">
        <f>D44</f>
        <v>-87599403</v>
      </c>
    </row>
    <row r="525" spans="1:3" x14ac:dyDescent="0.25">
      <c r="A525" s="212"/>
      <c r="B525" s="218" t="str">
        <f>B$44&amp;" на "&amp;E56&amp;" шаге = "&amp;B$30&amp;" * Коэффициент дисконтирования ="</f>
        <v>Диспонтрикрованные инвестиции на 1 шаге = инвестиции * Коэффициент дисконтирования =</v>
      </c>
      <c r="C525" s="201">
        <f>E44</f>
        <v>-5328117.8999999994</v>
      </c>
    </row>
  </sheetData>
  <mergeCells count="79">
    <mergeCell ref="A1:A3"/>
    <mergeCell ref="B1:B3"/>
    <mergeCell ref="C1:C3"/>
    <mergeCell ref="D1:Y1"/>
    <mergeCell ref="D2:N2"/>
    <mergeCell ref="O2:Y2"/>
    <mergeCell ref="A48:B48"/>
    <mergeCell ref="D40:N40"/>
    <mergeCell ref="O40:Y40"/>
    <mergeCell ref="D43:N43"/>
    <mergeCell ref="O43:Y43"/>
    <mergeCell ref="A46:B46"/>
    <mergeCell ref="A47:B47"/>
    <mergeCell ref="A160:B160"/>
    <mergeCell ref="A161:B161"/>
    <mergeCell ref="A162:B162"/>
    <mergeCell ref="A163:B163"/>
    <mergeCell ref="A164:B164"/>
    <mergeCell ref="A165:B165"/>
    <mergeCell ref="A166:B166"/>
    <mergeCell ref="A167:B167"/>
    <mergeCell ref="A168:B168"/>
    <mergeCell ref="A169:B169"/>
    <mergeCell ref="A170:B170"/>
    <mergeCell ref="A173:B173"/>
    <mergeCell ref="A174:B174"/>
    <mergeCell ref="A175:B175"/>
    <mergeCell ref="A176:B176"/>
    <mergeCell ref="A177:B177"/>
    <mergeCell ref="A178:B178"/>
    <mergeCell ref="A179:B179"/>
    <mergeCell ref="A180:B180"/>
    <mergeCell ref="A181:B181"/>
    <mergeCell ref="A182:B182"/>
    <mergeCell ref="A183:B183"/>
    <mergeCell ref="A186:B186"/>
    <mergeCell ref="A187:B187"/>
    <mergeCell ref="A188:B188"/>
    <mergeCell ref="A189:B189"/>
    <mergeCell ref="A190:B190"/>
    <mergeCell ref="A191:B191"/>
    <mergeCell ref="A192:B192"/>
    <mergeCell ref="A193:B193"/>
    <mergeCell ref="A194:B194"/>
    <mergeCell ref="A195:B195"/>
    <mergeCell ref="A196:B196"/>
    <mergeCell ref="A199:B199"/>
    <mergeCell ref="A200:B200"/>
    <mergeCell ref="A201:B201"/>
    <mergeCell ref="A202:B202"/>
    <mergeCell ref="A203:B203"/>
    <mergeCell ref="A204:B204"/>
    <mergeCell ref="A205:B205"/>
    <mergeCell ref="A206:B206"/>
    <mergeCell ref="A207:B207"/>
    <mergeCell ref="A208:B208"/>
    <mergeCell ref="A209:B209"/>
    <mergeCell ref="A212:B212"/>
    <mergeCell ref="A213:B213"/>
    <mergeCell ref="A214:B214"/>
    <mergeCell ref="A215:B215"/>
    <mergeCell ref="A216:B216"/>
    <mergeCell ref="A217:B217"/>
    <mergeCell ref="A218:B218"/>
    <mergeCell ref="A219:B219"/>
    <mergeCell ref="A220:B220"/>
    <mergeCell ref="A221:B221"/>
    <mergeCell ref="A222:B222"/>
    <mergeCell ref="A225:B225"/>
    <mergeCell ref="A226:B226"/>
    <mergeCell ref="A227:B227"/>
    <mergeCell ref="A228:B228"/>
    <mergeCell ref="A229:B229"/>
    <mergeCell ref="A235:B235"/>
    <mergeCell ref="A230:B230"/>
    <mergeCell ref="A231:B231"/>
    <mergeCell ref="A232:B232"/>
    <mergeCell ref="A233:B233"/>
    <mergeCell ref="A234:B234"/>
  </mergeCells>
  <printOptions horizontalCentered="1" verticalCentered="1" gridLines="1"/>
  <pageMargins left="0.19685039370078741" right="0.19685039370078741" top="0.19685039370078741" bottom="0.19685039370078741" header="0.31496062992125984" footer="0.19685039370078741"/>
  <pageSetup paperSize="9" scale="80" pageOrder="overThenDown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25"/>
  <sheetViews>
    <sheetView topLeftCell="C34" zoomScale="81" zoomScaleNormal="62" workbookViewId="0">
      <selection activeCell="F56" sqref="F56"/>
    </sheetView>
  </sheetViews>
  <sheetFormatPr defaultRowHeight="15" x14ac:dyDescent="0.25"/>
  <cols>
    <col min="1" max="1" width="10.140625" bestFit="1" customWidth="1"/>
    <col min="2" max="2" width="143.5703125" bestFit="1" customWidth="1"/>
    <col min="3" max="3" width="17.5703125" bestFit="1" customWidth="1"/>
    <col min="4" max="10" width="18.7109375" bestFit="1" customWidth="1"/>
    <col min="11" max="14" width="17.5703125" bestFit="1" customWidth="1"/>
    <col min="15" max="16" width="16.5703125" bestFit="1" customWidth="1"/>
    <col min="17" max="25" width="17.5703125" bestFit="1" customWidth="1"/>
    <col min="255" max="255" width="3.28515625" bestFit="1" customWidth="1"/>
    <col min="256" max="256" width="6.42578125" bestFit="1" customWidth="1"/>
  </cols>
  <sheetData>
    <row r="1" spans="1:25" ht="15.75" thickBot="1" x14ac:dyDescent="0.3">
      <c r="A1" s="292" t="s">
        <v>393</v>
      </c>
      <c r="B1" s="293" t="s">
        <v>292</v>
      </c>
      <c r="C1" s="292" t="s">
        <v>293</v>
      </c>
      <c r="D1" s="295" t="s">
        <v>285</v>
      </c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  <c r="U1" s="295"/>
      <c r="V1" s="295"/>
      <c r="W1" s="295"/>
      <c r="X1" s="295"/>
      <c r="Y1" s="295"/>
    </row>
    <row r="2" spans="1:25" x14ac:dyDescent="0.25">
      <c r="A2" s="292"/>
      <c r="B2" s="293"/>
      <c r="C2" s="294"/>
      <c r="D2" s="296" t="s">
        <v>394</v>
      </c>
      <c r="E2" s="297"/>
      <c r="F2" s="297"/>
      <c r="G2" s="297"/>
      <c r="H2" s="297"/>
      <c r="I2" s="297"/>
      <c r="J2" s="297"/>
      <c r="K2" s="297"/>
      <c r="L2" s="297"/>
      <c r="M2" s="297"/>
      <c r="N2" s="298"/>
      <c r="O2" s="296" t="s">
        <v>395</v>
      </c>
      <c r="P2" s="297"/>
      <c r="Q2" s="297"/>
      <c r="R2" s="297"/>
      <c r="S2" s="297"/>
      <c r="T2" s="297"/>
      <c r="U2" s="297"/>
      <c r="V2" s="297"/>
      <c r="W2" s="297"/>
      <c r="X2" s="297"/>
      <c r="Y2" s="298"/>
    </row>
    <row r="3" spans="1:25" x14ac:dyDescent="0.25">
      <c r="A3" s="292"/>
      <c r="B3" s="293"/>
      <c r="C3" s="294"/>
      <c r="D3" s="152">
        <v>0</v>
      </c>
      <c r="E3" s="143">
        <v>1</v>
      </c>
      <c r="F3" s="143">
        <v>2</v>
      </c>
      <c r="G3" s="143">
        <v>3</v>
      </c>
      <c r="H3" s="143">
        <v>4</v>
      </c>
      <c r="I3" s="143">
        <v>5</v>
      </c>
      <c r="J3" s="143">
        <v>6</v>
      </c>
      <c r="K3" s="143">
        <v>7</v>
      </c>
      <c r="L3" s="143">
        <v>8</v>
      </c>
      <c r="M3" s="143">
        <v>9</v>
      </c>
      <c r="N3" s="153">
        <v>10</v>
      </c>
      <c r="O3" s="152">
        <v>0</v>
      </c>
      <c r="P3" s="143">
        <v>1</v>
      </c>
      <c r="Q3" s="143">
        <v>2</v>
      </c>
      <c r="R3" s="143">
        <v>3</v>
      </c>
      <c r="S3" s="143">
        <v>4</v>
      </c>
      <c r="T3" s="143">
        <v>5</v>
      </c>
      <c r="U3" s="143">
        <v>6</v>
      </c>
      <c r="V3" s="143">
        <v>7</v>
      </c>
      <c r="W3" s="143">
        <v>8</v>
      </c>
      <c r="X3" s="143">
        <v>9</v>
      </c>
      <c r="Y3" s="153">
        <v>10</v>
      </c>
    </row>
    <row r="4" spans="1:25" x14ac:dyDescent="0.25">
      <c r="A4" s="143">
        <v>1</v>
      </c>
      <c r="B4" s="170" t="s">
        <v>294</v>
      </c>
      <c r="C4" s="150"/>
      <c r="D4" s="152"/>
      <c r="E4" s="143"/>
      <c r="F4" s="143"/>
      <c r="G4" s="143"/>
      <c r="H4" s="143"/>
      <c r="I4" s="143"/>
      <c r="J4" s="143"/>
      <c r="K4" s="143"/>
      <c r="L4" s="143"/>
      <c r="M4" s="143"/>
      <c r="N4" s="153"/>
      <c r="O4" s="152"/>
      <c r="P4" s="143"/>
      <c r="Q4" s="143"/>
      <c r="R4" s="143"/>
      <c r="S4" s="143"/>
      <c r="T4" s="143"/>
      <c r="U4" s="143"/>
      <c r="V4" s="143"/>
      <c r="W4" s="143"/>
      <c r="X4" s="143"/>
      <c r="Y4" s="153"/>
    </row>
    <row r="5" spans="1:25" x14ac:dyDescent="0.25">
      <c r="A5" s="143">
        <v>2</v>
      </c>
      <c r="B5" s="170" t="s">
        <v>295</v>
      </c>
      <c r="C5" s="150" t="s">
        <v>318</v>
      </c>
      <c r="D5" s="154" t="s">
        <v>268</v>
      </c>
      <c r="E5" s="155" t="s">
        <v>268</v>
      </c>
      <c r="F5" s="155">
        <f>'666'!D398</f>
        <v>55000</v>
      </c>
      <c r="G5" s="155">
        <f>'666'!E398</f>
        <v>110000</v>
      </c>
      <c r="H5" s="155">
        <f>'666'!F398</f>
        <v>192500</v>
      </c>
      <c r="I5" s="155">
        <f>'666'!G398</f>
        <v>247500</v>
      </c>
      <c r="J5" s="155">
        <f>'666'!$H398</f>
        <v>275000</v>
      </c>
      <c r="K5" s="155">
        <f>'666'!$H398</f>
        <v>275000</v>
      </c>
      <c r="L5" s="155">
        <f>'666'!$H398</f>
        <v>275000</v>
      </c>
      <c r="M5" s="155">
        <f>'666'!$H398</f>
        <v>275000</v>
      </c>
      <c r="N5" s="155">
        <f>'666'!$H398</f>
        <v>275000</v>
      </c>
      <c r="O5" s="154" t="s">
        <v>268</v>
      </c>
      <c r="P5" s="155" t="s">
        <v>268</v>
      </c>
      <c r="Q5" s="155">
        <f>F5</f>
        <v>55000</v>
      </c>
      <c r="R5" s="155">
        <f t="shared" ref="R5:Y5" si="0">G5</f>
        <v>110000</v>
      </c>
      <c r="S5" s="155">
        <f t="shared" si="0"/>
        <v>192500</v>
      </c>
      <c r="T5" s="155">
        <f t="shared" si="0"/>
        <v>247500</v>
      </c>
      <c r="U5" s="155">
        <f t="shared" si="0"/>
        <v>275000</v>
      </c>
      <c r="V5" s="155">
        <f t="shared" si="0"/>
        <v>275000</v>
      </c>
      <c r="W5" s="155">
        <f t="shared" si="0"/>
        <v>275000</v>
      </c>
      <c r="X5" s="155">
        <f t="shared" si="0"/>
        <v>275000</v>
      </c>
      <c r="Y5" s="155">
        <f t="shared" si="0"/>
        <v>275000</v>
      </c>
    </row>
    <row r="6" spans="1:25" x14ac:dyDescent="0.25">
      <c r="A6" s="143">
        <v>3</v>
      </c>
      <c r="B6" s="170" t="s">
        <v>396</v>
      </c>
      <c r="C6" s="150" t="s">
        <v>320</v>
      </c>
      <c r="D6" s="154" t="s">
        <v>268</v>
      </c>
      <c r="E6" s="155" t="s">
        <v>268</v>
      </c>
      <c r="F6" s="155">
        <f>'666'!F409*1.2</f>
        <v>1196.4959999999999</v>
      </c>
      <c r="G6" s="155">
        <f>'666'!G409*1.2</f>
        <v>1196.4959999999999</v>
      </c>
      <c r="H6" s="155">
        <f>'666'!H409*1.2</f>
        <v>1196.4959999999999</v>
      </c>
      <c r="I6" s="155">
        <f>'666'!I409*1.2</f>
        <v>1196.4959999999999</v>
      </c>
      <c r="J6" s="155">
        <f>'666'!$J409*1.2</f>
        <v>1196.4959999999999</v>
      </c>
      <c r="K6" s="155">
        <f>'666'!$J409*1.2</f>
        <v>1196.4959999999999</v>
      </c>
      <c r="L6" s="155">
        <f>'666'!$J409*1.2</f>
        <v>1196.4959999999999</v>
      </c>
      <c r="M6" s="155">
        <f>'666'!$J409*1.2</f>
        <v>1196.4959999999999</v>
      </c>
      <c r="N6" s="155">
        <f>'666'!$J409*1.2</f>
        <v>1196.4959999999999</v>
      </c>
      <c r="O6" s="154" t="s">
        <v>268</v>
      </c>
      <c r="P6" s="155" t="s">
        <v>268</v>
      </c>
      <c r="Q6" s="155">
        <f>'666'!F409*0.85</f>
        <v>847.51799999999992</v>
      </c>
      <c r="R6" s="155">
        <f>'666'!G409*0.85</f>
        <v>847.51799999999992</v>
      </c>
      <c r="S6" s="155">
        <f>'666'!H409*0.85</f>
        <v>847.51799999999992</v>
      </c>
      <c r="T6" s="155">
        <f>'666'!I409*0.85</f>
        <v>847.51799999999992</v>
      </c>
      <c r="U6" s="155">
        <f>'666'!$J409*0.85</f>
        <v>847.51799999999992</v>
      </c>
      <c r="V6" s="155">
        <f>'666'!$J409*0.85</f>
        <v>847.51799999999992</v>
      </c>
      <c r="W6" s="155">
        <f>'666'!$J409*0.85</f>
        <v>847.51799999999992</v>
      </c>
      <c r="X6" s="155">
        <f>'666'!$J409*0.85</f>
        <v>847.51799999999992</v>
      </c>
      <c r="Y6" s="155">
        <f>'666'!$J409*0.85</f>
        <v>847.51799999999992</v>
      </c>
    </row>
    <row r="7" spans="1:25" x14ac:dyDescent="0.25">
      <c r="A7" s="143">
        <v>4</v>
      </c>
      <c r="B7" s="170" t="s">
        <v>297</v>
      </c>
      <c r="C7" s="150" t="s">
        <v>321</v>
      </c>
      <c r="D7" s="154" t="s">
        <v>268</v>
      </c>
      <c r="E7" s="155" t="s">
        <v>268</v>
      </c>
      <c r="F7" s="155">
        <f>F5*F6</f>
        <v>65807279.999999993</v>
      </c>
      <c r="G7" s="155">
        <f t="shared" ref="G7:N7" si="1">G5*G6</f>
        <v>131614559.99999999</v>
      </c>
      <c r="H7" s="155">
        <f t="shared" si="1"/>
        <v>230325479.99999997</v>
      </c>
      <c r="I7" s="155">
        <f t="shared" si="1"/>
        <v>296132759.99999994</v>
      </c>
      <c r="J7" s="155">
        <f t="shared" si="1"/>
        <v>329036399.99999994</v>
      </c>
      <c r="K7" s="155">
        <f t="shared" si="1"/>
        <v>329036399.99999994</v>
      </c>
      <c r="L7" s="155">
        <f t="shared" si="1"/>
        <v>329036399.99999994</v>
      </c>
      <c r="M7" s="155">
        <f t="shared" si="1"/>
        <v>329036399.99999994</v>
      </c>
      <c r="N7" s="156">
        <f t="shared" si="1"/>
        <v>329036399.99999994</v>
      </c>
      <c r="O7" s="154" t="s">
        <v>268</v>
      </c>
      <c r="P7" s="155" t="s">
        <v>268</v>
      </c>
      <c r="Q7" s="155">
        <f>Q5*Q6</f>
        <v>46613489.999999993</v>
      </c>
      <c r="R7" s="155">
        <f t="shared" ref="R7:Y7" si="2">R5*R6</f>
        <v>93226979.999999985</v>
      </c>
      <c r="S7" s="155">
        <f t="shared" si="2"/>
        <v>163147214.99999997</v>
      </c>
      <c r="T7" s="155">
        <f t="shared" si="2"/>
        <v>209760704.99999997</v>
      </c>
      <c r="U7" s="155">
        <f t="shared" si="2"/>
        <v>233067449.99999997</v>
      </c>
      <c r="V7" s="155">
        <f t="shared" si="2"/>
        <v>233067449.99999997</v>
      </c>
      <c r="W7" s="155">
        <f t="shared" si="2"/>
        <v>233067449.99999997</v>
      </c>
      <c r="X7" s="155">
        <f t="shared" si="2"/>
        <v>233067449.99999997</v>
      </c>
      <c r="Y7" s="156">
        <f t="shared" si="2"/>
        <v>233067449.99999997</v>
      </c>
    </row>
    <row r="8" spans="1:25" x14ac:dyDescent="0.25">
      <c r="A8" s="143">
        <v>5</v>
      </c>
      <c r="B8" s="170" t="s">
        <v>298</v>
      </c>
      <c r="C8" s="150"/>
      <c r="D8" s="154" t="s">
        <v>268</v>
      </c>
      <c r="E8" s="155" t="s">
        <v>268</v>
      </c>
      <c r="F8" s="155">
        <f>(F7/120)*20</f>
        <v>10967879.999999998</v>
      </c>
      <c r="G8" s="155">
        <f t="shared" ref="G8:N8" si="3">(G7/120)*20</f>
        <v>21935759.999999996</v>
      </c>
      <c r="H8" s="155">
        <f t="shared" si="3"/>
        <v>38387579.999999993</v>
      </c>
      <c r="I8" s="155">
        <f t="shared" si="3"/>
        <v>49355459.999999993</v>
      </c>
      <c r="J8" s="155">
        <f t="shared" si="3"/>
        <v>54839399.999999993</v>
      </c>
      <c r="K8" s="155">
        <f t="shared" si="3"/>
        <v>54839399.999999993</v>
      </c>
      <c r="L8" s="155">
        <f t="shared" si="3"/>
        <v>54839399.999999993</v>
      </c>
      <c r="M8" s="155">
        <f t="shared" si="3"/>
        <v>54839399.999999993</v>
      </c>
      <c r="N8" s="156">
        <f t="shared" si="3"/>
        <v>54839399.999999993</v>
      </c>
      <c r="O8" s="154" t="s">
        <v>268</v>
      </c>
      <c r="P8" s="155" t="s">
        <v>268</v>
      </c>
      <c r="Q8" s="155">
        <f>(Q7/120)*20</f>
        <v>7768914.9999999991</v>
      </c>
      <c r="R8" s="155">
        <f t="shared" ref="R8:Y8" si="4">(R7/120)*20</f>
        <v>15537829.999999998</v>
      </c>
      <c r="S8" s="155">
        <f t="shared" si="4"/>
        <v>27191202.499999996</v>
      </c>
      <c r="T8" s="155">
        <f t="shared" si="4"/>
        <v>34960117.499999993</v>
      </c>
      <c r="U8" s="155">
        <f t="shared" si="4"/>
        <v>38844574.999999993</v>
      </c>
      <c r="V8" s="155">
        <f t="shared" si="4"/>
        <v>38844574.999999993</v>
      </c>
      <c r="W8" s="155">
        <f t="shared" si="4"/>
        <v>38844574.999999993</v>
      </c>
      <c r="X8" s="155">
        <f t="shared" si="4"/>
        <v>38844574.999999993</v>
      </c>
      <c r="Y8" s="156">
        <f t="shared" si="4"/>
        <v>38844574.999999993</v>
      </c>
    </row>
    <row r="9" spans="1:25" x14ac:dyDescent="0.25">
      <c r="A9" s="143">
        <v>6</v>
      </c>
      <c r="B9" s="170" t="s">
        <v>299</v>
      </c>
      <c r="C9" s="169"/>
      <c r="D9" s="154" t="s">
        <v>268</v>
      </c>
      <c r="E9" s="155" t="s">
        <v>268</v>
      </c>
      <c r="F9" s="155">
        <f>F7-F8</f>
        <v>54839399.999999993</v>
      </c>
      <c r="G9" s="155">
        <f t="shared" ref="G9:N9" si="5">G7-G8</f>
        <v>109678799.99999999</v>
      </c>
      <c r="H9" s="155">
        <f t="shared" si="5"/>
        <v>191937899.99999997</v>
      </c>
      <c r="I9" s="155">
        <f t="shared" si="5"/>
        <v>246777299.99999994</v>
      </c>
      <c r="J9" s="155">
        <f t="shared" si="5"/>
        <v>274196999.99999994</v>
      </c>
      <c r="K9" s="155">
        <f t="shared" si="5"/>
        <v>274196999.99999994</v>
      </c>
      <c r="L9" s="155">
        <f t="shared" si="5"/>
        <v>274196999.99999994</v>
      </c>
      <c r="M9" s="155">
        <f t="shared" si="5"/>
        <v>274196999.99999994</v>
      </c>
      <c r="N9" s="156">
        <f t="shared" si="5"/>
        <v>274196999.99999994</v>
      </c>
      <c r="O9" s="154" t="s">
        <v>268</v>
      </c>
      <c r="P9" s="155" t="s">
        <v>268</v>
      </c>
      <c r="Q9" s="155">
        <f>Q7-Q8</f>
        <v>38844574.999999993</v>
      </c>
      <c r="R9" s="155">
        <f t="shared" ref="R9:Y9" si="6">R7-R8</f>
        <v>77689149.999999985</v>
      </c>
      <c r="S9" s="155">
        <f t="shared" si="6"/>
        <v>135956012.49999997</v>
      </c>
      <c r="T9" s="155">
        <f t="shared" si="6"/>
        <v>174800587.49999997</v>
      </c>
      <c r="U9" s="155">
        <f t="shared" si="6"/>
        <v>194222874.99999997</v>
      </c>
      <c r="V9" s="155">
        <f t="shared" si="6"/>
        <v>194222874.99999997</v>
      </c>
      <c r="W9" s="155">
        <f t="shared" si="6"/>
        <v>194222874.99999997</v>
      </c>
      <c r="X9" s="155">
        <f t="shared" si="6"/>
        <v>194222874.99999997</v>
      </c>
      <c r="Y9" s="156">
        <f t="shared" si="6"/>
        <v>194222874.99999997</v>
      </c>
    </row>
    <row r="10" spans="1:25" x14ac:dyDescent="0.25">
      <c r="A10" s="143">
        <v>7</v>
      </c>
      <c r="B10" s="170" t="s">
        <v>397</v>
      </c>
      <c r="C10" s="150"/>
      <c r="D10" s="154" t="s">
        <v>268</v>
      </c>
      <c r="E10" s="155" t="s">
        <v>268</v>
      </c>
      <c r="F10" s="155"/>
      <c r="G10" s="155"/>
      <c r="H10" s="155"/>
      <c r="I10" s="155"/>
      <c r="J10" s="155"/>
      <c r="K10" s="155"/>
      <c r="L10" s="155"/>
      <c r="M10" s="155"/>
      <c r="N10" s="156"/>
      <c r="O10" s="154" t="s">
        <v>268</v>
      </c>
      <c r="P10" s="155" t="s">
        <v>268</v>
      </c>
      <c r="Q10" s="155"/>
      <c r="R10" s="155"/>
      <c r="S10" s="155"/>
      <c r="T10" s="155"/>
      <c r="U10" s="155"/>
      <c r="V10" s="155"/>
      <c r="W10" s="155"/>
      <c r="X10" s="155"/>
      <c r="Y10" s="156"/>
    </row>
    <row r="11" spans="1:25" x14ac:dyDescent="0.25">
      <c r="A11" s="143">
        <v>8</v>
      </c>
      <c r="B11" s="170" t="s">
        <v>398</v>
      </c>
      <c r="C11" s="150"/>
      <c r="D11" s="154" t="s">
        <v>268</v>
      </c>
      <c r="E11" s="155" t="s">
        <v>268</v>
      </c>
      <c r="F11" s="155"/>
      <c r="G11" s="155"/>
      <c r="H11" s="155"/>
      <c r="I11" s="155"/>
      <c r="J11" s="155"/>
      <c r="K11" s="155"/>
      <c r="L11" s="155"/>
      <c r="M11" s="155"/>
      <c r="N11" s="156"/>
      <c r="O11" s="154" t="s">
        <v>268</v>
      </c>
      <c r="P11" s="155" t="s">
        <v>268</v>
      </c>
      <c r="Q11" s="155"/>
      <c r="R11" s="155"/>
      <c r="S11" s="155"/>
      <c r="T11" s="155"/>
      <c r="U11" s="155"/>
      <c r="V11" s="155"/>
      <c r="W11" s="155"/>
      <c r="X11" s="155"/>
      <c r="Y11" s="156"/>
    </row>
    <row r="12" spans="1:25" x14ac:dyDescent="0.25">
      <c r="A12" s="143">
        <v>9</v>
      </c>
      <c r="B12" s="170" t="s">
        <v>399</v>
      </c>
      <c r="C12" s="150"/>
      <c r="D12" s="154" t="s">
        <v>268</v>
      </c>
      <c r="E12" s="155" t="s">
        <v>268</v>
      </c>
      <c r="F12" s="155" t="s">
        <v>268</v>
      </c>
      <c r="G12" s="155" t="s">
        <v>268</v>
      </c>
      <c r="H12" s="155" t="s">
        <v>268</v>
      </c>
      <c r="I12" s="155" t="s">
        <v>268</v>
      </c>
      <c r="J12" s="155" t="s">
        <v>268</v>
      </c>
      <c r="K12" s="155" t="s">
        <v>268</v>
      </c>
      <c r="L12" s="155" t="s">
        <v>268</v>
      </c>
      <c r="M12" s="155" t="s">
        <v>268</v>
      </c>
      <c r="N12" s="156" t="s">
        <v>268</v>
      </c>
      <c r="O12" s="154" t="s">
        <v>268</v>
      </c>
      <c r="P12" s="155" t="s">
        <v>268</v>
      </c>
      <c r="Q12" s="155" t="s">
        <v>268</v>
      </c>
      <c r="R12" s="155" t="s">
        <v>268</v>
      </c>
      <c r="S12" s="155" t="s">
        <v>268</v>
      </c>
      <c r="T12" s="155" t="s">
        <v>268</v>
      </c>
      <c r="U12" s="155" t="s">
        <v>268</v>
      </c>
      <c r="V12" s="155" t="s">
        <v>268</v>
      </c>
      <c r="W12" s="155" t="s">
        <v>268</v>
      </c>
      <c r="X12" s="155" t="s">
        <v>268</v>
      </c>
      <c r="Y12" s="156" t="s">
        <v>268</v>
      </c>
    </row>
    <row r="13" spans="1:25" x14ac:dyDescent="0.25">
      <c r="A13" s="143">
        <v>10</v>
      </c>
      <c r="B13" s="170" t="s">
        <v>400</v>
      </c>
      <c r="C13" s="150" t="s">
        <v>323</v>
      </c>
      <c r="D13" s="154" t="s">
        <v>268</v>
      </c>
      <c r="E13" s="155" t="s">
        <v>268</v>
      </c>
      <c r="F13" s="155">
        <f>'666'!$C342*F5</f>
        <v>19518400</v>
      </c>
      <c r="G13" s="155">
        <f>'666'!$C342*G5</f>
        <v>39036800</v>
      </c>
      <c r="H13" s="155">
        <f>'666'!$C342*H5</f>
        <v>68314400</v>
      </c>
      <c r="I13" s="155">
        <f>'666'!$C342*I5</f>
        <v>87832800</v>
      </c>
      <c r="J13" s="155">
        <f>'666'!$C342*J5</f>
        <v>97592000</v>
      </c>
      <c r="K13" s="155">
        <f>'666'!$C342*K5</f>
        <v>97592000</v>
      </c>
      <c r="L13" s="155">
        <f>'666'!$C342*L5</f>
        <v>97592000</v>
      </c>
      <c r="M13" s="155">
        <f>'666'!$C342*M5</f>
        <v>97592000</v>
      </c>
      <c r="N13" s="156">
        <f>'666'!$C342*N5</f>
        <v>97592000</v>
      </c>
      <c r="O13" s="154" t="s">
        <v>268</v>
      </c>
      <c r="P13" s="155" t="s">
        <v>268</v>
      </c>
      <c r="Q13" s="155">
        <f>'666'!$C342*Q5</f>
        <v>19518400</v>
      </c>
      <c r="R13" s="155">
        <f>'666'!$C342*R5</f>
        <v>39036800</v>
      </c>
      <c r="S13" s="155">
        <f>'666'!$C342*S5</f>
        <v>68314400</v>
      </c>
      <c r="T13" s="155">
        <f>'666'!$C342*T5</f>
        <v>87832800</v>
      </c>
      <c r="U13" s="155">
        <f>'666'!$C342*U5</f>
        <v>97592000</v>
      </c>
      <c r="V13" s="155">
        <f>'666'!$C342*V5</f>
        <v>97592000</v>
      </c>
      <c r="W13" s="155">
        <f>'666'!$C342*W5</f>
        <v>97592000</v>
      </c>
      <c r="X13" s="155">
        <f>'666'!$C342*X5</f>
        <v>97592000</v>
      </c>
      <c r="Y13" s="156">
        <f>'666'!$C342*Y5</f>
        <v>97592000</v>
      </c>
    </row>
    <row r="14" spans="1:25" x14ac:dyDescent="0.25">
      <c r="A14" s="143">
        <v>11</v>
      </c>
      <c r="B14" s="170" t="s">
        <v>401</v>
      </c>
      <c r="C14" s="150" t="s">
        <v>325</v>
      </c>
      <c r="D14" s="154" t="s">
        <v>268</v>
      </c>
      <c r="E14" s="155" t="s">
        <v>268</v>
      </c>
      <c r="F14" s="155">
        <f>'666'!$C343*F5</f>
        <v>752950</v>
      </c>
      <c r="G14" s="155">
        <f>'666'!$C343*G5</f>
        <v>1505900</v>
      </c>
      <c r="H14" s="155">
        <f>'666'!$C343*H5</f>
        <v>2635325</v>
      </c>
      <c r="I14" s="155">
        <f>'666'!$C343*I5</f>
        <v>3388275</v>
      </c>
      <c r="J14" s="155">
        <f>'666'!$C343*J5</f>
        <v>3764750</v>
      </c>
      <c r="K14" s="155">
        <f>'666'!$C343*K5</f>
        <v>3764750</v>
      </c>
      <c r="L14" s="155">
        <f>'666'!$C343*L5</f>
        <v>3764750</v>
      </c>
      <c r="M14" s="155">
        <f>'666'!$C343*M5</f>
        <v>3764750</v>
      </c>
      <c r="N14" s="156">
        <f>'666'!$C343*N5</f>
        <v>3764750</v>
      </c>
      <c r="O14" s="154" t="s">
        <v>268</v>
      </c>
      <c r="P14" s="155" t="s">
        <v>268</v>
      </c>
      <c r="Q14" s="155">
        <f>'666'!$C343*Q5</f>
        <v>752950</v>
      </c>
      <c r="R14" s="155">
        <f>'666'!$C343*R5</f>
        <v>1505900</v>
      </c>
      <c r="S14" s="155">
        <f>'666'!$C343*S5</f>
        <v>2635325</v>
      </c>
      <c r="T14" s="155">
        <f>'666'!$C343*T5</f>
        <v>3388275</v>
      </c>
      <c r="U14" s="155">
        <f>'666'!$C343*U5</f>
        <v>3764750</v>
      </c>
      <c r="V14" s="155">
        <f>'666'!$C343*V5</f>
        <v>3764750</v>
      </c>
      <c r="W14" s="155">
        <f>'666'!$C343*W5</f>
        <v>3764750</v>
      </c>
      <c r="X14" s="155">
        <f>'666'!$C343*X5</f>
        <v>3764750</v>
      </c>
      <c r="Y14" s="156">
        <f>'666'!$C343*Y5</f>
        <v>3764750</v>
      </c>
    </row>
    <row r="15" spans="1:25" x14ac:dyDescent="0.25">
      <c r="A15" s="143">
        <v>12</v>
      </c>
      <c r="B15" s="170" t="s">
        <v>402</v>
      </c>
      <c r="C15" s="150" t="s">
        <v>326</v>
      </c>
      <c r="D15" s="154" t="s">
        <v>268</v>
      </c>
      <c r="E15" s="155" t="s">
        <v>268</v>
      </c>
      <c r="F15" s="155" t="s">
        <v>268</v>
      </c>
      <c r="G15" s="155" t="s">
        <v>268</v>
      </c>
      <c r="H15" s="155" t="s">
        <v>268</v>
      </c>
      <c r="I15" s="155" t="s">
        <v>268</v>
      </c>
      <c r="J15" s="155" t="s">
        <v>268</v>
      </c>
      <c r="K15" s="155" t="s">
        <v>268</v>
      </c>
      <c r="L15" s="155" t="s">
        <v>268</v>
      </c>
      <c r="M15" s="155" t="s">
        <v>268</v>
      </c>
      <c r="N15" s="156" t="s">
        <v>268</v>
      </c>
      <c r="O15" s="154" t="s">
        <v>268</v>
      </c>
      <c r="P15" s="155" t="s">
        <v>268</v>
      </c>
      <c r="Q15" s="155" t="s">
        <v>268</v>
      </c>
      <c r="R15" s="155" t="s">
        <v>268</v>
      </c>
      <c r="S15" s="155" t="s">
        <v>268</v>
      </c>
      <c r="T15" s="155" t="s">
        <v>268</v>
      </c>
      <c r="U15" s="155" t="s">
        <v>268</v>
      </c>
      <c r="V15" s="155" t="s">
        <v>268</v>
      </c>
      <c r="W15" s="155" t="s">
        <v>268</v>
      </c>
      <c r="X15" s="155" t="s">
        <v>268</v>
      </c>
      <c r="Y15" s="156" t="s">
        <v>268</v>
      </c>
    </row>
    <row r="16" spans="1:25" x14ac:dyDescent="0.25">
      <c r="A16" s="143">
        <v>13</v>
      </c>
      <c r="B16" s="170" t="s">
        <v>403</v>
      </c>
      <c r="C16" s="150" t="s">
        <v>327</v>
      </c>
      <c r="D16" s="154" t="s">
        <v>268</v>
      </c>
      <c r="E16" s="155" t="s">
        <v>268</v>
      </c>
      <c r="F16" s="155">
        <f>'666'!$C345*F5</f>
        <v>2995300</v>
      </c>
      <c r="G16" s="155">
        <f>'666'!$C345*G5</f>
        <v>5990600</v>
      </c>
      <c r="H16" s="155">
        <f>'666'!$C345*H5</f>
        <v>10483550</v>
      </c>
      <c r="I16" s="155">
        <f>'666'!$C345*I5</f>
        <v>13478850</v>
      </c>
      <c r="J16" s="155">
        <f>'666'!$C345*J5</f>
        <v>14976500</v>
      </c>
      <c r="K16" s="155">
        <f>'666'!$C345*K5</f>
        <v>14976500</v>
      </c>
      <c r="L16" s="155">
        <f>'666'!$C345*L5</f>
        <v>14976500</v>
      </c>
      <c r="M16" s="155">
        <f>'666'!$C345*M5</f>
        <v>14976500</v>
      </c>
      <c r="N16" s="156">
        <f>'666'!$C345*N5</f>
        <v>14976500</v>
      </c>
      <c r="O16" s="154" t="s">
        <v>268</v>
      </c>
      <c r="P16" s="155" t="s">
        <v>268</v>
      </c>
      <c r="Q16" s="155">
        <f>'666'!$C345*Q5</f>
        <v>2995300</v>
      </c>
      <c r="R16" s="155">
        <f>'666'!$C345*R5</f>
        <v>5990600</v>
      </c>
      <c r="S16" s="155">
        <f>'666'!$C345*S5</f>
        <v>10483550</v>
      </c>
      <c r="T16" s="155">
        <f>'666'!$C345*T5</f>
        <v>13478850</v>
      </c>
      <c r="U16" s="155">
        <f>'666'!$C345*U5</f>
        <v>14976500</v>
      </c>
      <c r="V16" s="155">
        <f>'666'!$C345*V5</f>
        <v>14976500</v>
      </c>
      <c r="W16" s="155">
        <f>'666'!$C345*W5</f>
        <v>14976500</v>
      </c>
      <c r="X16" s="155">
        <f>'666'!$C345*X5</f>
        <v>14976500</v>
      </c>
      <c r="Y16" s="156">
        <f>'666'!$C345*Y5</f>
        <v>14976500</v>
      </c>
    </row>
    <row r="17" spans="1:25" x14ac:dyDescent="0.25">
      <c r="A17" s="143">
        <v>14</v>
      </c>
      <c r="B17" s="170" t="s">
        <v>309</v>
      </c>
      <c r="C17" s="150" t="s">
        <v>329</v>
      </c>
      <c r="D17" s="154">
        <v>0</v>
      </c>
      <c r="E17" s="155">
        <v>0</v>
      </c>
      <c r="F17" s="155">
        <f>SUM(F13:F16)</f>
        <v>23266650</v>
      </c>
      <c r="G17" s="155">
        <f t="shared" ref="G17:Y17" si="7">SUM(G13:G16)</f>
        <v>46533300</v>
      </c>
      <c r="H17" s="155">
        <f t="shared" si="7"/>
        <v>81433275</v>
      </c>
      <c r="I17" s="155">
        <f t="shared" si="7"/>
        <v>104699925</v>
      </c>
      <c r="J17" s="155">
        <f t="shared" si="7"/>
        <v>116333250</v>
      </c>
      <c r="K17" s="155">
        <f t="shared" si="7"/>
        <v>116333250</v>
      </c>
      <c r="L17" s="155">
        <f t="shared" si="7"/>
        <v>116333250</v>
      </c>
      <c r="M17" s="155">
        <f t="shared" si="7"/>
        <v>116333250</v>
      </c>
      <c r="N17" s="155">
        <f t="shared" si="7"/>
        <v>116333250</v>
      </c>
      <c r="O17" s="155">
        <f t="shared" si="7"/>
        <v>0</v>
      </c>
      <c r="P17" s="155">
        <f t="shared" si="7"/>
        <v>0</v>
      </c>
      <c r="Q17" s="155">
        <f t="shared" si="7"/>
        <v>23266650</v>
      </c>
      <c r="R17" s="155">
        <f t="shared" si="7"/>
        <v>46533300</v>
      </c>
      <c r="S17" s="155">
        <f t="shared" si="7"/>
        <v>81433275</v>
      </c>
      <c r="T17" s="155">
        <f t="shared" si="7"/>
        <v>104699925</v>
      </c>
      <c r="U17" s="155">
        <f t="shared" si="7"/>
        <v>116333250</v>
      </c>
      <c r="V17" s="155">
        <f t="shared" si="7"/>
        <v>116333250</v>
      </c>
      <c r="W17" s="155">
        <f t="shared" si="7"/>
        <v>116333250</v>
      </c>
      <c r="X17" s="155">
        <f t="shared" si="7"/>
        <v>116333250</v>
      </c>
      <c r="Y17" s="155">
        <f t="shared" si="7"/>
        <v>116333250</v>
      </c>
    </row>
    <row r="18" spans="1:25" x14ac:dyDescent="0.25">
      <c r="A18" s="149"/>
      <c r="B18" s="171" t="s">
        <v>310</v>
      </c>
      <c r="C18" s="151"/>
      <c r="D18" s="157"/>
      <c r="E18" s="158"/>
      <c r="F18" s="158"/>
      <c r="G18" s="158"/>
      <c r="H18" s="158"/>
      <c r="I18" s="158"/>
      <c r="J18" s="158"/>
      <c r="K18" s="158"/>
      <c r="L18" s="158"/>
      <c r="M18" s="158"/>
      <c r="N18" s="159"/>
      <c r="O18" s="157"/>
      <c r="P18" s="158"/>
      <c r="Q18" s="158"/>
      <c r="R18" s="158"/>
      <c r="S18" s="158"/>
      <c r="T18" s="158"/>
      <c r="U18" s="158"/>
      <c r="V18" s="158"/>
      <c r="W18" s="158"/>
      <c r="X18" s="158"/>
      <c r="Y18" s="159"/>
    </row>
    <row r="19" spans="1:25" x14ac:dyDescent="0.25">
      <c r="A19" s="143">
        <v>15</v>
      </c>
      <c r="B19" s="170" t="s">
        <v>278</v>
      </c>
      <c r="C19" s="150" t="s">
        <v>330</v>
      </c>
      <c r="D19" s="154"/>
      <c r="E19" s="155"/>
      <c r="F19" s="155">
        <f>'666'!F425</f>
        <v>5115827.05</v>
      </c>
      <c r="G19" s="155">
        <f>'666'!G425</f>
        <v>5115827.05</v>
      </c>
      <c r="H19" s="155">
        <f>'666'!H425</f>
        <v>5115827.05</v>
      </c>
      <c r="I19" s="155">
        <f>'666'!I425</f>
        <v>5115827.05</v>
      </c>
      <c r="J19" s="155">
        <f>'666'!$J425</f>
        <v>5115827.05</v>
      </c>
      <c r="K19" s="155">
        <f>'666'!$J425</f>
        <v>5115827.05</v>
      </c>
      <c r="L19" s="155">
        <f>'666'!$J425</f>
        <v>5115827.05</v>
      </c>
      <c r="M19" s="155">
        <f>'666'!$J425</f>
        <v>5115827.05</v>
      </c>
      <c r="N19" s="156">
        <f>'666'!$J425</f>
        <v>5115827.05</v>
      </c>
      <c r="O19" s="154"/>
      <c r="P19" s="155"/>
      <c r="Q19" s="155">
        <f>F19</f>
        <v>5115827.05</v>
      </c>
      <c r="R19" s="155">
        <f t="shared" ref="R19:Y24" si="8">G19</f>
        <v>5115827.05</v>
      </c>
      <c r="S19" s="155">
        <f t="shared" si="8"/>
        <v>5115827.05</v>
      </c>
      <c r="T19" s="155">
        <f t="shared" si="8"/>
        <v>5115827.05</v>
      </c>
      <c r="U19" s="155">
        <f t="shared" si="8"/>
        <v>5115827.05</v>
      </c>
      <c r="V19" s="155">
        <f t="shared" si="8"/>
        <v>5115827.05</v>
      </c>
      <c r="W19" s="155">
        <f t="shared" si="8"/>
        <v>5115827.05</v>
      </c>
      <c r="X19" s="155">
        <f t="shared" si="8"/>
        <v>5115827.05</v>
      </c>
      <c r="Y19" s="156">
        <f t="shared" si="8"/>
        <v>5115827.05</v>
      </c>
    </row>
    <row r="20" spans="1:25" x14ac:dyDescent="0.25">
      <c r="A20" s="143">
        <v>17</v>
      </c>
      <c r="B20" s="170" t="s">
        <v>255</v>
      </c>
      <c r="C20" s="150" t="s">
        <v>331</v>
      </c>
      <c r="D20" s="154"/>
      <c r="E20" s="155"/>
      <c r="F20" s="155">
        <f>'666'!F426</f>
        <v>5859765.5619329996</v>
      </c>
      <c r="G20" s="155">
        <f>'666'!G426</f>
        <v>5859765.5619329996</v>
      </c>
      <c r="H20" s="155">
        <f>'666'!H426</f>
        <v>5859765.5619329996</v>
      </c>
      <c r="I20" s="155">
        <f>'666'!I426</f>
        <v>5859765.5619329996</v>
      </c>
      <c r="J20" s="155">
        <f>'666'!$J426</f>
        <v>5859765.5619329996</v>
      </c>
      <c r="K20" s="155">
        <f>'666'!$J426</f>
        <v>5859765.5619329996</v>
      </c>
      <c r="L20" s="155">
        <f>'666'!$J426</f>
        <v>5859765.5619329996</v>
      </c>
      <c r="M20" s="155">
        <f>'666'!$J426</f>
        <v>5859765.5619329996</v>
      </c>
      <c r="N20" s="156">
        <f>'666'!$J426</f>
        <v>5859765.5619329996</v>
      </c>
      <c r="O20" s="154"/>
      <c r="P20" s="155"/>
      <c r="Q20" s="155">
        <f t="shared" ref="Q20:Q23" si="9">F20</f>
        <v>5859765.5619329996</v>
      </c>
      <c r="R20" s="155">
        <f t="shared" si="8"/>
        <v>5859765.5619329996</v>
      </c>
      <c r="S20" s="155">
        <f t="shared" si="8"/>
        <v>5859765.5619329996</v>
      </c>
      <c r="T20" s="155">
        <f t="shared" si="8"/>
        <v>5859765.5619329996</v>
      </c>
      <c r="U20" s="155">
        <f t="shared" si="8"/>
        <v>5859765.5619329996</v>
      </c>
      <c r="V20" s="155">
        <f t="shared" si="8"/>
        <v>5859765.5619329996</v>
      </c>
      <c r="W20" s="155">
        <f t="shared" si="8"/>
        <v>5859765.5619329996</v>
      </c>
      <c r="X20" s="155">
        <f t="shared" si="8"/>
        <v>5859765.5619329996</v>
      </c>
      <c r="Y20" s="156">
        <f t="shared" si="8"/>
        <v>5859765.5619329996</v>
      </c>
    </row>
    <row r="21" spans="1:25" x14ac:dyDescent="0.25">
      <c r="A21" s="143">
        <v>18</v>
      </c>
      <c r="B21" s="170" t="s">
        <v>404</v>
      </c>
      <c r="C21" s="150" t="s">
        <v>332</v>
      </c>
      <c r="D21" s="154"/>
      <c r="E21" s="155"/>
      <c r="F21" s="155">
        <f>'666'!F427</f>
        <v>19202700</v>
      </c>
      <c r="G21" s="155">
        <f>'666'!G427</f>
        <v>19202700</v>
      </c>
      <c r="H21" s="155">
        <f>'666'!H427</f>
        <v>19202700</v>
      </c>
      <c r="I21" s="155">
        <f>'666'!I427</f>
        <v>19202700</v>
      </c>
      <c r="J21" s="155">
        <f>'666'!$J427</f>
        <v>19202700</v>
      </c>
      <c r="K21" s="155">
        <f>'666'!$J427</f>
        <v>19202700</v>
      </c>
      <c r="L21" s="155">
        <f>'666'!$J427</f>
        <v>19202700</v>
      </c>
      <c r="M21" s="155">
        <f>'666'!$J427</f>
        <v>19202700</v>
      </c>
      <c r="N21" s="156">
        <f>'666'!$J427</f>
        <v>19202700</v>
      </c>
      <c r="O21" s="154"/>
      <c r="P21" s="155"/>
      <c r="Q21" s="155">
        <f t="shared" si="9"/>
        <v>19202700</v>
      </c>
      <c r="R21" s="155">
        <f t="shared" si="8"/>
        <v>19202700</v>
      </c>
      <c r="S21" s="155">
        <f t="shared" si="8"/>
        <v>19202700</v>
      </c>
      <c r="T21" s="155">
        <f t="shared" si="8"/>
        <v>19202700</v>
      </c>
      <c r="U21" s="155">
        <f t="shared" si="8"/>
        <v>19202700</v>
      </c>
      <c r="V21" s="155">
        <f t="shared" si="8"/>
        <v>19202700</v>
      </c>
      <c r="W21" s="155">
        <f t="shared" si="8"/>
        <v>19202700</v>
      </c>
      <c r="X21" s="155">
        <f t="shared" si="8"/>
        <v>19202700</v>
      </c>
      <c r="Y21" s="156">
        <f t="shared" si="8"/>
        <v>19202700</v>
      </c>
    </row>
    <row r="22" spans="1:25" x14ac:dyDescent="0.25">
      <c r="A22" s="143">
        <v>19</v>
      </c>
      <c r="B22" s="170" t="s">
        <v>405</v>
      </c>
      <c r="C22" s="150" t="s">
        <v>333</v>
      </c>
      <c r="D22" s="154"/>
      <c r="E22" s="155"/>
      <c r="F22" s="155">
        <f>'666'!F428</f>
        <v>8622512.0167159792</v>
      </c>
      <c r="G22" s="155">
        <f>'666'!G428</f>
        <v>8622512.0167159792</v>
      </c>
      <c r="H22" s="155">
        <f>'666'!H428</f>
        <v>8622512.0167159792</v>
      </c>
      <c r="I22" s="155">
        <f>'666'!I428</f>
        <v>8622512.0167159792</v>
      </c>
      <c r="J22" s="155">
        <f>'666'!$J428</f>
        <v>8622512.0167159792</v>
      </c>
      <c r="K22" s="155">
        <f>'666'!$J428</f>
        <v>8622512.0167159792</v>
      </c>
      <c r="L22" s="155">
        <f>'666'!$J428</f>
        <v>8622512.0167159792</v>
      </c>
      <c r="M22" s="155">
        <f>'666'!$J428</f>
        <v>8622512.0167159792</v>
      </c>
      <c r="N22" s="156">
        <f>'666'!$J428</f>
        <v>8622512.0167159792</v>
      </c>
      <c r="O22" s="154"/>
      <c r="P22" s="155"/>
      <c r="Q22" s="155">
        <f t="shared" si="9"/>
        <v>8622512.0167159792</v>
      </c>
      <c r="R22" s="155">
        <f t="shared" si="8"/>
        <v>8622512.0167159792</v>
      </c>
      <c r="S22" s="155">
        <f t="shared" si="8"/>
        <v>8622512.0167159792</v>
      </c>
      <c r="T22" s="155">
        <f t="shared" si="8"/>
        <v>8622512.0167159792</v>
      </c>
      <c r="U22" s="155">
        <f t="shared" si="8"/>
        <v>8622512.0167159792</v>
      </c>
      <c r="V22" s="155">
        <f t="shared" si="8"/>
        <v>8622512.0167159792</v>
      </c>
      <c r="W22" s="155">
        <f t="shared" si="8"/>
        <v>8622512.0167159792</v>
      </c>
      <c r="X22" s="155">
        <f t="shared" si="8"/>
        <v>8622512.0167159792</v>
      </c>
      <c r="Y22" s="156">
        <f t="shared" si="8"/>
        <v>8622512.0167159792</v>
      </c>
    </row>
    <row r="23" spans="1:25" x14ac:dyDescent="0.25">
      <c r="A23" s="149">
        <v>20</v>
      </c>
      <c r="B23" s="171" t="s">
        <v>406</v>
      </c>
      <c r="C23" s="151" t="s">
        <v>334</v>
      </c>
      <c r="D23" s="157"/>
      <c r="E23" s="158"/>
      <c r="F23" s="158">
        <f>'666'!F429</f>
        <v>38800804.628648981</v>
      </c>
      <c r="G23" s="158">
        <f>'666'!G429</f>
        <v>38800804.628648981</v>
      </c>
      <c r="H23" s="158">
        <f>'666'!H429</f>
        <v>38800804.628648981</v>
      </c>
      <c r="I23" s="158">
        <f>'666'!I429</f>
        <v>38800804.628648981</v>
      </c>
      <c r="J23" s="158">
        <f>'666'!$J429</f>
        <v>38800804.628648981</v>
      </c>
      <c r="K23" s="158">
        <f>'666'!$J429</f>
        <v>38800804.628648981</v>
      </c>
      <c r="L23" s="158">
        <f>'666'!$J429</f>
        <v>38800804.628648981</v>
      </c>
      <c r="M23" s="158">
        <f>'666'!$J429</f>
        <v>38800804.628648981</v>
      </c>
      <c r="N23" s="159">
        <f>'666'!$J429</f>
        <v>38800804.628648981</v>
      </c>
      <c r="O23" s="157"/>
      <c r="P23" s="158"/>
      <c r="Q23" s="158">
        <f t="shared" si="9"/>
        <v>38800804.628648981</v>
      </c>
      <c r="R23" s="158">
        <f t="shared" si="8"/>
        <v>38800804.628648981</v>
      </c>
      <c r="S23" s="158">
        <f t="shared" si="8"/>
        <v>38800804.628648981</v>
      </c>
      <c r="T23" s="158">
        <f t="shared" si="8"/>
        <v>38800804.628648981</v>
      </c>
      <c r="U23" s="158">
        <f t="shared" si="8"/>
        <v>38800804.628648981</v>
      </c>
      <c r="V23" s="158">
        <f t="shared" si="8"/>
        <v>38800804.628648981</v>
      </c>
      <c r="W23" s="158">
        <f t="shared" si="8"/>
        <v>38800804.628648981</v>
      </c>
      <c r="X23" s="158">
        <f t="shared" si="8"/>
        <v>38800804.628648981</v>
      </c>
      <c r="Y23" s="159">
        <f t="shared" si="8"/>
        <v>38800804.628648981</v>
      </c>
    </row>
    <row r="24" spans="1:25" x14ac:dyDescent="0.25">
      <c r="A24" s="143">
        <v>21</v>
      </c>
      <c r="B24" s="170" t="s">
        <v>312</v>
      </c>
      <c r="C24" s="150" t="s">
        <v>335</v>
      </c>
      <c r="D24" s="154"/>
      <c r="E24" s="155"/>
      <c r="F24" s="155">
        <f>'666'!F430</f>
        <v>1866646.8</v>
      </c>
      <c r="G24" s="155">
        <f>'666'!G430</f>
        <v>1866646.8</v>
      </c>
      <c r="H24" s="155">
        <f>'666'!H430</f>
        <v>1866646.8</v>
      </c>
      <c r="I24" s="155">
        <f>'666'!I430</f>
        <v>1866646.8</v>
      </c>
      <c r="J24" s="155">
        <f>'666'!$J430</f>
        <v>1866646.8</v>
      </c>
      <c r="K24" s="155">
        <f>'666'!$J430</f>
        <v>1866646.8</v>
      </c>
      <c r="L24" s="155">
        <f>'666'!$J430</f>
        <v>1866646.8</v>
      </c>
      <c r="M24" s="155">
        <f>'666'!$J430</f>
        <v>1866646.8</v>
      </c>
      <c r="N24" s="156">
        <f>'666'!$J430</f>
        <v>1866646.8</v>
      </c>
      <c r="O24" s="154"/>
      <c r="P24" s="155"/>
      <c r="Q24" s="155">
        <f>F24</f>
        <v>1866646.8</v>
      </c>
      <c r="R24" s="155">
        <f t="shared" si="8"/>
        <v>1866646.8</v>
      </c>
      <c r="S24" s="155">
        <f t="shared" si="8"/>
        <v>1866646.8</v>
      </c>
      <c r="T24" s="155">
        <f t="shared" si="8"/>
        <v>1866646.8</v>
      </c>
      <c r="U24" s="155">
        <f t="shared" si="8"/>
        <v>1866646.8</v>
      </c>
      <c r="V24" s="155">
        <f t="shared" si="8"/>
        <v>1866646.8</v>
      </c>
      <c r="W24" s="155">
        <f t="shared" si="8"/>
        <v>1866646.8</v>
      </c>
      <c r="X24" s="155">
        <f t="shared" si="8"/>
        <v>1866646.8</v>
      </c>
      <c r="Y24" s="156">
        <f t="shared" si="8"/>
        <v>1866646.8</v>
      </c>
    </row>
    <row r="25" spans="1:25" x14ac:dyDescent="0.25">
      <c r="A25" s="143">
        <v>22</v>
      </c>
      <c r="B25" s="170" t="s">
        <v>407</v>
      </c>
      <c r="C25" s="150"/>
      <c r="D25" s="154"/>
      <c r="E25" s="155"/>
      <c r="F25" s="155">
        <f t="shared" ref="F25:M25" si="10">F9-F17-F23-F24</f>
        <v>-9094701.4286489896</v>
      </c>
      <c r="G25" s="155">
        <f t="shared" si="10"/>
        <v>22478048.571351003</v>
      </c>
      <c r="H25" s="155">
        <f t="shared" si="10"/>
        <v>69837173.571350992</v>
      </c>
      <c r="I25" s="155">
        <f t="shared" si="10"/>
        <v>101409923.57135096</v>
      </c>
      <c r="J25" s="155">
        <f t="shared" si="10"/>
        <v>117196298.57135096</v>
      </c>
      <c r="K25" s="155">
        <f t="shared" si="10"/>
        <v>117196298.57135096</v>
      </c>
      <c r="L25" s="155">
        <f t="shared" si="10"/>
        <v>117196298.57135096</v>
      </c>
      <c r="M25" s="155">
        <f t="shared" si="10"/>
        <v>117196298.57135096</v>
      </c>
      <c r="N25" s="156">
        <f>N9-N17-N23-N24</f>
        <v>117196298.57135096</v>
      </c>
      <c r="O25" s="154"/>
      <c r="P25" s="155"/>
      <c r="Q25" s="155">
        <f>Q9-Q17-Q23-Q24</f>
        <v>-25089526.42864899</v>
      </c>
      <c r="R25" s="155">
        <f t="shared" ref="R25:Y25" si="11">R9-R17-R23-R24</f>
        <v>-9511601.4286489971</v>
      </c>
      <c r="S25" s="155">
        <f t="shared" si="11"/>
        <v>13855286.071350988</v>
      </c>
      <c r="T25" s="155">
        <f t="shared" si="11"/>
        <v>29433211.071350988</v>
      </c>
      <c r="U25" s="155">
        <f t="shared" si="11"/>
        <v>37222173.571350992</v>
      </c>
      <c r="V25" s="155">
        <f t="shared" si="11"/>
        <v>37222173.571350992</v>
      </c>
      <c r="W25" s="155">
        <f t="shared" si="11"/>
        <v>37222173.571350992</v>
      </c>
      <c r="X25" s="155">
        <f t="shared" si="11"/>
        <v>37222173.571350992</v>
      </c>
      <c r="Y25" s="156">
        <f t="shared" si="11"/>
        <v>37222173.571350992</v>
      </c>
    </row>
    <row r="26" spans="1:25" x14ac:dyDescent="0.25">
      <c r="A26" s="143">
        <v>23</v>
      </c>
      <c r="B26" s="170" t="s">
        <v>378</v>
      </c>
      <c r="C26" s="150"/>
      <c r="D26" s="154"/>
      <c r="E26" s="155"/>
      <c r="F26" s="155">
        <v>0</v>
      </c>
      <c r="G26" s="155">
        <f>G25*20%</f>
        <v>4495609.7142702006</v>
      </c>
      <c r="H26" s="155">
        <f t="shared" ref="H26:N26" si="12">H25*20%</f>
        <v>13967434.714270199</v>
      </c>
      <c r="I26" s="155">
        <f t="shared" si="12"/>
        <v>20281984.714270193</v>
      </c>
      <c r="J26" s="155">
        <f t="shared" si="12"/>
        <v>23439259.714270193</v>
      </c>
      <c r="K26" s="155">
        <f t="shared" si="12"/>
        <v>23439259.714270193</v>
      </c>
      <c r="L26" s="155">
        <f t="shared" si="12"/>
        <v>23439259.714270193</v>
      </c>
      <c r="M26" s="155">
        <f t="shared" si="12"/>
        <v>23439259.714270193</v>
      </c>
      <c r="N26" s="155">
        <f t="shared" si="12"/>
        <v>23439259.714270193</v>
      </c>
      <c r="O26" s="154"/>
      <c r="P26" s="155"/>
      <c r="Q26" s="155">
        <v>0</v>
      </c>
      <c r="R26" s="155">
        <v>0</v>
      </c>
      <c r="S26" s="155">
        <f>S25*20%</f>
        <v>2771057.2142701978</v>
      </c>
      <c r="T26" s="155">
        <f t="shared" ref="T26:Y26" si="13">T25*20%</f>
        <v>5886642.2142701978</v>
      </c>
      <c r="U26" s="155">
        <f t="shared" si="13"/>
        <v>7444434.7142701987</v>
      </c>
      <c r="V26" s="155">
        <f t="shared" si="13"/>
        <v>7444434.7142701987</v>
      </c>
      <c r="W26" s="155">
        <f t="shared" si="13"/>
        <v>7444434.7142701987</v>
      </c>
      <c r="X26" s="155">
        <f t="shared" si="13"/>
        <v>7444434.7142701987</v>
      </c>
      <c r="Y26" s="155">
        <f t="shared" si="13"/>
        <v>7444434.7142701987</v>
      </c>
    </row>
    <row r="27" spans="1:25" x14ac:dyDescent="0.25">
      <c r="A27" s="143">
        <v>24</v>
      </c>
      <c r="B27" s="170" t="s">
        <v>316</v>
      </c>
      <c r="C27" s="150"/>
      <c r="D27" s="154"/>
      <c r="E27" s="155"/>
      <c r="F27" s="155">
        <f>F25-F26</f>
        <v>-9094701.4286489896</v>
      </c>
      <c r="G27" s="155">
        <f t="shared" ref="G27:Y27" si="14">G25-G26</f>
        <v>17982438.857080802</v>
      </c>
      <c r="H27" s="155">
        <f t="shared" si="14"/>
        <v>55869738.857080795</v>
      </c>
      <c r="I27" s="155">
        <f t="shared" si="14"/>
        <v>81127938.857080773</v>
      </c>
      <c r="J27" s="155">
        <f t="shared" si="14"/>
        <v>93757038.857080773</v>
      </c>
      <c r="K27" s="155">
        <f t="shared" si="14"/>
        <v>93757038.857080773</v>
      </c>
      <c r="L27" s="155">
        <f t="shared" si="14"/>
        <v>93757038.857080773</v>
      </c>
      <c r="M27" s="155">
        <f t="shared" si="14"/>
        <v>93757038.857080773</v>
      </c>
      <c r="N27" s="156">
        <f>N25-N26</f>
        <v>93757038.857080773</v>
      </c>
      <c r="O27" s="154">
        <f t="shared" si="14"/>
        <v>0</v>
      </c>
      <c r="P27" s="155">
        <f t="shared" si="14"/>
        <v>0</v>
      </c>
      <c r="Q27" s="155">
        <f t="shared" si="14"/>
        <v>-25089526.42864899</v>
      </c>
      <c r="R27" s="155">
        <f t="shared" si="14"/>
        <v>-9511601.4286489971</v>
      </c>
      <c r="S27" s="155">
        <f t="shared" si="14"/>
        <v>11084228.857080791</v>
      </c>
      <c r="T27" s="155">
        <f t="shared" si="14"/>
        <v>23546568.857080791</v>
      </c>
      <c r="U27" s="155">
        <f t="shared" si="14"/>
        <v>29777738.857080795</v>
      </c>
      <c r="V27" s="155">
        <f t="shared" si="14"/>
        <v>29777738.857080795</v>
      </c>
      <c r="W27" s="155">
        <f t="shared" si="14"/>
        <v>29777738.857080795</v>
      </c>
      <c r="X27" s="155">
        <f t="shared" si="14"/>
        <v>29777738.857080795</v>
      </c>
      <c r="Y27" s="156">
        <f t="shared" si="14"/>
        <v>29777738.857080795</v>
      </c>
    </row>
    <row r="28" spans="1:25" x14ac:dyDescent="0.25">
      <c r="A28" s="143">
        <v>25</v>
      </c>
      <c r="B28" s="170" t="s">
        <v>379</v>
      </c>
      <c r="C28" s="150"/>
      <c r="D28" s="154"/>
      <c r="E28" s="155"/>
      <c r="F28" s="155">
        <f>F27+F24</f>
        <v>-7228054.6286489898</v>
      </c>
      <c r="G28" s="155">
        <f t="shared" ref="G28:Y28" si="15">G27+G24</f>
        <v>19849085.657080803</v>
      </c>
      <c r="H28" s="155">
        <f t="shared" si="15"/>
        <v>57736385.657080792</v>
      </c>
      <c r="I28" s="155">
        <f t="shared" si="15"/>
        <v>82994585.65708077</v>
      </c>
      <c r="J28" s="155">
        <f t="shared" si="15"/>
        <v>95623685.65708077</v>
      </c>
      <c r="K28" s="155">
        <f t="shared" si="15"/>
        <v>95623685.65708077</v>
      </c>
      <c r="L28" s="155">
        <f t="shared" si="15"/>
        <v>95623685.65708077</v>
      </c>
      <c r="M28" s="155">
        <f t="shared" si="15"/>
        <v>95623685.65708077</v>
      </c>
      <c r="N28" s="156">
        <f>N27+N24</f>
        <v>95623685.65708077</v>
      </c>
      <c r="O28" s="154">
        <f t="shared" si="15"/>
        <v>0</v>
      </c>
      <c r="P28" s="155">
        <f t="shared" si="15"/>
        <v>0</v>
      </c>
      <c r="Q28" s="155">
        <f t="shared" si="15"/>
        <v>-23222879.628648989</v>
      </c>
      <c r="R28" s="155">
        <f t="shared" si="15"/>
        <v>-7644954.6286489973</v>
      </c>
      <c r="S28" s="155">
        <f t="shared" si="15"/>
        <v>12950875.657080792</v>
      </c>
      <c r="T28" s="155">
        <f t="shared" si="15"/>
        <v>25413215.657080792</v>
      </c>
      <c r="U28" s="155">
        <f t="shared" si="15"/>
        <v>31644385.657080796</v>
      </c>
      <c r="V28" s="155">
        <f t="shared" si="15"/>
        <v>31644385.657080796</v>
      </c>
      <c r="W28" s="155">
        <f t="shared" si="15"/>
        <v>31644385.657080796</v>
      </c>
      <c r="X28" s="155">
        <f t="shared" si="15"/>
        <v>31644385.657080796</v>
      </c>
      <c r="Y28" s="156">
        <f t="shared" si="15"/>
        <v>31644385.657080796</v>
      </c>
    </row>
    <row r="29" spans="1:25" x14ac:dyDescent="0.25">
      <c r="A29" s="143">
        <v>26</v>
      </c>
      <c r="B29" s="170" t="s">
        <v>380</v>
      </c>
      <c r="C29" s="150"/>
      <c r="D29" s="154"/>
      <c r="E29" s="155"/>
      <c r="F29" s="155"/>
      <c r="G29" s="155"/>
      <c r="H29" s="155"/>
      <c r="I29" s="155"/>
      <c r="J29" s="155"/>
      <c r="K29" s="155"/>
      <c r="L29" s="155"/>
      <c r="M29" s="155"/>
      <c r="N29" s="156"/>
      <c r="O29" s="154"/>
      <c r="P29" s="155"/>
      <c r="Q29" s="155"/>
      <c r="R29" s="155"/>
      <c r="S29" s="155"/>
      <c r="T29" s="155"/>
      <c r="U29" s="155"/>
      <c r="V29" s="155"/>
      <c r="W29" s="155"/>
      <c r="X29" s="155"/>
      <c r="Y29" s="156"/>
    </row>
    <row r="30" spans="1:25" x14ac:dyDescent="0.25">
      <c r="A30" s="143">
        <v>27</v>
      </c>
      <c r="B30" s="170" t="s">
        <v>408</v>
      </c>
      <c r="C30" s="150"/>
      <c r="D30" s="154">
        <f>-'666'!C364</f>
        <v>-87599403</v>
      </c>
      <c r="E30" s="155">
        <f>-'666'!D364</f>
        <v>-6396300</v>
      </c>
      <c r="F30" s="155">
        <v>0</v>
      </c>
      <c r="G30" s="155">
        <v>0</v>
      </c>
      <c r="H30" s="155">
        <v>0</v>
      </c>
      <c r="I30" s="155">
        <v>0</v>
      </c>
      <c r="J30" s="155">
        <v>0</v>
      </c>
      <c r="K30" s="155">
        <v>0</v>
      </c>
      <c r="L30" s="155">
        <v>0</v>
      </c>
      <c r="M30" s="155">
        <v>0</v>
      </c>
      <c r="N30" s="156">
        <v>0</v>
      </c>
      <c r="O30" s="154">
        <f>D30</f>
        <v>-87599403</v>
      </c>
      <c r="P30" s="155">
        <f>E30</f>
        <v>-6396300</v>
      </c>
      <c r="Q30" s="155">
        <v>0</v>
      </c>
      <c r="R30" s="155">
        <v>0</v>
      </c>
      <c r="S30" s="155">
        <v>0</v>
      </c>
      <c r="T30" s="155">
        <v>0</v>
      </c>
      <c r="U30" s="155">
        <v>0</v>
      </c>
      <c r="V30" s="155">
        <v>0</v>
      </c>
      <c r="W30" s="155">
        <v>0</v>
      </c>
      <c r="X30" s="155">
        <v>0</v>
      </c>
      <c r="Y30" s="156">
        <v>0</v>
      </c>
    </row>
    <row r="31" spans="1:25" x14ac:dyDescent="0.25">
      <c r="A31" s="143">
        <v>28</v>
      </c>
      <c r="B31" s="170" t="s">
        <v>381</v>
      </c>
      <c r="C31" s="150"/>
      <c r="D31" s="154" t="s">
        <v>268</v>
      </c>
      <c r="E31" s="155" t="s">
        <v>268</v>
      </c>
      <c r="F31" s="155" t="s">
        <v>268</v>
      </c>
      <c r="G31" s="155" t="s">
        <v>268</v>
      </c>
      <c r="H31" s="155" t="s">
        <v>268</v>
      </c>
      <c r="I31" s="155" t="s">
        <v>268</v>
      </c>
      <c r="J31" s="155" t="s">
        <v>268</v>
      </c>
      <c r="K31" s="155" t="s">
        <v>268</v>
      </c>
      <c r="L31" s="155" t="s">
        <v>268</v>
      </c>
      <c r="M31" s="155" t="s">
        <v>268</v>
      </c>
      <c r="N31" s="156" t="s">
        <v>268</v>
      </c>
      <c r="O31" s="154" t="s">
        <v>268</v>
      </c>
      <c r="P31" s="155" t="s">
        <v>268</v>
      </c>
      <c r="Q31" s="155" t="s">
        <v>268</v>
      </c>
      <c r="R31" s="155" t="s">
        <v>268</v>
      </c>
      <c r="S31" s="155" t="s">
        <v>268</v>
      </c>
      <c r="T31" s="155" t="s">
        <v>268</v>
      </c>
      <c r="U31" s="155" t="s">
        <v>268</v>
      </c>
      <c r="V31" s="155" t="s">
        <v>268</v>
      </c>
      <c r="W31" s="155" t="s">
        <v>268</v>
      </c>
      <c r="X31" s="155" t="s">
        <v>268</v>
      </c>
      <c r="Y31" s="156" t="s">
        <v>268</v>
      </c>
    </row>
    <row r="32" spans="1:25" x14ac:dyDescent="0.25">
      <c r="A32" s="143">
        <v>29</v>
      </c>
      <c r="B32" s="170" t="s">
        <v>416</v>
      </c>
      <c r="C32" s="150"/>
      <c r="D32" s="154">
        <f>D30</f>
        <v>-87599403</v>
      </c>
      <c r="E32" s="155">
        <f t="shared" ref="E32:Y32" si="16">E30</f>
        <v>-6396300</v>
      </c>
      <c r="F32" s="155">
        <f>F30</f>
        <v>0</v>
      </c>
      <c r="G32" s="155">
        <f t="shared" si="16"/>
        <v>0</v>
      </c>
      <c r="H32" s="155">
        <f t="shared" si="16"/>
        <v>0</v>
      </c>
      <c r="I32" s="155">
        <f t="shared" si="16"/>
        <v>0</v>
      </c>
      <c r="J32" s="155">
        <f t="shared" si="16"/>
        <v>0</v>
      </c>
      <c r="K32" s="155">
        <f t="shared" si="16"/>
        <v>0</v>
      </c>
      <c r="L32" s="155">
        <f t="shared" si="16"/>
        <v>0</v>
      </c>
      <c r="M32" s="155">
        <f t="shared" si="16"/>
        <v>0</v>
      </c>
      <c r="N32" s="156">
        <f t="shared" si="16"/>
        <v>0</v>
      </c>
      <c r="O32" s="154">
        <f t="shared" si="16"/>
        <v>-87599403</v>
      </c>
      <c r="P32" s="155">
        <f t="shared" si="16"/>
        <v>-6396300</v>
      </c>
      <c r="Q32" s="155">
        <f t="shared" si="16"/>
        <v>0</v>
      </c>
      <c r="R32" s="155">
        <f t="shared" si="16"/>
        <v>0</v>
      </c>
      <c r="S32" s="155">
        <f t="shared" si="16"/>
        <v>0</v>
      </c>
      <c r="T32" s="155">
        <f t="shared" si="16"/>
        <v>0</v>
      </c>
      <c r="U32" s="155">
        <f t="shared" si="16"/>
        <v>0</v>
      </c>
      <c r="V32" s="155">
        <f t="shared" si="16"/>
        <v>0</v>
      </c>
      <c r="W32" s="155">
        <f t="shared" si="16"/>
        <v>0</v>
      </c>
      <c r="X32" s="155">
        <f t="shared" si="16"/>
        <v>0</v>
      </c>
      <c r="Y32" s="156">
        <f t="shared" si="16"/>
        <v>0</v>
      </c>
    </row>
    <row r="33" spans="1:25" x14ac:dyDescent="0.25">
      <c r="A33" s="143">
        <v>30</v>
      </c>
      <c r="B33" s="170" t="s">
        <v>382</v>
      </c>
      <c r="C33" s="150"/>
      <c r="D33" s="154">
        <f>D28+D32</f>
        <v>-87599403</v>
      </c>
      <c r="E33" s="155">
        <f>E28+E32</f>
        <v>-6396300</v>
      </c>
      <c r="F33" s="155">
        <f>F28+F32</f>
        <v>-7228054.6286489898</v>
      </c>
      <c r="G33" s="155">
        <f t="shared" ref="G33:Y33" si="17">G28+G32</f>
        <v>19849085.657080803</v>
      </c>
      <c r="H33" s="155">
        <f t="shared" si="17"/>
        <v>57736385.657080792</v>
      </c>
      <c r="I33" s="155">
        <f t="shared" si="17"/>
        <v>82994585.65708077</v>
      </c>
      <c r="J33" s="155">
        <f t="shared" si="17"/>
        <v>95623685.65708077</v>
      </c>
      <c r="K33" s="155">
        <f t="shared" si="17"/>
        <v>95623685.65708077</v>
      </c>
      <c r="L33" s="155">
        <f t="shared" si="17"/>
        <v>95623685.65708077</v>
      </c>
      <c r="M33" s="155">
        <f t="shared" si="17"/>
        <v>95623685.65708077</v>
      </c>
      <c r="N33" s="156">
        <f>N28+N32</f>
        <v>95623685.65708077</v>
      </c>
      <c r="O33" s="154">
        <f t="shared" si="17"/>
        <v>-87599403</v>
      </c>
      <c r="P33" s="155">
        <f t="shared" si="17"/>
        <v>-6396300</v>
      </c>
      <c r="Q33" s="155">
        <f>Q28+Q32</f>
        <v>-23222879.628648989</v>
      </c>
      <c r="R33" s="155">
        <f t="shared" si="17"/>
        <v>-7644954.6286489973</v>
      </c>
      <c r="S33" s="155">
        <f t="shared" si="17"/>
        <v>12950875.657080792</v>
      </c>
      <c r="T33" s="155">
        <f t="shared" si="17"/>
        <v>25413215.657080792</v>
      </c>
      <c r="U33" s="155">
        <f t="shared" si="17"/>
        <v>31644385.657080796</v>
      </c>
      <c r="V33" s="155">
        <f t="shared" si="17"/>
        <v>31644385.657080796</v>
      </c>
      <c r="W33" s="155">
        <f t="shared" si="17"/>
        <v>31644385.657080796</v>
      </c>
      <c r="X33" s="155">
        <f t="shared" si="17"/>
        <v>31644385.657080796</v>
      </c>
      <c r="Y33" s="156">
        <f t="shared" si="17"/>
        <v>31644385.657080796</v>
      </c>
    </row>
    <row r="34" spans="1:25" x14ac:dyDescent="0.25">
      <c r="A34" s="143">
        <v>31</v>
      </c>
      <c r="B34" s="170" t="s">
        <v>383</v>
      </c>
      <c r="C34" s="150"/>
      <c r="D34" s="154">
        <f>'666'!D457</f>
        <v>26279820.899999999</v>
      </c>
      <c r="E34" s="155">
        <f>'666'!E457</f>
        <v>28198711.199999999</v>
      </c>
      <c r="F34" s="155">
        <f>'666'!F457</f>
        <v>33556466.270999998</v>
      </c>
      <c r="G34" s="155">
        <f>'666'!G457</f>
        <v>38914221.342</v>
      </c>
      <c r="H34" s="155">
        <f>'666'!H457</f>
        <v>44271976.413000003</v>
      </c>
      <c r="I34" s="155">
        <f>'666'!I457</f>
        <v>49629731.484000005</v>
      </c>
      <c r="J34" s="155">
        <f>'666'!J457</f>
        <v>54987486.555000007</v>
      </c>
      <c r="K34" s="155">
        <f>$J34</f>
        <v>54987486.555000007</v>
      </c>
      <c r="L34" s="155">
        <f>$J34</f>
        <v>54987486.555000007</v>
      </c>
      <c r="M34" s="155">
        <f>$J34</f>
        <v>54987486.555000007</v>
      </c>
      <c r="N34" s="156">
        <f>$J34</f>
        <v>54987486.555000007</v>
      </c>
      <c r="O34" s="154">
        <f>D34</f>
        <v>26279820.899999999</v>
      </c>
      <c r="P34" s="155">
        <f t="shared" ref="P34:Y34" si="18">E34</f>
        <v>28198711.199999999</v>
      </c>
      <c r="Q34" s="155">
        <f t="shared" si="18"/>
        <v>33556466.270999998</v>
      </c>
      <c r="R34" s="155">
        <f t="shared" si="18"/>
        <v>38914221.342</v>
      </c>
      <c r="S34" s="155">
        <f t="shared" si="18"/>
        <v>44271976.413000003</v>
      </c>
      <c r="T34" s="155">
        <f t="shared" si="18"/>
        <v>49629731.484000005</v>
      </c>
      <c r="U34" s="155">
        <f t="shared" si="18"/>
        <v>54987486.555000007</v>
      </c>
      <c r="V34" s="155">
        <f t="shared" si="18"/>
        <v>54987486.555000007</v>
      </c>
      <c r="W34" s="155">
        <f t="shared" si="18"/>
        <v>54987486.555000007</v>
      </c>
      <c r="X34" s="155">
        <f t="shared" si="18"/>
        <v>54987486.555000007</v>
      </c>
      <c r="Y34" s="156">
        <f t="shared" si="18"/>
        <v>54987486.555000007</v>
      </c>
    </row>
    <row r="35" spans="1:25" x14ac:dyDescent="0.25">
      <c r="A35" s="143">
        <v>32</v>
      </c>
      <c r="B35" s="170" t="s">
        <v>409</v>
      </c>
      <c r="C35" s="150"/>
      <c r="D35" s="173">
        <f>'666'!B486</f>
        <v>1</v>
      </c>
      <c r="E35" s="173">
        <f>'666'!C486</f>
        <v>0.83299999999999996</v>
      </c>
      <c r="F35" s="173">
        <f>'666'!D486</f>
        <v>0.69399999999999995</v>
      </c>
      <c r="G35" s="173">
        <f>'666'!E486</f>
        <v>0.57899999999999996</v>
      </c>
      <c r="H35" s="173">
        <f>'666'!F486</f>
        <v>0.48199999999999998</v>
      </c>
      <c r="I35" s="173">
        <f>'666'!G486</f>
        <v>0.40200000000000002</v>
      </c>
      <c r="J35" s="173">
        <f>'666'!H486</f>
        <v>0.33500000000000002</v>
      </c>
      <c r="K35" s="173">
        <f>'666'!I486</f>
        <v>0.27900000000000003</v>
      </c>
      <c r="L35" s="173">
        <f>'666'!J486</f>
        <v>0.23300000000000001</v>
      </c>
      <c r="M35" s="173">
        <f>'666'!K486</f>
        <v>0.19400000000000001</v>
      </c>
      <c r="N35" s="173">
        <f>'666'!L486</f>
        <v>0.16200000000000001</v>
      </c>
      <c r="O35" s="173">
        <f>'666'!B486</f>
        <v>1</v>
      </c>
      <c r="P35" s="173">
        <f>'666'!C486</f>
        <v>0.83299999999999996</v>
      </c>
      <c r="Q35" s="173">
        <f>'666'!D486</f>
        <v>0.69399999999999995</v>
      </c>
      <c r="R35" s="173">
        <f>'666'!E486</f>
        <v>0.57899999999999996</v>
      </c>
      <c r="S35" s="173">
        <f>'666'!F486</f>
        <v>0.48199999999999998</v>
      </c>
      <c r="T35" s="173">
        <f>'666'!G486</f>
        <v>0.40200000000000002</v>
      </c>
      <c r="U35" s="173">
        <f>'666'!H486</f>
        <v>0.33500000000000002</v>
      </c>
      <c r="V35" s="173">
        <f>'666'!I486</f>
        <v>0.27900000000000003</v>
      </c>
      <c r="W35" s="173">
        <f>'666'!J486</f>
        <v>0.23300000000000001</v>
      </c>
      <c r="X35" s="173">
        <f>'666'!K486</f>
        <v>0.19400000000000001</v>
      </c>
      <c r="Y35" s="173">
        <f>'666'!L486</f>
        <v>0.16200000000000001</v>
      </c>
    </row>
    <row r="36" spans="1:25" x14ac:dyDescent="0.25">
      <c r="A36" s="143">
        <v>33</v>
      </c>
      <c r="B36" s="170" t="s">
        <v>417</v>
      </c>
      <c r="C36" s="150"/>
      <c r="D36" s="154">
        <f>D33*D35</f>
        <v>-87599403</v>
      </c>
      <c r="E36" s="155">
        <f t="shared" ref="E36:Y36" si="19">E33*E35</f>
        <v>-5328117.8999999994</v>
      </c>
      <c r="F36" s="155">
        <f t="shared" si="19"/>
        <v>-5016269.9122823989</v>
      </c>
      <c r="G36" s="155">
        <f t="shared" si="19"/>
        <v>11492620.595449785</v>
      </c>
      <c r="H36" s="155">
        <f t="shared" si="19"/>
        <v>27828937.886712942</v>
      </c>
      <c r="I36" s="155">
        <f t="shared" si="19"/>
        <v>33363823.434146471</v>
      </c>
      <c r="J36" s="155">
        <f t="shared" si="19"/>
        <v>32033934.695122059</v>
      </c>
      <c r="K36" s="155">
        <f t="shared" si="19"/>
        <v>26679008.298325539</v>
      </c>
      <c r="L36" s="155">
        <f t="shared" si="19"/>
        <v>22280318.75809982</v>
      </c>
      <c r="M36" s="155">
        <f t="shared" si="19"/>
        <v>18550995.017473672</v>
      </c>
      <c r="N36" s="156">
        <f>N33*N35</f>
        <v>15491037.076447085</v>
      </c>
      <c r="O36" s="154">
        <f t="shared" si="19"/>
        <v>-87599403</v>
      </c>
      <c r="P36" s="155">
        <f t="shared" si="19"/>
        <v>-5328117.8999999994</v>
      </c>
      <c r="Q36" s="155">
        <f t="shared" si="19"/>
        <v>-16116678.462282397</v>
      </c>
      <c r="R36" s="155">
        <f t="shared" si="19"/>
        <v>-4426428.7299877694</v>
      </c>
      <c r="S36" s="155">
        <f t="shared" si="19"/>
        <v>6242322.066712941</v>
      </c>
      <c r="T36" s="155">
        <f t="shared" si="19"/>
        <v>10216112.694146479</v>
      </c>
      <c r="U36" s="155">
        <f t="shared" si="19"/>
        <v>10600869.195122067</v>
      </c>
      <c r="V36" s="155">
        <f t="shared" si="19"/>
        <v>8828783.5983255431</v>
      </c>
      <c r="W36" s="155">
        <f t="shared" si="19"/>
        <v>7373141.8580998257</v>
      </c>
      <c r="X36" s="155">
        <f t="shared" si="19"/>
        <v>6139010.8174736742</v>
      </c>
      <c r="Y36" s="156">
        <f t="shared" si="19"/>
        <v>5126390.4764470886</v>
      </c>
    </row>
    <row r="37" spans="1:25" x14ac:dyDescent="0.25">
      <c r="A37" s="143">
        <v>34</v>
      </c>
      <c r="B37" s="170" t="s">
        <v>410</v>
      </c>
      <c r="C37" s="150"/>
      <c r="D37" s="154">
        <f>D36</f>
        <v>-87599403</v>
      </c>
      <c r="E37" s="155">
        <f>D37+E36</f>
        <v>-92927520.900000006</v>
      </c>
      <c r="F37" s="155">
        <f t="shared" ref="F37:Y37" si="20">E37+F36</f>
        <v>-97943790.812282398</v>
      </c>
      <c r="G37" s="155">
        <f t="shared" si="20"/>
        <v>-86451170.216832608</v>
      </c>
      <c r="H37" s="155">
        <f t="shared" si="20"/>
        <v>-58622232.330119669</v>
      </c>
      <c r="I37" s="155">
        <f t="shared" si="20"/>
        <v>-25258408.895973198</v>
      </c>
      <c r="J37" s="155">
        <f t="shared" si="20"/>
        <v>6775525.7991488613</v>
      </c>
      <c r="K37" s="155">
        <f t="shared" si="20"/>
        <v>33454534.0974744</v>
      </c>
      <c r="L37" s="155">
        <f t="shared" si="20"/>
        <v>55734852.85557422</v>
      </c>
      <c r="M37" s="155">
        <f t="shared" si="20"/>
        <v>74285847.873047888</v>
      </c>
      <c r="N37" s="156">
        <f>M37+N36</f>
        <v>89776884.949494973</v>
      </c>
      <c r="O37" s="154">
        <f>O36</f>
        <v>-87599403</v>
      </c>
      <c r="P37" s="155">
        <f t="shared" si="20"/>
        <v>-92927520.900000006</v>
      </c>
      <c r="Q37" s="155">
        <f t="shared" si="20"/>
        <v>-109044199.3622824</v>
      </c>
      <c r="R37" s="155">
        <f t="shared" si="20"/>
        <v>-113470628.09227017</v>
      </c>
      <c r="S37" s="155">
        <f t="shared" si="20"/>
        <v>-107228306.02555722</v>
      </c>
      <c r="T37" s="155">
        <f t="shared" si="20"/>
        <v>-97012193.331410736</v>
      </c>
      <c r="U37" s="155">
        <f t="shared" si="20"/>
        <v>-86411324.136288673</v>
      </c>
      <c r="V37" s="155">
        <f t="shared" si="20"/>
        <v>-77582540.537963122</v>
      </c>
      <c r="W37" s="155">
        <f t="shared" si="20"/>
        <v>-70209398.679863304</v>
      </c>
      <c r="X37" s="155">
        <f t="shared" si="20"/>
        <v>-64070387.862389632</v>
      </c>
      <c r="Y37" s="156">
        <f t="shared" si="20"/>
        <v>-58943997.385942541</v>
      </c>
    </row>
    <row r="38" spans="1:25" x14ac:dyDescent="0.25">
      <c r="A38" s="143">
        <v>35</v>
      </c>
      <c r="B38" s="170" t="s">
        <v>349</v>
      </c>
      <c r="C38" s="150"/>
      <c r="D38" s="154" t="str">
        <f>D7</f>
        <v>-</v>
      </c>
      <c r="E38" s="155" t="str">
        <f t="shared" ref="E38:Y38" si="21">E7</f>
        <v>-</v>
      </c>
      <c r="F38" s="155">
        <f t="shared" si="21"/>
        <v>65807279.999999993</v>
      </c>
      <c r="G38" s="155">
        <f t="shared" si="21"/>
        <v>131614559.99999999</v>
      </c>
      <c r="H38" s="155">
        <f t="shared" si="21"/>
        <v>230325479.99999997</v>
      </c>
      <c r="I38" s="155">
        <f t="shared" si="21"/>
        <v>296132759.99999994</v>
      </c>
      <c r="J38" s="155">
        <f t="shared" si="21"/>
        <v>329036399.99999994</v>
      </c>
      <c r="K38" s="155">
        <f t="shared" si="21"/>
        <v>329036399.99999994</v>
      </c>
      <c r="L38" s="155">
        <f t="shared" si="21"/>
        <v>329036399.99999994</v>
      </c>
      <c r="M38" s="155">
        <f t="shared" si="21"/>
        <v>329036399.99999994</v>
      </c>
      <c r="N38" s="156">
        <f t="shared" si="21"/>
        <v>329036399.99999994</v>
      </c>
      <c r="O38" s="154" t="str">
        <f t="shared" si="21"/>
        <v>-</v>
      </c>
      <c r="P38" s="155" t="str">
        <f t="shared" si="21"/>
        <v>-</v>
      </c>
      <c r="Q38" s="155">
        <f t="shared" si="21"/>
        <v>46613489.999999993</v>
      </c>
      <c r="R38" s="155">
        <f t="shared" si="21"/>
        <v>93226979.999999985</v>
      </c>
      <c r="S38" s="155">
        <f t="shared" si="21"/>
        <v>163147214.99999997</v>
      </c>
      <c r="T38" s="155">
        <f t="shared" si="21"/>
        <v>209760704.99999997</v>
      </c>
      <c r="U38" s="155">
        <f t="shared" si="21"/>
        <v>233067449.99999997</v>
      </c>
      <c r="V38" s="155">
        <f t="shared" si="21"/>
        <v>233067449.99999997</v>
      </c>
      <c r="W38" s="155">
        <f t="shared" si="21"/>
        <v>233067449.99999997</v>
      </c>
      <c r="X38" s="155">
        <f t="shared" si="21"/>
        <v>233067449.99999997</v>
      </c>
      <c r="Y38" s="156">
        <f t="shared" si="21"/>
        <v>233067449.99999997</v>
      </c>
    </row>
    <row r="39" spans="1:25" ht="15.75" thickBot="1" x14ac:dyDescent="0.3">
      <c r="A39" s="143">
        <v>36</v>
      </c>
      <c r="B39" s="170" t="s">
        <v>411</v>
      </c>
      <c r="C39" s="150"/>
      <c r="D39" s="160" t="s">
        <v>268</v>
      </c>
      <c r="E39" s="161" t="s">
        <v>268</v>
      </c>
      <c r="F39" s="161">
        <f t="shared" ref="F39:Y39" si="22">F38*F35</f>
        <v>45670252.319999993</v>
      </c>
      <c r="G39" s="161">
        <f t="shared" si="22"/>
        <v>76204830.23999998</v>
      </c>
      <c r="H39" s="161">
        <f t="shared" si="22"/>
        <v>111016881.35999998</v>
      </c>
      <c r="I39" s="161">
        <f t="shared" si="22"/>
        <v>119045369.51999998</v>
      </c>
      <c r="J39" s="161">
        <f t="shared" si="22"/>
        <v>110227193.99999999</v>
      </c>
      <c r="K39" s="161">
        <f t="shared" si="22"/>
        <v>91801155.599999994</v>
      </c>
      <c r="L39" s="161">
        <f t="shared" si="22"/>
        <v>76665481.199999988</v>
      </c>
      <c r="M39" s="161">
        <f t="shared" si="22"/>
        <v>63833061.599999994</v>
      </c>
      <c r="N39" s="162">
        <f t="shared" si="22"/>
        <v>53303896.79999999</v>
      </c>
      <c r="O39" s="160" t="s">
        <v>268</v>
      </c>
      <c r="P39" s="161" t="s">
        <v>268</v>
      </c>
      <c r="Q39" s="161">
        <f t="shared" si="22"/>
        <v>32349762.059999991</v>
      </c>
      <c r="R39" s="161">
        <f t="shared" si="22"/>
        <v>53978421.419999987</v>
      </c>
      <c r="S39" s="161">
        <f t="shared" si="22"/>
        <v>78636957.62999998</v>
      </c>
      <c r="T39" s="161">
        <f t="shared" si="22"/>
        <v>84323803.409999996</v>
      </c>
      <c r="U39" s="161">
        <f t="shared" si="22"/>
        <v>78077595.75</v>
      </c>
      <c r="V39" s="161">
        <f t="shared" si="22"/>
        <v>65025818.549999997</v>
      </c>
      <c r="W39" s="161">
        <f t="shared" si="22"/>
        <v>54304715.849999994</v>
      </c>
      <c r="X39" s="161">
        <f t="shared" si="22"/>
        <v>45215085.299999997</v>
      </c>
      <c r="Y39" s="162">
        <f t="shared" si="22"/>
        <v>37756926.899999999</v>
      </c>
    </row>
    <row r="40" spans="1:25" ht="15.75" thickBot="1" x14ac:dyDescent="0.3">
      <c r="A40" s="143">
        <v>37</v>
      </c>
      <c r="B40" s="170" t="s">
        <v>412</v>
      </c>
      <c r="C40" s="150"/>
      <c r="D40" s="286">
        <f>SUM(F39:N39)</f>
        <v>747768122.63999999</v>
      </c>
      <c r="E40" s="287"/>
      <c r="F40" s="287"/>
      <c r="G40" s="287"/>
      <c r="H40" s="287"/>
      <c r="I40" s="287"/>
      <c r="J40" s="287"/>
      <c r="K40" s="287"/>
      <c r="L40" s="287"/>
      <c r="M40" s="287"/>
      <c r="N40" s="288"/>
      <c r="O40" s="286">
        <f>SUM(Q39:Y39)</f>
        <v>529669086.86999995</v>
      </c>
      <c r="P40" s="287"/>
      <c r="Q40" s="287"/>
      <c r="R40" s="287"/>
      <c r="S40" s="287"/>
      <c r="T40" s="287"/>
      <c r="U40" s="287"/>
      <c r="V40" s="287"/>
      <c r="W40" s="287"/>
      <c r="X40" s="287"/>
      <c r="Y40" s="288"/>
    </row>
    <row r="41" spans="1:25" x14ac:dyDescent="0.25">
      <c r="A41" s="143">
        <v>38</v>
      </c>
      <c r="B41" s="170" t="s">
        <v>346</v>
      </c>
      <c r="C41" s="150"/>
      <c r="D41" s="163">
        <f>D17-D23-D26-D30</f>
        <v>87599403</v>
      </c>
      <c r="E41" s="164">
        <f t="shared" ref="E41:Y41" si="23">E17-E23-E26-E30</f>
        <v>6396300</v>
      </c>
      <c r="F41" s="164">
        <f t="shared" si="23"/>
        <v>-15534154.628648981</v>
      </c>
      <c r="G41" s="164">
        <f t="shared" si="23"/>
        <v>3236885.657080818</v>
      </c>
      <c r="H41" s="164">
        <f t="shared" si="23"/>
        <v>28665035.657080822</v>
      </c>
      <c r="I41" s="164">
        <f t="shared" si="23"/>
        <v>45617135.657080829</v>
      </c>
      <c r="J41" s="164">
        <f t="shared" si="23"/>
        <v>54093185.657080829</v>
      </c>
      <c r="K41" s="164">
        <f t="shared" si="23"/>
        <v>54093185.657080829</v>
      </c>
      <c r="L41" s="164">
        <f t="shared" si="23"/>
        <v>54093185.657080829</v>
      </c>
      <c r="M41" s="164">
        <f t="shared" si="23"/>
        <v>54093185.657080829</v>
      </c>
      <c r="N41" s="165">
        <f t="shared" si="23"/>
        <v>54093185.657080829</v>
      </c>
      <c r="O41" s="163">
        <f t="shared" si="23"/>
        <v>87599403</v>
      </c>
      <c r="P41" s="164">
        <f t="shared" si="23"/>
        <v>6396300</v>
      </c>
      <c r="Q41" s="164">
        <f t="shared" si="23"/>
        <v>-15534154.628648981</v>
      </c>
      <c r="R41" s="164">
        <f t="shared" si="23"/>
        <v>7732495.3713510185</v>
      </c>
      <c r="S41" s="164">
        <f t="shared" si="23"/>
        <v>39861413.157080822</v>
      </c>
      <c r="T41" s="164">
        <f t="shared" si="23"/>
        <v>60012478.157080822</v>
      </c>
      <c r="U41" s="164">
        <f t="shared" si="23"/>
        <v>70088010.657080814</v>
      </c>
      <c r="V41" s="164">
        <f t="shared" si="23"/>
        <v>70088010.657080814</v>
      </c>
      <c r="W41" s="164">
        <f t="shared" si="23"/>
        <v>70088010.657080814</v>
      </c>
      <c r="X41" s="164">
        <f t="shared" si="23"/>
        <v>70088010.657080814</v>
      </c>
      <c r="Y41" s="165">
        <f t="shared" si="23"/>
        <v>70088010.657080814</v>
      </c>
    </row>
    <row r="42" spans="1:25" ht="15.75" thickBot="1" x14ac:dyDescent="0.3">
      <c r="A42" s="143">
        <v>39</v>
      </c>
      <c r="B42" s="170" t="s">
        <v>413</v>
      </c>
      <c r="C42" s="150"/>
      <c r="D42" s="160">
        <f>D41*D35</f>
        <v>87599403</v>
      </c>
      <c r="E42" s="161">
        <f t="shared" ref="E42:Y42" si="24">E41*E35</f>
        <v>5328117.8999999994</v>
      </c>
      <c r="F42" s="161">
        <f t="shared" si="24"/>
        <v>-10780703.312282393</v>
      </c>
      <c r="G42" s="161">
        <f t="shared" si="24"/>
        <v>1874156.7954497936</v>
      </c>
      <c r="H42" s="161">
        <f t="shared" si="24"/>
        <v>13816547.186712956</v>
      </c>
      <c r="I42" s="161">
        <f t="shared" si="24"/>
        <v>18338088.534146495</v>
      </c>
      <c r="J42" s="161">
        <f t="shared" si="24"/>
        <v>18121217.195122078</v>
      </c>
      <c r="K42" s="161">
        <f t="shared" si="24"/>
        <v>15091998.798325554</v>
      </c>
      <c r="L42" s="161">
        <f t="shared" si="24"/>
        <v>12603712.258099834</v>
      </c>
      <c r="M42" s="161">
        <f>M41*M35</f>
        <v>10494078.017473681</v>
      </c>
      <c r="N42" s="162">
        <f t="shared" si="24"/>
        <v>8763096.0764470939</v>
      </c>
      <c r="O42" s="160">
        <f>O41*O35</f>
        <v>87599403</v>
      </c>
      <c r="P42" s="161">
        <f t="shared" si="24"/>
        <v>5328117.8999999994</v>
      </c>
      <c r="Q42" s="161">
        <f>Q41*Q35</f>
        <v>-10780703.312282393</v>
      </c>
      <c r="R42" s="161">
        <f t="shared" si="24"/>
        <v>4477114.8200122397</v>
      </c>
      <c r="S42" s="161">
        <f t="shared" si="24"/>
        <v>19213201.141712956</v>
      </c>
      <c r="T42" s="161">
        <f t="shared" si="24"/>
        <v>24125016.21914649</v>
      </c>
      <c r="U42" s="161">
        <f t="shared" si="24"/>
        <v>23479483.570122074</v>
      </c>
      <c r="V42" s="161">
        <f t="shared" si="24"/>
        <v>19554554.973325551</v>
      </c>
      <c r="W42" s="161">
        <f t="shared" si="24"/>
        <v>16330506.483099831</v>
      </c>
      <c r="X42" s="161">
        <f t="shared" si="24"/>
        <v>13597074.067473678</v>
      </c>
      <c r="Y42" s="162">
        <f t="shared" si="24"/>
        <v>11354257.726447092</v>
      </c>
    </row>
    <row r="43" spans="1:25" ht="15.75" thickBot="1" x14ac:dyDescent="0.3">
      <c r="A43" s="143">
        <v>40</v>
      </c>
      <c r="B43" s="170" t="s">
        <v>414</v>
      </c>
      <c r="C43" s="150"/>
      <c r="D43" s="289">
        <f>SUM(D42:N42)</f>
        <v>181249712.44949505</v>
      </c>
      <c r="E43" s="290"/>
      <c r="F43" s="290"/>
      <c r="G43" s="290"/>
      <c r="H43" s="290"/>
      <c r="I43" s="290"/>
      <c r="J43" s="290"/>
      <c r="K43" s="290"/>
      <c r="L43" s="290"/>
      <c r="M43" s="290"/>
      <c r="N43" s="291"/>
      <c r="O43" s="289">
        <f>SUM(O42:Y42)</f>
        <v>214278026.58905751</v>
      </c>
      <c r="P43" s="290"/>
      <c r="Q43" s="290"/>
      <c r="R43" s="290"/>
      <c r="S43" s="290"/>
      <c r="T43" s="290"/>
      <c r="U43" s="290"/>
      <c r="V43" s="290"/>
      <c r="W43" s="290"/>
      <c r="X43" s="290"/>
      <c r="Y43" s="291"/>
    </row>
    <row r="44" spans="1:25" ht="15.75" thickBot="1" x14ac:dyDescent="0.3">
      <c r="A44" s="143">
        <v>41</v>
      </c>
      <c r="B44" s="170" t="s">
        <v>415</v>
      </c>
      <c r="C44" s="150"/>
      <c r="D44" s="166">
        <f>D30*D35</f>
        <v>-87599403</v>
      </c>
      <c r="E44" s="167">
        <f>E30*E35</f>
        <v>-5328117.8999999994</v>
      </c>
      <c r="F44" s="167" t="s">
        <v>268</v>
      </c>
      <c r="G44" s="167" t="s">
        <v>268</v>
      </c>
      <c r="H44" s="167" t="s">
        <v>268</v>
      </c>
      <c r="I44" s="167" t="s">
        <v>268</v>
      </c>
      <c r="J44" s="167" t="s">
        <v>268</v>
      </c>
      <c r="K44" s="167" t="s">
        <v>268</v>
      </c>
      <c r="L44" s="167" t="s">
        <v>268</v>
      </c>
      <c r="M44" s="167" t="s">
        <v>268</v>
      </c>
      <c r="N44" s="168" t="s">
        <v>268</v>
      </c>
      <c r="O44" s="166">
        <f>D44</f>
        <v>-87599403</v>
      </c>
      <c r="P44" s="167">
        <f t="shared" ref="P44:Y44" si="25">E44</f>
        <v>-5328117.8999999994</v>
      </c>
      <c r="Q44" s="167" t="str">
        <f t="shared" si="25"/>
        <v>-</v>
      </c>
      <c r="R44" s="167" t="str">
        <f t="shared" si="25"/>
        <v>-</v>
      </c>
      <c r="S44" s="167" t="str">
        <f t="shared" si="25"/>
        <v>-</v>
      </c>
      <c r="T44" s="167" t="str">
        <f t="shared" si="25"/>
        <v>-</v>
      </c>
      <c r="U44" s="167" t="str">
        <f t="shared" si="25"/>
        <v>-</v>
      </c>
      <c r="V44" s="167" t="str">
        <f t="shared" si="25"/>
        <v>-</v>
      </c>
      <c r="W44" s="167" t="str">
        <f t="shared" si="25"/>
        <v>-</v>
      </c>
      <c r="X44" s="167" t="str">
        <f t="shared" si="25"/>
        <v>-</v>
      </c>
      <c r="Y44" s="168" t="str">
        <f t="shared" si="25"/>
        <v>-</v>
      </c>
    </row>
    <row r="45" spans="1:25" x14ac:dyDescent="0.25">
      <c r="A45" s="148"/>
      <c r="B45" s="172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</row>
    <row r="46" spans="1:25" x14ac:dyDescent="0.25">
      <c r="A46" s="274" t="str">
        <f>"Индекс доходности дисконтированных затрат = "</f>
        <v xml:space="preserve">Индекс доходности дисконтированных затрат = </v>
      </c>
      <c r="B46" s="274"/>
      <c r="C46" s="212">
        <f>ROUND((D40/ABS(D43)),2)</f>
        <v>4.13</v>
      </c>
      <c r="D46" s="212"/>
      <c r="E46" s="212"/>
      <c r="F46" s="212"/>
      <c r="G46" s="212"/>
      <c r="H46" s="212"/>
      <c r="I46" s="212"/>
      <c r="J46" s="212"/>
      <c r="K46" s="212"/>
      <c r="L46" s="212"/>
      <c r="M46" s="212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</row>
    <row r="47" spans="1:25" x14ac:dyDescent="0.25">
      <c r="A47" s="274" t="str">
        <f>"Индекс доходности дисконтрированных инвестиций ="</f>
        <v>Индекс доходности дисконтрированных инвестиций =</v>
      </c>
      <c r="B47" s="274"/>
      <c r="C47" s="201">
        <f>C46+(C46+N38)/ABS(SUM(D44:E44))</f>
        <v>7.6707853447858412</v>
      </c>
      <c r="D47" s="212"/>
      <c r="E47" s="212"/>
      <c r="F47" s="212"/>
      <c r="G47" s="212"/>
      <c r="H47" s="212"/>
      <c r="I47" s="212"/>
      <c r="J47" s="212"/>
      <c r="K47" s="212"/>
      <c r="L47" s="212"/>
      <c r="M47" s="212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</row>
    <row r="48" spans="1:25" x14ac:dyDescent="0.25">
      <c r="A48" s="285" t="str">
        <f>"Внутренняя норма доходности = "</f>
        <v xml:space="preserve">Внутренняя норма доходности = </v>
      </c>
      <c r="B48" s="285"/>
      <c r="C48" s="201">
        <f>ROUND(20+(N38/(N38-M53)*(30-20)),2)</f>
        <v>30.25</v>
      </c>
      <c r="D48" s="212"/>
      <c r="E48" s="212"/>
      <c r="F48" s="212"/>
      <c r="G48" s="212"/>
      <c r="H48" s="212"/>
      <c r="I48" s="212"/>
      <c r="J48" s="212"/>
      <c r="K48" s="212"/>
      <c r="L48" s="212"/>
      <c r="M48" s="212"/>
    </row>
    <row r="49" spans="1:13" ht="15.75" x14ac:dyDescent="0.25">
      <c r="A49" s="213"/>
      <c r="B49" s="202" t="s">
        <v>392</v>
      </c>
      <c r="C49" s="203">
        <v>0</v>
      </c>
      <c r="D49" s="203">
        <v>1</v>
      </c>
      <c r="E49" s="203">
        <v>2</v>
      </c>
      <c r="F49" s="203">
        <v>3</v>
      </c>
      <c r="G49" s="203">
        <v>4</v>
      </c>
      <c r="H49" s="203">
        <v>5</v>
      </c>
      <c r="I49" s="203">
        <v>6</v>
      </c>
      <c r="J49" s="203">
        <v>7</v>
      </c>
      <c r="K49" s="203">
        <v>8</v>
      </c>
      <c r="L49" s="203">
        <v>9</v>
      </c>
      <c r="M49" s="203">
        <v>10</v>
      </c>
    </row>
    <row r="50" spans="1:13" ht="15.75" x14ac:dyDescent="0.25">
      <c r="A50" s="213">
        <v>1</v>
      </c>
      <c r="B50" s="202" t="s">
        <v>382</v>
      </c>
      <c r="C50" s="204">
        <f t="shared" ref="C50:M50" si="26">C33</f>
        <v>0</v>
      </c>
      <c r="D50" s="204">
        <f t="shared" si="26"/>
        <v>-87599403</v>
      </c>
      <c r="E50" s="204">
        <f t="shared" si="26"/>
        <v>-6396300</v>
      </c>
      <c r="F50" s="204">
        <f t="shared" si="26"/>
        <v>-7228054.6286489898</v>
      </c>
      <c r="G50" s="204">
        <f t="shared" si="26"/>
        <v>19849085.657080803</v>
      </c>
      <c r="H50" s="204">
        <f t="shared" si="26"/>
        <v>57736385.657080792</v>
      </c>
      <c r="I50" s="204">
        <f t="shared" si="26"/>
        <v>82994585.65708077</v>
      </c>
      <c r="J50" s="204">
        <f t="shared" si="26"/>
        <v>95623685.65708077</v>
      </c>
      <c r="K50" s="204">
        <f t="shared" si="26"/>
        <v>95623685.65708077</v>
      </c>
      <c r="L50" s="204">
        <f t="shared" si="26"/>
        <v>95623685.65708077</v>
      </c>
      <c r="M50" s="204">
        <f t="shared" si="26"/>
        <v>95623685.65708077</v>
      </c>
    </row>
    <row r="51" spans="1:13" ht="15.75" x14ac:dyDescent="0.25">
      <c r="A51" s="213">
        <v>2</v>
      </c>
      <c r="B51" s="202" t="s">
        <v>388</v>
      </c>
      <c r="C51" s="202">
        <f t="shared" ref="C51:M51" si="27">ROUND(1/POWER((1+0.3),C49),3)</f>
        <v>1</v>
      </c>
      <c r="D51" s="202">
        <f t="shared" si="27"/>
        <v>0.76900000000000002</v>
      </c>
      <c r="E51" s="202">
        <f t="shared" si="27"/>
        <v>0.59199999999999997</v>
      </c>
      <c r="F51" s="202">
        <f t="shared" si="27"/>
        <v>0.45500000000000002</v>
      </c>
      <c r="G51" s="202">
        <f t="shared" si="27"/>
        <v>0.35</v>
      </c>
      <c r="H51" s="202">
        <f t="shared" si="27"/>
        <v>0.26900000000000002</v>
      </c>
      <c r="I51" s="202">
        <f t="shared" si="27"/>
        <v>0.20699999999999999</v>
      </c>
      <c r="J51" s="202">
        <f t="shared" si="27"/>
        <v>0.159</v>
      </c>
      <c r="K51" s="202">
        <f t="shared" si="27"/>
        <v>0.123</v>
      </c>
      <c r="L51" s="202">
        <f t="shared" si="27"/>
        <v>9.4E-2</v>
      </c>
      <c r="M51" s="202">
        <f t="shared" si="27"/>
        <v>7.2999999999999995E-2</v>
      </c>
    </row>
    <row r="52" spans="1:13" ht="15.75" x14ac:dyDescent="0.25">
      <c r="A52" s="213">
        <v>3</v>
      </c>
      <c r="B52" s="202" t="s">
        <v>389</v>
      </c>
      <c r="C52" s="204">
        <f t="shared" ref="C52:M52" si="28">C50*C51</f>
        <v>0</v>
      </c>
      <c r="D52" s="204">
        <f t="shared" si="28"/>
        <v>-67363940.907000005</v>
      </c>
      <c r="E52" s="204">
        <f t="shared" si="28"/>
        <v>-3786609.5999999996</v>
      </c>
      <c r="F52" s="204">
        <f t="shared" si="28"/>
        <v>-3288764.8560352903</v>
      </c>
      <c r="G52" s="204">
        <f t="shared" si="28"/>
        <v>6947179.9799782811</v>
      </c>
      <c r="H52" s="204">
        <f t="shared" si="28"/>
        <v>15531087.741754735</v>
      </c>
      <c r="I52" s="204">
        <f t="shared" si="28"/>
        <v>17179879.231015719</v>
      </c>
      <c r="J52" s="204">
        <f t="shared" si="28"/>
        <v>15204166.019475842</v>
      </c>
      <c r="K52" s="204">
        <f t="shared" si="28"/>
        <v>11761713.335820934</v>
      </c>
      <c r="L52" s="204">
        <f t="shared" si="28"/>
        <v>8988626.4517655931</v>
      </c>
      <c r="M52" s="204">
        <f t="shared" si="28"/>
        <v>6980529.0529668955</v>
      </c>
    </row>
    <row r="53" spans="1:13" ht="15.75" x14ac:dyDescent="0.25">
      <c r="A53" s="176">
        <v>4</v>
      </c>
      <c r="B53" s="202" t="s">
        <v>390</v>
      </c>
      <c r="C53" s="204">
        <f>C52</f>
        <v>0</v>
      </c>
      <c r="D53" s="205">
        <f t="shared" ref="D53:M53" si="29">C53+D52</f>
        <v>-67363940.907000005</v>
      </c>
      <c r="E53" s="205">
        <f t="shared" si="29"/>
        <v>-71150550.506999999</v>
      </c>
      <c r="F53" s="205">
        <f t="shared" si="29"/>
        <v>-74439315.363035291</v>
      </c>
      <c r="G53" s="205">
        <f t="shared" si="29"/>
        <v>-67492135.383057013</v>
      </c>
      <c r="H53" s="205">
        <f t="shared" si="29"/>
        <v>-51961047.64130228</v>
      </c>
      <c r="I53" s="205">
        <f t="shared" si="29"/>
        <v>-34781168.410286561</v>
      </c>
      <c r="J53" s="205">
        <f t="shared" si="29"/>
        <v>-19577002.390810721</v>
      </c>
      <c r="K53" s="205">
        <f t="shared" si="29"/>
        <v>-7815289.0549897868</v>
      </c>
      <c r="L53" s="205">
        <f t="shared" si="29"/>
        <v>1173337.3967758063</v>
      </c>
      <c r="M53" s="205">
        <f t="shared" si="29"/>
        <v>8153866.4497427018</v>
      </c>
    </row>
    <row r="54" spans="1:13" ht="15.75" thickBot="1" x14ac:dyDescent="0.3"/>
    <row r="55" spans="1:13" ht="15.75" thickBot="1" x14ac:dyDescent="0.3">
      <c r="A55" s="212"/>
      <c r="B55" s="221" t="s">
        <v>394</v>
      </c>
      <c r="C55" s="212"/>
    </row>
    <row r="56" spans="1:13" x14ac:dyDescent="0.25">
      <c r="A56" s="212"/>
      <c r="B56" s="212" t="str">
        <f>"Объем реализации на "&amp;G56&amp;" шаге = "</f>
        <v xml:space="preserve">Объем реализации на 0 шаге = </v>
      </c>
      <c r="C56" s="201">
        <v>0</v>
      </c>
      <c r="G56" s="212">
        <v>0</v>
      </c>
      <c r="H56" s="212">
        <f>ROUND(1/POWER((1+0.2), G56),3)</f>
        <v>1</v>
      </c>
    </row>
    <row r="57" spans="1:13" x14ac:dyDescent="0.25">
      <c r="A57" s="212"/>
      <c r="B57" s="212" t="str">
        <f>"Объем реализации на "&amp;G57&amp;" шаге = "</f>
        <v xml:space="preserve">Объем реализации на 1 шаге = </v>
      </c>
      <c r="C57" s="201">
        <v>0</v>
      </c>
      <c r="G57" s="212">
        <v>1</v>
      </c>
      <c r="H57" s="212">
        <f t="shared" ref="H57:H66" si="30">ROUND(1/POWER((1+0.2), G57),3)</f>
        <v>0.83299999999999996</v>
      </c>
    </row>
    <row r="58" spans="1:13" x14ac:dyDescent="0.25">
      <c r="A58" s="212"/>
      <c r="B58" s="212" t="str">
        <f>"Объем реализации на "&amp;G58&amp;" шаге = "&amp;'666'!D$398&amp;" ="</f>
        <v>Объем реализации на 2 шаге = 55000 =</v>
      </c>
      <c r="C58" s="201">
        <f>F$5</f>
        <v>55000</v>
      </c>
      <c r="G58" s="212">
        <v>2</v>
      </c>
      <c r="H58" s="212">
        <f t="shared" si="30"/>
        <v>0.69399999999999995</v>
      </c>
    </row>
    <row r="59" spans="1:13" x14ac:dyDescent="0.25">
      <c r="A59" s="212"/>
      <c r="B59" s="212" t="str">
        <f>"Объем реализации на "&amp;G59&amp;" шаге = "&amp;'666'!E$398&amp;" ="</f>
        <v>Объем реализации на 3 шаге = 110000 =</v>
      </c>
      <c r="C59" s="201">
        <f>G$5</f>
        <v>110000</v>
      </c>
      <c r="G59" s="212">
        <v>3</v>
      </c>
      <c r="H59" s="212">
        <f t="shared" si="30"/>
        <v>0.57899999999999996</v>
      </c>
    </row>
    <row r="60" spans="1:13" x14ac:dyDescent="0.25">
      <c r="A60" s="212"/>
      <c r="B60" s="212" t="str">
        <f>"Объем реализации на "&amp;G60&amp;" шаге = "&amp;'666'!F$398&amp;" ="</f>
        <v>Объем реализации на 4 шаге = 192500 =</v>
      </c>
      <c r="C60" s="201">
        <f>H$5</f>
        <v>192500</v>
      </c>
      <c r="G60" s="212">
        <v>4</v>
      </c>
      <c r="H60" s="212">
        <f t="shared" si="30"/>
        <v>0.48199999999999998</v>
      </c>
    </row>
    <row r="61" spans="1:13" x14ac:dyDescent="0.25">
      <c r="A61" s="212"/>
      <c r="B61" s="212" t="str">
        <f>"Объем реализации на "&amp;G61&amp;" шаге = "&amp;'666'!G$398&amp;" ="</f>
        <v>Объем реализации на 5 шаге = 247500 =</v>
      </c>
      <c r="C61" s="201">
        <f>I$5</f>
        <v>247500</v>
      </c>
      <c r="G61" s="212">
        <v>5</v>
      </c>
      <c r="H61" s="212">
        <f t="shared" si="30"/>
        <v>0.40200000000000002</v>
      </c>
    </row>
    <row r="62" spans="1:13" x14ac:dyDescent="0.25">
      <c r="A62" s="212"/>
      <c r="B62" s="212" t="str">
        <f>"Объем реализации на "&amp;G62&amp;" шаге = "&amp;'666'!H$398&amp;" ="</f>
        <v>Объем реализации на 6 шаге = 275000 =</v>
      </c>
      <c r="C62" s="201">
        <f>J$5</f>
        <v>275000</v>
      </c>
      <c r="G62" s="212">
        <v>6</v>
      </c>
      <c r="H62" s="212">
        <f t="shared" si="30"/>
        <v>0.33500000000000002</v>
      </c>
    </row>
    <row r="63" spans="1:13" x14ac:dyDescent="0.25">
      <c r="A63" s="212"/>
      <c r="B63" s="212" t="str">
        <f>"Объем реализации на "&amp;G63&amp;" шаге = "&amp;'666'!H$398&amp;" ="</f>
        <v>Объем реализации на 7 шаге = 275000 =</v>
      </c>
      <c r="C63" s="201">
        <f>K$5</f>
        <v>275000</v>
      </c>
      <c r="G63" s="212">
        <v>7</v>
      </c>
      <c r="H63" s="212">
        <f t="shared" si="30"/>
        <v>0.27900000000000003</v>
      </c>
    </row>
    <row r="64" spans="1:13" x14ac:dyDescent="0.25">
      <c r="A64" s="212"/>
      <c r="B64" s="212" t="str">
        <f>"Объем реализации на "&amp;G64&amp;" шаге = "&amp;'666'!H$398&amp;" ="</f>
        <v>Объем реализации на 8 шаге = 275000 =</v>
      </c>
      <c r="C64" s="201">
        <f t="shared" ref="C64:C66" si="31">K$5</f>
        <v>275000</v>
      </c>
      <c r="G64" s="212">
        <v>8</v>
      </c>
      <c r="H64" s="212">
        <f t="shared" si="30"/>
        <v>0.23300000000000001</v>
      </c>
    </row>
    <row r="65" spans="1:8" x14ac:dyDescent="0.25">
      <c r="A65" s="212"/>
      <c r="B65" s="212" t="str">
        <f>"Объем реализации на "&amp;G65&amp;" шаге = "&amp;'666'!H$398&amp;" ="</f>
        <v>Объем реализации на 9 шаге = 275000 =</v>
      </c>
      <c r="C65" s="201">
        <f t="shared" si="31"/>
        <v>275000</v>
      </c>
      <c r="G65" s="212">
        <v>9</v>
      </c>
      <c r="H65" s="212">
        <f t="shared" si="30"/>
        <v>0.19400000000000001</v>
      </c>
    </row>
    <row r="66" spans="1:8" x14ac:dyDescent="0.25">
      <c r="A66" s="212"/>
      <c r="B66" s="212" t="str">
        <f>"Объем реализации на "&amp;G66&amp;" шаге = "&amp;'666'!H$398&amp;" ="</f>
        <v>Объем реализации на 10 шаге = 275000 =</v>
      </c>
      <c r="C66" s="201">
        <f t="shared" si="31"/>
        <v>275000</v>
      </c>
      <c r="G66" s="212">
        <v>10</v>
      </c>
      <c r="H66" s="212">
        <f t="shared" si="30"/>
        <v>0.16200000000000001</v>
      </c>
    </row>
    <row r="67" spans="1:8" ht="15.75" thickBot="1" x14ac:dyDescent="0.3">
      <c r="A67" s="212"/>
      <c r="B67" s="212"/>
      <c r="C67" s="212"/>
    </row>
    <row r="68" spans="1:8" ht="15.75" thickBot="1" x14ac:dyDescent="0.3">
      <c r="A68" s="212"/>
      <c r="B68" s="222" t="s">
        <v>432</v>
      </c>
      <c r="C68" s="212"/>
    </row>
    <row r="69" spans="1:8" x14ac:dyDescent="0.25">
      <c r="A69" s="212"/>
      <c r="B69" s="212" t="str">
        <f>"Объем реализации на "&amp;G56&amp;" шаге = "</f>
        <v xml:space="preserve">Объем реализации на 0 шаге = </v>
      </c>
      <c r="C69" s="201">
        <v>0</v>
      </c>
    </row>
    <row r="70" spans="1:8" x14ac:dyDescent="0.25">
      <c r="A70" s="212"/>
      <c r="B70" s="212" t="str">
        <f>"Объем реализации на "&amp;G57&amp;" шаге = "</f>
        <v xml:space="preserve">Объем реализации на 1 шаге = </v>
      </c>
      <c r="C70" s="201">
        <v>0</v>
      </c>
    </row>
    <row r="71" spans="1:8" x14ac:dyDescent="0.25">
      <c r="A71" s="212"/>
      <c r="B71" s="212" t="str">
        <f>"Объем реализации на "&amp;G58&amp;" шаге = "&amp;'666'!D$398&amp;" = "</f>
        <v xml:space="preserve">Объем реализации на 2 шаге = 55000 = </v>
      </c>
      <c r="C71" s="201">
        <f>Q$5</f>
        <v>55000</v>
      </c>
    </row>
    <row r="72" spans="1:8" x14ac:dyDescent="0.25">
      <c r="A72" s="212"/>
      <c r="B72" s="212" t="str">
        <f>"Объем реализации на "&amp;G59&amp;" шаге = "&amp;'666'!E$398&amp;" = "</f>
        <v xml:space="preserve">Объем реализации на 3 шаге = 110000 = </v>
      </c>
      <c r="C72" s="201">
        <f>R$5</f>
        <v>110000</v>
      </c>
    </row>
    <row r="73" spans="1:8" x14ac:dyDescent="0.25">
      <c r="A73" s="212"/>
      <c r="B73" s="212" t="str">
        <f>"Объем реализации на "&amp;G60&amp;" шаге = "&amp;'666'!F$398&amp;" = "</f>
        <v xml:space="preserve">Объем реализации на 4 шаге = 192500 = </v>
      </c>
      <c r="C73" s="201">
        <f>S$5</f>
        <v>192500</v>
      </c>
    </row>
    <row r="74" spans="1:8" x14ac:dyDescent="0.25">
      <c r="A74" s="212"/>
      <c r="B74" s="212" t="str">
        <f>"Объем реализации на "&amp;G61&amp;" шаге = "&amp;'666'!G$398&amp;" = "</f>
        <v xml:space="preserve">Объем реализации на 5 шаге = 247500 = </v>
      </c>
      <c r="C74" s="201">
        <f>T$5</f>
        <v>247500</v>
      </c>
    </row>
    <row r="75" spans="1:8" x14ac:dyDescent="0.25">
      <c r="A75" s="212"/>
      <c r="B75" s="212" t="str">
        <f>"Объем реализации на "&amp;G62&amp;" шаге = "&amp;'666'!H$398&amp;" = "</f>
        <v xml:space="preserve">Объем реализации на 6 шаге = 275000 = </v>
      </c>
      <c r="C75" s="201">
        <f>U$5</f>
        <v>275000</v>
      </c>
    </row>
    <row r="76" spans="1:8" x14ac:dyDescent="0.25">
      <c r="A76" s="212"/>
      <c r="B76" s="212" t="str">
        <f>"Объем реализации на "&amp;G63&amp;" шаге = "&amp;'666'!H$398&amp;" = "</f>
        <v xml:space="preserve">Объем реализации на 7 шаге = 275000 = </v>
      </c>
      <c r="C76" s="201">
        <f>V$5</f>
        <v>275000</v>
      </c>
    </row>
    <row r="77" spans="1:8" x14ac:dyDescent="0.25">
      <c r="A77" s="212"/>
      <c r="B77" s="212" t="str">
        <f>"Объем реализации на "&amp;G64&amp;" шаге = "&amp;'666'!H$398&amp;" = "</f>
        <v xml:space="preserve">Объем реализации на 8 шаге = 275000 = </v>
      </c>
      <c r="C77" s="201">
        <f t="shared" ref="C77:C79" si="32">V$5</f>
        <v>275000</v>
      </c>
    </row>
    <row r="78" spans="1:8" x14ac:dyDescent="0.25">
      <c r="A78" s="212"/>
      <c r="B78" s="212" t="str">
        <f>"Объем реализации на "&amp;G65&amp;" шаге = "&amp;'666'!H$398&amp;" = "</f>
        <v xml:space="preserve">Объем реализации на 9 шаге = 275000 = </v>
      </c>
      <c r="C78" s="201">
        <f t="shared" si="32"/>
        <v>275000</v>
      </c>
    </row>
    <row r="79" spans="1:8" x14ac:dyDescent="0.25">
      <c r="A79" s="212"/>
      <c r="B79" s="212" t="str">
        <f>"Объем реализации на "&amp;G66&amp;" шаге = "&amp;'666'!H$398&amp;" = "</f>
        <v xml:space="preserve">Объем реализации на 10 шаге = 275000 = </v>
      </c>
      <c r="C79" s="201">
        <f t="shared" si="32"/>
        <v>275000</v>
      </c>
    </row>
    <row r="80" spans="1:8" ht="15.75" thickBot="1" x14ac:dyDescent="0.3">
      <c r="A80" s="212"/>
      <c r="B80" s="212"/>
      <c r="C80" s="212"/>
    </row>
    <row r="81" spans="1:3" ht="15.75" thickBot="1" x14ac:dyDescent="0.3">
      <c r="A81" s="212"/>
      <c r="B81" s="222" t="s">
        <v>394</v>
      </c>
      <c r="C81" s="212"/>
    </row>
    <row r="82" spans="1:3" x14ac:dyDescent="0.25">
      <c r="A82" s="212"/>
      <c r="B82" s="212" t="str">
        <f>"Выручка с НДС на "&amp;G56&amp;" шаге = Объем реализации * Цена единицы НДС = "</f>
        <v xml:space="preserve">Выручка с НДС на 0 шаге = Объем реализации * Цена единицы НДС = </v>
      </c>
      <c r="C82" s="212">
        <f>C56*F$6</f>
        <v>0</v>
      </c>
    </row>
    <row r="83" spans="1:3" x14ac:dyDescent="0.25">
      <c r="A83" s="212"/>
      <c r="B83" s="212" t="str">
        <f>"Выручка с НДС на "&amp;G57&amp;" шаге = Объем реализации * Цена единицы НДС = "</f>
        <v xml:space="preserve">Выручка с НДС на 1 шаге = Объем реализации * Цена единицы НДС = </v>
      </c>
      <c r="C83" s="212">
        <f t="shared" ref="C83:C92" si="33">C57*F$6</f>
        <v>0</v>
      </c>
    </row>
    <row r="84" spans="1:3" x14ac:dyDescent="0.25">
      <c r="A84" s="212"/>
      <c r="B84" s="212" t="str">
        <f>"Выручка с НДС на "&amp;G58&amp;" шаге = Объем реализации * Цена единицы НДС = "&amp;C58&amp;" * "&amp;ROUND(F$6,2)&amp;" ="</f>
        <v>Выручка с НДС на 2 шаге = Объем реализации * Цена единицы НДС = 55000 * 1196,5 =</v>
      </c>
      <c r="C84" s="212">
        <f>C58*F$6</f>
        <v>65807279.999999993</v>
      </c>
    </row>
    <row r="85" spans="1:3" x14ac:dyDescent="0.25">
      <c r="A85" s="212"/>
      <c r="B85" s="212" t="str">
        <f>"Выручка с НДС на "&amp;G59&amp;" шаге = Объем реализации * Цена единицы НДС = "&amp;C59&amp;" * "&amp;ROUND(F$6,2)&amp;" ="</f>
        <v>Выручка с НДС на 3 шаге = Объем реализации * Цена единицы НДС = 110000 * 1196,5 =</v>
      </c>
      <c r="C85" s="212">
        <f t="shared" si="33"/>
        <v>131614559.99999999</v>
      </c>
    </row>
    <row r="86" spans="1:3" x14ac:dyDescent="0.25">
      <c r="A86" s="212"/>
      <c r="B86" s="212" t="str">
        <f>"Выручка с НДС на "&amp;G60&amp;" шаге = Объем реализации * Цена единицы НДС = "&amp;C60&amp;" * "&amp;ROUND(F$6,2)&amp;" ="</f>
        <v>Выручка с НДС на 4 шаге = Объем реализации * Цена единицы НДС = 192500 * 1196,5 =</v>
      </c>
      <c r="C86" s="212">
        <f t="shared" si="33"/>
        <v>230325479.99999997</v>
      </c>
    </row>
    <row r="87" spans="1:3" x14ac:dyDescent="0.25">
      <c r="A87" s="212"/>
      <c r="B87" s="212" t="str">
        <f>"Выручка с НДС на "&amp;G61&amp;" шаге = Объем реализации * Цена единицы НДС = "&amp;C61&amp;" * "&amp;ROUND(F$6,2)&amp;" ="</f>
        <v>Выручка с НДС на 5 шаге = Объем реализации * Цена единицы НДС = 247500 * 1196,5 =</v>
      </c>
      <c r="C87" s="212">
        <f t="shared" si="33"/>
        <v>296132759.99999994</v>
      </c>
    </row>
    <row r="88" spans="1:3" x14ac:dyDescent="0.25">
      <c r="A88" s="212"/>
      <c r="B88" s="212" t="str">
        <f>"Выручка с НДС на "&amp;G62&amp;" шаге = Объем реализации * Цена единицы НДС = "&amp;C62&amp;" * "&amp;ROUND(F$6,2)&amp;" ="</f>
        <v>Выручка с НДС на 6 шаге = Объем реализации * Цена единицы НДС = 275000 * 1196,5 =</v>
      </c>
      <c r="C88" s="212">
        <f t="shared" si="33"/>
        <v>329036399.99999994</v>
      </c>
    </row>
    <row r="89" spans="1:3" x14ac:dyDescent="0.25">
      <c r="A89" s="212"/>
      <c r="B89" s="212" t="str">
        <f>"Выручка с НДС на "&amp;G63&amp;" шаге = Объем реализации * Цена единицы НДС = "&amp;C63&amp;" * "&amp;ROUND(F$6,2)&amp;" ="</f>
        <v>Выручка с НДС на 7 шаге = Объем реализации * Цена единицы НДС = 275000 * 1196,5 =</v>
      </c>
      <c r="C89" s="212">
        <f t="shared" si="33"/>
        <v>329036399.99999994</v>
      </c>
    </row>
    <row r="90" spans="1:3" x14ac:dyDescent="0.25">
      <c r="A90" s="212"/>
      <c r="B90" s="212" t="str">
        <f>"Выручка с НДС на "&amp;G64&amp;" шаге = Объем реализации * Цена единицы НДС = "&amp;C64&amp;" * "&amp;ROUND(F$6,2)&amp;" ="</f>
        <v>Выручка с НДС на 8 шаге = Объем реализации * Цена единицы НДС = 275000 * 1196,5 =</v>
      </c>
      <c r="C90" s="212">
        <f t="shared" si="33"/>
        <v>329036399.99999994</v>
      </c>
    </row>
    <row r="91" spans="1:3" x14ac:dyDescent="0.25">
      <c r="A91" s="212"/>
      <c r="B91" s="212" t="str">
        <f>"Выручка с НДС на "&amp;G65&amp;" шаге = Объем реализации * Цена единицы НДС = "&amp;C65&amp;" * "&amp;ROUND(F$6,2)&amp;" ="</f>
        <v>Выручка с НДС на 9 шаге = Объем реализации * Цена единицы НДС = 275000 * 1196,5 =</v>
      </c>
      <c r="C91" s="212">
        <f t="shared" si="33"/>
        <v>329036399.99999994</v>
      </c>
    </row>
    <row r="92" spans="1:3" x14ac:dyDescent="0.25">
      <c r="A92" s="212"/>
      <c r="B92" s="212" t="str">
        <f>"Выручка с НДС на "&amp;G66&amp;" шаге = Объем реализации * Цена единицы НДС = "&amp;C66&amp;" * "&amp;ROUND(F$6,2)&amp;" ="</f>
        <v>Выручка с НДС на 10 шаге = Объем реализации * Цена единицы НДС = 275000 * 1196,5 =</v>
      </c>
      <c r="C92" s="212">
        <f t="shared" si="33"/>
        <v>329036399.99999994</v>
      </c>
    </row>
    <row r="93" spans="1:3" ht="15.75" thickBot="1" x14ac:dyDescent="0.3">
      <c r="A93" s="212"/>
      <c r="B93" s="212"/>
      <c r="C93" s="212"/>
    </row>
    <row r="94" spans="1:3" ht="15.75" thickBot="1" x14ac:dyDescent="0.3">
      <c r="A94" s="212"/>
      <c r="B94" s="221" t="s">
        <v>395</v>
      </c>
      <c r="C94" s="212"/>
    </row>
    <row r="95" spans="1:3" x14ac:dyDescent="0.25">
      <c r="A95" s="212"/>
      <c r="B95" s="212" t="str">
        <f>"Выручка с НДС на "&amp;G56&amp;" шаге = Объем реализации * Цена единицы НДС = "</f>
        <v xml:space="preserve">Выручка с НДС на 0 шаге = Объем реализации * Цена единицы НДС = </v>
      </c>
      <c r="C95" s="212">
        <f>C69*F$6</f>
        <v>0</v>
      </c>
    </row>
    <row r="96" spans="1:3" x14ac:dyDescent="0.25">
      <c r="A96" s="212"/>
      <c r="B96" s="212" t="str">
        <f>"Выручка с НДС на "&amp;G57&amp;" шаге = Объем реализации * Цена единицы НДС = "</f>
        <v xml:space="preserve">Выручка с НДС на 1 шаге = Объем реализации * Цена единицы НДС = </v>
      </c>
      <c r="C96" s="212">
        <f t="shared" ref="C96" si="34">C70*F$6</f>
        <v>0</v>
      </c>
    </row>
    <row r="97" spans="1:3" x14ac:dyDescent="0.25">
      <c r="A97" s="212"/>
      <c r="B97" s="212" t="str">
        <f>"Выручка с НДС на "&amp;G58&amp;" шаге = Объем реализации * Цена единицы НДС = "&amp;C71&amp;" * "&amp;ROUND(Q$6,2)&amp;" ="</f>
        <v>Выручка с НДС на 2 шаге = Объем реализации * Цена единицы НДС = 55000 * 847,52 =</v>
      </c>
      <c r="C97" s="212">
        <f>C71*Q$6</f>
        <v>46613489.999999993</v>
      </c>
    </row>
    <row r="98" spans="1:3" x14ac:dyDescent="0.25">
      <c r="A98" s="212"/>
      <c r="B98" s="212" t="str">
        <f>"Выручка с НДС на "&amp;G59&amp;" шаге = Объем реализации * Цена единицы НДС = "&amp;C72&amp;" * "&amp;ROUND(Q$6,2)&amp;" ="</f>
        <v>Выручка с НДС на 3 шаге = Объем реализации * Цена единицы НДС = 110000 * 847,52 =</v>
      </c>
      <c r="C98" s="212">
        <f t="shared" ref="C98:C105" si="35">C72*Q$6</f>
        <v>93226979.999999985</v>
      </c>
    </row>
    <row r="99" spans="1:3" x14ac:dyDescent="0.25">
      <c r="A99" s="212"/>
      <c r="B99" s="212" t="str">
        <f>"Выручка с НДС на "&amp;G60&amp;" шаге = Объем реализации * Цена единицы НДС = "&amp;C73&amp;" * "&amp;ROUND(Q$6,2)&amp;" ="</f>
        <v>Выручка с НДС на 4 шаге = Объем реализации * Цена единицы НДС = 192500 * 847,52 =</v>
      </c>
      <c r="C99" s="212">
        <f t="shared" si="35"/>
        <v>163147214.99999997</v>
      </c>
    </row>
    <row r="100" spans="1:3" x14ac:dyDescent="0.25">
      <c r="A100" s="212"/>
      <c r="B100" s="212" t="str">
        <f>"Выручка с НДС на "&amp;G61&amp;" шаге = Объем реализации * Цена единицы НДС = "&amp;C74&amp;" * "&amp;ROUND(Q$6,2)&amp;" ="</f>
        <v>Выручка с НДС на 5 шаге = Объем реализации * Цена единицы НДС = 247500 * 847,52 =</v>
      </c>
      <c r="C100" s="212">
        <f t="shared" si="35"/>
        <v>209760704.99999997</v>
      </c>
    </row>
    <row r="101" spans="1:3" x14ac:dyDescent="0.25">
      <c r="A101" s="212"/>
      <c r="B101" s="212" t="str">
        <f>"Выручка с НДС на "&amp;G62&amp;" шаге = Объем реализации * Цена единицы НДС = "&amp;C75&amp;" * "&amp;ROUND(Q$6,2)&amp;" ="</f>
        <v>Выручка с НДС на 6 шаге = Объем реализации * Цена единицы НДС = 275000 * 847,52 =</v>
      </c>
      <c r="C101" s="212">
        <f t="shared" si="35"/>
        <v>233067449.99999997</v>
      </c>
    </row>
    <row r="102" spans="1:3" x14ac:dyDescent="0.25">
      <c r="A102" s="212"/>
      <c r="B102" s="212" t="str">
        <f>"Выручка с НДС на "&amp;G63&amp;" шаге = Объем реализации * Цена единицы НДС = "&amp;C76&amp;" * "&amp;ROUND(Q$6,2)&amp;" ="</f>
        <v>Выручка с НДС на 7 шаге = Объем реализации * Цена единицы НДС = 275000 * 847,52 =</v>
      </c>
      <c r="C102" s="212">
        <f t="shared" si="35"/>
        <v>233067449.99999997</v>
      </c>
    </row>
    <row r="103" spans="1:3" x14ac:dyDescent="0.25">
      <c r="A103" s="212"/>
      <c r="B103" s="212" t="str">
        <f>"Выручка с НДС на "&amp;G64&amp;" шаге = Объем реализации * Цена единицы НДС = "&amp;C77&amp;" * "&amp;ROUND(Q$6,2)&amp;" ="</f>
        <v>Выручка с НДС на 8 шаге = Объем реализации * Цена единицы НДС = 275000 * 847,52 =</v>
      </c>
      <c r="C103" s="212">
        <f t="shared" si="35"/>
        <v>233067449.99999997</v>
      </c>
    </row>
    <row r="104" spans="1:3" x14ac:dyDescent="0.25">
      <c r="A104" s="212"/>
      <c r="B104" s="212" t="str">
        <f>"Выручка с НДС на "&amp;G65&amp;" шаге = Объем реализации * Цена единицы НДС = "&amp;C78&amp;" * "&amp;ROUND(Q$6,2)&amp;" ="</f>
        <v>Выручка с НДС на 9 шаге = Объем реализации * Цена единицы НДС = 275000 * 847,52 =</v>
      </c>
      <c r="C104" s="212">
        <f t="shared" si="35"/>
        <v>233067449.99999997</v>
      </c>
    </row>
    <row r="105" spans="1:3" x14ac:dyDescent="0.25">
      <c r="A105" s="212"/>
      <c r="B105" s="212" t="str">
        <f>"Выручка с НДС на "&amp;G66&amp;" шаге = Объем реализации * Цена единицы НДС = "&amp;C79&amp;" * "&amp;ROUND(Q$6,2)&amp;" ="</f>
        <v>Выручка с НДС на 10 шаге = Объем реализации * Цена единицы НДС = 275000 * 847,52 =</v>
      </c>
      <c r="C105" s="212">
        <f t="shared" si="35"/>
        <v>233067449.99999997</v>
      </c>
    </row>
    <row r="106" spans="1:3" ht="15.75" thickBot="1" x14ac:dyDescent="0.3">
      <c r="A106" s="212"/>
      <c r="B106" s="206"/>
      <c r="C106" s="212"/>
    </row>
    <row r="107" spans="1:3" ht="15.75" thickBot="1" x14ac:dyDescent="0.3">
      <c r="A107" s="212"/>
      <c r="B107" s="221" t="s">
        <v>394</v>
      </c>
      <c r="C107" s="212"/>
    </row>
    <row r="108" spans="1:3" x14ac:dyDescent="0.25">
      <c r="A108" s="212"/>
      <c r="B108" s="218" t="str">
        <f>"НДС в выручке на "&amp;G56&amp;" шаге = (Выручка с НДС / 120) * 20 = "</f>
        <v xml:space="preserve">НДС в выручке на 0 шаге = (Выручка с НДС / 120) * 20 = </v>
      </c>
      <c r="C108" s="212">
        <f>(C82/120)*20</f>
        <v>0</v>
      </c>
    </row>
    <row r="109" spans="1:3" x14ac:dyDescent="0.25">
      <c r="A109" s="212"/>
      <c r="B109" s="218" t="str">
        <f>"НДС в выручке на "&amp;G57&amp;" шаге = (Выручка с НДС / 120) * 20 = "</f>
        <v xml:space="preserve">НДС в выручке на 1 шаге = (Выручка с НДС / 120) * 20 = </v>
      </c>
      <c r="C109" s="212">
        <f t="shared" ref="C109:C118" si="36">(C83/120)*20</f>
        <v>0</v>
      </c>
    </row>
    <row r="110" spans="1:3" x14ac:dyDescent="0.25">
      <c r="A110" s="212"/>
      <c r="B110" s="218" t="str">
        <f>"НДС в выручке на "&amp;G58&amp;" шаге = (Выручка с НДС / 120) * 20 = "</f>
        <v xml:space="preserve">НДС в выручке на 2 шаге = (Выручка с НДС / 120) * 20 = </v>
      </c>
      <c r="C110" s="212">
        <f t="shared" si="36"/>
        <v>10967879.999999998</v>
      </c>
    </row>
    <row r="111" spans="1:3" x14ac:dyDescent="0.25">
      <c r="A111" s="212"/>
      <c r="B111" s="218" t="str">
        <f>"НДС в выручке на "&amp;G59&amp;" шаге = (Выручка с НДС / 120) * 20 = "</f>
        <v xml:space="preserve">НДС в выручке на 3 шаге = (Выручка с НДС / 120) * 20 = </v>
      </c>
      <c r="C111" s="212">
        <f t="shared" si="36"/>
        <v>21935759.999999996</v>
      </c>
    </row>
    <row r="112" spans="1:3" x14ac:dyDescent="0.25">
      <c r="A112" s="212"/>
      <c r="B112" s="218" t="str">
        <f>"НДС в выручке на "&amp;G60&amp;" шаге = (Выручка с НДС / 120) * 20 = "</f>
        <v xml:space="preserve">НДС в выручке на 4 шаге = (Выручка с НДС / 120) * 20 = </v>
      </c>
      <c r="C112" s="212">
        <f t="shared" si="36"/>
        <v>38387579.999999993</v>
      </c>
    </row>
    <row r="113" spans="1:3" x14ac:dyDescent="0.25">
      <c r="A113" s="212"/>
      <c r="B113" s="218" t="str">
        <f>"НДС в выручке на "&amp;G61&amp;" шаге = (Выручка с НДС / 120) * 20 = "</f>
        <v xml:space="preserve">НДС в выручке на 5 шаге = (Выручка с НДС / 120) * 20 = </v>
      </c>
      <c r="C113" s="212">
        <f t="shared" si="36"/>
        <v>49355459.999999993</v>
      </c>
    </row>
    <row r="114" spans="1:3" x14ac:dyDescent="0.25">
      <c r="A114" s="212"/>
      <c r="B114" s="218" t="str">
        <f>"НДС в выручке на "&amp;G62&amp;" шаге = (Выручка с НДС / 120) * 20 = "</f>
        <v xml:space="preserve">НДС в выручке на 6 шаге = (Выручка с НДС / 120) * 20 = </v>
      </c>
      <c r="C114" s="212">
        <f t="shared" si="36"/>
        <v>54839399.999999993</v>
      </c>
    </row>
    <row r="115" spans="1:3" x14ac:dyDescent="0.25">
      <c r="A115" s="212"/>
      <c r="B115" s="218" t="str">
        <f>"НДС в выручке на "&amp;G63&amp;" шаге = (Выручка с НДС / 120) * 20 = "</f>
        <v xml:space="preserve">НДС в выручке на 7 шаге = (Выручка с НДС / 120) * 20 = </v>
      </c>
      <c r="C115" s="212">
        <f t="shared" si="36"/>
        <v>54839399.999999993</v>
      </c>
    </row>
    <row r="116" spans="1:3" x14ac:dyDescent="0.25">
      <c r="A116" s="212"/>
      <c r="B116" s="218" t="str">
        <f>"НДС в выручке на "&amp;G64&amp;" шаге = (Выручка с НДС / 120) * 20 = "</f>
        <v xml:space="preserve">НДС в выручке на 8 шаге = (Выручка с НДС / 120) * 20 = </v>
      </c>
      <c r="C116" s="212">
        <f t="shared" si="36"/>
        <v>54839399.999999993</v>
      </c>
    </row>
    <row r="117" spans="1:3" x14ac:dyDescent="0.25">
      <c r="A117" s="212"/>
      <c r="B117" s="218" t="str">
        <f>"НДС в выручке на "&amp;G65&amp;" шаге = (Выручка с НДС / 120) * 20 = "</f>
        <v xml:space="preserve">НДС в выручке на 9 шаге = (Выручка с НДС / 120) * 20 = </v>
      </c>
      <c r="C117" s="212">
        <f t="shared" si="36"/>
        <v>54839399.999999993</v>
      </c>
    </row>
    <row r="118" spans="1:3" x14ac:dyDescent="0.25">
      <c r="A118" s="212"/>
      <c r="B118" s="218" t="str">
        <f>"НДС в выручке на "&amp;G66&amp;" шаге = (Выручка с НДС / 120) * 20 = "</f>
        <v xml:space="preserve">НДС в выручке на 10 шаге = (Выручка с НДС / 120) * 20 = </v>
      </c>
      <c r="C118" s="212">
        <f t="shared" si="36"/>
        <v>54839399.999999993</v>
      </c>
    </row>
    <row r="119" spans="1:3" ht="15.75" thickBot="1" x14ac:dyDescent="0.3">
      <c r="A119" s="212"/>
      <c r="B119" s="219"/>
      <c r="C119" s="212"/>
    </row>
    <row r="120" spans="1:3" ht="15.75" thickBot="1" x14ac:dyDescent="0.3">
      <c r="A120" s="212"/>
      <c r="B120" s="220" t="s">
        <v>395</v>
      </c>
      <c r="C120" s="212"/>
    </row>
    <row r="121" spans="1:3" x14ac:dyDescent="0.25">
      <c r="A121" s="212"/>
      <c r="B121" s="218" t="str">
        <f>"НДС в выручке на "&amp;G56&amp;" шаге = (Выручка с НДС / 120) * 20 = "</f>
        <v xml:space="preserve">НДС в выручке на 0 шаге = (Выручка с НДС / 120) * 20 = </v>
      </c>
      <c r="C121" s="212">
        <f>(C95/120)*20</f>
        <v>0</v>
      </c>
    </row>
    <row r="122" spans="1:3" x14ac:dyDescent="0.25">
      <c r="A122" s="212"/>
      <c r="B122" s="218" t="str">
        <f>"НДС в выручке на "&amp;G57&amp;" шаге = (Выручка с НДС / 120) * 20 = "</f>
        <v xml:space="preserve">НДС в выручке на 1 шаге = (Выручка с НДС / 120) * 20 = </v>
      </c>
      <c r="C122" s="212">
        <f t="shared" ref="C122:C131" si="37">(C96/120)*20</f>
        <v>0</v>
      </c>
    </row>
    <row r="123" spans="1:3" x14ac:dyDescent="0.25">
      <c r="A123" s="212"/>
      <c r="B123" s="218" t="str">
        <f>"НДС в выручке на "&amp;G58&amp;" шаге = (Выручка с НДС / 120) * 20 = "</f>
        <v xml:space="preserve">НДС в выручке на 2 шаге = (Выручка с НДС / 120) * 20 = </v>
      </c>
      <c r="C123" s="212">
        <f t="shared" si="37"/>
        <v>7768914.9999999991</v>
      </c>
    </row>
    <row r="124" spans="1:3" x14ac:dyDescent="0.25">
      <c r="A124" s="212"/>
      <c r="B124" s="218" t="str">
        <f>"НДС в выручке на "&amp;G59&amp;" шаге = (Выручка с НДС / 120) * 20 = "</f>
        <v xml:space="preserve">НДС в выручке на 3 шаге = (Выручка с НДС / 120) * 20 = </v>
      </c>
      <c r="C124" s="212">
        <f t="shared" si="37"/>
        <v>15537829.999999998</v>
      </c>
    </row>
    <row r="125" spans="1:3" x14ac:dyDescent="0.25">
      <c r="A125" s="212"/>
      <c r="B125" s="218" t="str">
        <f>"НДС в выручке на "&amp;G60&amp;" шаге = (Выручка с НДС / 120) * 20 = "</f>
        <v xml:space="preserve">НДС в выручке на 4 шаге = (Выручка с НДС / 120) * 20 = </v>
      </c>
      <c r="C125" s="212">
        <f t="shared" si="37"/>
        <v>27191202.499999996</v>
      </c>
    </row>
    <row r="126" spans="1:3" x14ac:dyDescent="0.25">
      <c r="A126" s="212"/>
      <c r="B126" s="218" t="str">
        <f>"НДС в выручке на "&amp;G61&amp;" шаге = (Выручка с НДС / 120) * 20 = "</f>
        <v xml:space="preserve">НДС в выручке на 5 шаге = (Выручка с НДС / 120) * 20 = </v>
      </c>
      <c r="C126" s="212">
        <f t="shared" si="37"/>
        <v>34960117.499999993</v>
      </c>
    </row>
    <row r="127" spans="1:3" x14ac:dyDescent="0.25">
      <c r="A127" s="212"/>
      <c r="B127" s="218" t="str">
        <f>"НДС в выручке на "&amp;G62&amp;" шаге = (Выручка с НДС / 120) * 20 = "</f>
        <v xml:space="preserve">НДС в выручке на 6 шаге = (Выручка с НДС / 120) * 20 = </v>
      </c>
      <c r="C127" s="212">
        <f t="shared" si="37"/>
        <v>38844574.999999993</v>
      </c>
    </row>
    <row r="128" spans="1:3" x14ac:dyDescent="0.25">
      <c r="A128" s="212"/>
      <c r="B128" s="218" t="str">
        <f>"НДС в выручке на "&amp;G63&amp;" шаге = (Выручка с НДС / 120) * 20 = "</f>
        <v xml:space="preserve">НДС в выручке на 7 шаге = (Выручка с НДС / 120) * 20 = </v>
      </c>
      <c r="C128" s="212">
        <f t="shared" si="37"/>
        <v>38844574.999999993</v>
      </c>
    </row>
    <row r="129" spans="1:3" x14ac:dyDescent="0.25">
      <c r="A129" s="212"/>
      <c r="B129" s="218" t="str">
        <f>"НДС в выручке на "&amp;G64&amp;" шаге = (Выручка с НДС / 120) * 20 = "</f>
        <v xml:space="preserve">НДС в выручке на 8 шаге = (Выручка с НДС / 120) * 20 = </v>
      </c>
      <c r="C129" s="212">
        <f t="shared" si="37"/>
        <v>38844574.999999993</v>
      </c>
    </row>
    <row r="130" spans="1:3" x14ac:dyDescent="0.25">
      <c r="A130" s="212"/>
      <c r="B130" s="218" t="str">
        <f>"НДС в выручке на "&amp;G65&amp;" шаге = (Выручка с НДС / 120) * 20 = "</f>
        <v xml:space="preserve">НДС в выручке на 9 шаге = (Выручка с НДС / 120) * 20 = </v>
      </c>
      <c r="C130" s="212">
        <f t="shared" si="37"/>
        <v>38844574.999999993</v>
      </c>
    </row>
    <row r="131" spans="1:3" x14ac:dyDescent="0.25">
      <c r="A131" s="212"/>
      <c r="B131" s="218" t="str">
        <f>"НДС в выручке на "&amp;G66&amp;" шаге = (Выручка с НДС / 120) * 20 = "</f>
        <v xml:space="preserve">НДС в выручке на 10 шаге = (Выручка с НДС / 120) * 20 = </v>
      </c>
      <c r="C131" s="212">
        <f t="shared" si="37"/>
        <v>38844574.999999993</v>
      </c>
    </row>
    <row r="132" spans="1:3" ht="15.75" thickBot="1" x14ac:dyDescent="0.3">
      <c r="A132" s="212"/>
      <c r="B132" s="219"/>
      <c r="C132" s="212"/>
    </row>
    <row r="133" spans="1:3" ht="15.75" thickBot="1" x14ac:dyDescent="0.3">
      <c r="A133" s="212"/>
      <c r="B133" s="221" t="s">
        <v>394</v>
      </c>
      <c r="C133" s="212"/>
    </row>
    <row r="134" spans="1:3" x14ac:dyDescent="0.25">
      <c r="A134" s="212"/>
      <c r="B134" s="219" t="str">
        <f>"Выручка без НДС на "&amp;G56&amp;" шаге = Выручка с НДС - НДС в выручке = "</f>
        <v xml:space="preserve">Выручка без НДС на 0 шаге = Выручка с НДС - НДС в выручке = </v>
      </c>
      <c r="C134" s="212">
        <f t="shared" ref="C134:C144" si="38">C82-C108</f>
        <v>0</v>
      </c>
    </row>
    <row r="135" spans="1:3" x14ac:dyDescent="0.25">
      <c r="A135" s="212"/>
      <c r="B135" s="219" t="str">
        <f>"Выручка без НДС на "&amp;G57&amp;" шаге = Выручка с НДС - НДС в выручке = "</f>
        <v xml:space="preserve">Выручка без НДС на 1 шаге = Выручка с НДС - НДС в выручке = </v>
      </c>
      <c r="C135" s="212">
        <f t="shared" si="38"/>
        <v>0</v>
      </c>
    </row>
    <row r="136" spans="1:3" x14ac:dyDescent="0.25">
      <c r="A136" s="212"/>
      <c r="B136" s="219" t="str">
        <f>"Выручка без НДС на "&amp;G58&amp;" шаге = Выручка с НДС - НДС в выручке = "</f>
        <v xml:space="preserve">Выручка без НДС на 2 шаге = Выручка с НДС - НДС в выручке = </v>
      </c>
      <c r="C136" s="212">
        <f>C84-C110</f>
        <v>54839399.999999993</v>
      </c>
    </row>
    <row r="137" spans="1:3" x14ac:dyDescent="0.25">
      <c r="A137" s="212"/>
      <c r="B137" s="219" t="str">
        <f>"Выручка без НДС на "&amp;G59&amp;" шаге = Выручка с НДС - НДС в выручке = "</f>
        <v xml:space="preserve">Выручка без НДС на 3 шаге = Выручка с НДС - НДС в выручке = </v>
      </c>
      <c r="C137" s="212">
        <f t="shared" si="38"/>
        <v>109678799.99999999</v>
      </c>
    </row>
    <row r="138" spans="1:3" x14ac:dyDescent="0.25">
      <c r="A138" s="212"/>
      <c r="B138" s="219" t="str">
        <f>"Выручка без НДС на "&amp;G60&amp;" шаге = Выручка с НДС - НДС в выручке = "</f>
        <v xml:space="preserve">Выручка без НДС на 4 шаге = Выручка с НДС - НДС в выручке = </v>
      </c>
      <c r="C138" s="212">
        <f t="shared" si="38"/>
        <v>191937899.99999997</v>
      </c>
    </row>
    <row r="139" spans="1:3" x14ac:dyDescent="0.25">
      <c r="A139" s="212"/>
      <c r="B139" s="219" t="str">
        <f>"Выручка без НДС на "&amp;G61&amp;" шаге = Выручка с НДС - НДС в выручке = "</f>
        <v xml:space="preserve">Выручка без НДС на 5 шаге = Выручка с НДС - НДС в выручке = </v>
      </c>
      <c r="C139" s="212">
        <f t="shared" si="38"/>
        <v>246777299.99999994</v>
      </c>
    </row>
    <row r="140" spans="1:3" x14ac:dyDescent="0.25">
      <c r="A140" s="212"/>
      <c r="B140" s="219" t="str">
        <f>"Выручка без НДС на "&amp;G62&amp;" шаге = Выручка с НДС - НДС в выручке = "</f>
        <v xml:space="preserve">Выручка без НДС на 6 шаге = Выручка с НДС - НДС в выручке = </v>
      </c>
      <c r="C140" s="212">
        <f t="shared" si="38"/>
        <v>274196999.99999994</v>
      </c>
    </row>
    <row r="141" spans="1:3" x14ac:dyDescent="0.25">
      <c r="A141" s="212"/>
      <c r="B141" s="219" t="str">
        <f>"Выручка без НДС на "&amp;G63&amp;" шаге = Выручка с НДС - НДС в выручке = "</f>
        <v xml:space="preserve">Выручка без НДС на 7 шаге = Выручка с НДС - НДС в выручке = </v>
      </c>
      <c r="C141" s="212">
        <f t="shared" si="38"/>
        <v>274196999.99999994</v>
      </c>
    </row>
    <row r="142" spans="1:3" x14ac:dyDescent="0.25">
      <c r="A142" s="212"/>
      <c r="B142" s="219" t="str">
        <f>"Выручка без НДС на "&amp;G64&amp;" шаге = Выручка с НДС - НДС в выручке = "</f>
        <v xml:space="preserve">Выручка без НДС на 8 шаге = Выручка с НДС - НДС в выручке = </v>
      </c>
      <c r="C142" s="212">
        <f t="shared" si="38"/>
        <v>274196999.99999994</v>
      </c>
    </row>
    <row r="143" spans="1:3" x14ac:dyDescent="0.25">
      <c r="A143" s="212"/>
      <c r="B143" s="219" t="str">
        <f>"Выручка без НДС на "&amp;G65&amp;" шаге = Выручка с НДС - НДС в выручке = "</f>
        <v xml:space="preserve">Выручка без НДС на 9 шаге = Выручка с НДС - НДС в выручке = </v>
      </c>
      <c r="C143" s="212">
        <f t="shared" si="38"/>
        <v>274196999.99999994</v>
      </c>
    </row>
    <row r="144" spans="1:3" x14ac:dyDescent="0.25">
      <c r="A144" s="212"/>
      <c r="B144" s="219" t="str">
        <f>"Выручка без НДС на "&amp;G66&amp;" шаге = Выручка с НДС - НДС в выручке = "</f>
        <v xml:space="preserve">Выручка без НДС на 10 шаге = Выручка с НДС - НДС в выручке = </v>
      </c>
      <c r="C144" s="212">
        <f t="shared" si="38"/>
        <v>274196999.99999994</v>
      </c>
    </row>
    <row r="145" spans="1:3" ht="15.75" thickBot="1" x14ac:dyDescent="0.3">
      <c r="A145" s="212"/>
      <c r="B145" s="219"/>
      <c r="C145" s="212"/>
    </row>
    <row r="146" spans="1:3" ht="15.75" thickBot="1" x14ac:dyDescent="0.3">
      <c r="A146" s="212"/>
      <c r="B146" s="220" t="s">
        <v>395</v>
      </c>
      <c r="C146" s="212"/>
    </row>
    <row r="147" spans="1:3" x14ac:dyDescent="0.25">
      <c r="A147" s="212"/>
      <c r="B147" s="219" t="str">
        <f>"Выручка без НДС на "&amp;G56&amp;" шаге = Выручка с НДС - НДС в выручке = "</f>
        <v xml:space="preserve">Выручка без НДС на 0 шаге = Выручка с НДС - НДС в выручке = </v>
      </c>
      <c r="C147" s="212">
        <f t="shared" ref="C147:C157" si="39">C95-C121</f>
        <v>0</v>
      </c>
    </row>
    <row r="148" spans="1:3" x14ac:dyDescent="0.25">
      <c r="A148" s="212"/>
      <c r="B148" s="219" t="str">
        <f>"Выручка без НДС на "&amp;G57&amp;" шаге = Выручка с НДС - НДС в выручке = "</f>
        <v xml:space="preserve">Выручка без НДС на 1 шаге = Выручка с НДС - НДС в выручке = </v>
      </c>
      <c r="C148" s="212">
        <f>C96-C122</f>
        <v>0</v>
      </c>
    </row>
    <row r="149" spans="1:3" x14ac:dyDescent="0.25">
      <c r="A149" s="212"/>
      <c r="B149" s="219" t="str">
        <f>"Выручка без НДС на "&amp;G58&amp;" шаге = Выручка с НДС - НДС в выручке = "</f>
        <v xml:space="preserve">Выручка без НДС на 2 шаге = Выручка с НДС - НДС в выручке = </v>
      </c>
      <c r="C149" s="212">
        <f>C97-C123</f>
        <v>38844574.999999993</v>
      </c>
    </row>
    <row r="150" spans="1:3" x14ac:dyDescent="0.25">
      <c r="A150" s="212"/>
      <c r="B150" s="219" t="str">
        <f>"Выручка без НДС на "&amp;G59&amp;" шаге = Выручка с НДС - НДС в выручке = "</f>
        <v xml:space="preserve">Выручка без НДС на 3 шаге = Выручка с НДС - НДС в выручке = </v>
      </c>
      <c r="C150" s="212">
        <f t="shared" si="39"/>
        <v>77689149.999999985</v>
      </c>
    </row>
    <row r="151" spans="1:3" x14ac:dyDescent="0.25">
      <c r="A151" s="212"/>
      <c r="B151" s="219" t="str">
        <f>"Выручка без НДС на "&amp;G60&amp;" шаге = Выручка с НДС - НДС в выручке = "</f>
        <v xml:space="preserve">Выручка без НДС на 4 шаге = Выручка с НДС - НДС в выручке = </v>
      </c>
      <c r="C151" s="212">
        <f t="shared" si="39"/>
        <v>135956012.49999997</v>
      </c>
    </row>
    <row r="152" spans="1:3" x14ac:dyDescent="0.25">
      <c r="A152" s="212"/>
      <c r="B152" s="219" t="str">
        <f>"Выручка без НДС на "&amp;G61&amp;" шаге = Выручка с НДС - НДС в выручке = "</f>
        <v xml:space="preserve">Выручка без НДС на 5 шаге = Выручка с НДС - НДС в выручке = </v>
      </c>
      <c r="C152" s="212">
        <f t="shared" si="39"/>
        <v>174800587.49999997</v>
      </c>
    </row>
    <row r="153" spans="1:3" x14ac:dyDescent="0.25">
      <c r="A153" s="212"/>
      <c r="B153" s="219" t="str">
        <f>"Выручка без НДС на "&amp;G62&amp;" шаге = Выручка с НДС - НДС в выручке = "</f>
        <v xml:space="preserve">Выручка без НДС на 6 шаге = Выручка с НДС - НДС в выручке = </v>
      </c>
      <c r="C153" s="212">
        <f t="shared" si="39"/>
        <v>194222874.99999997</v>
      </c>
    </row>
    <row r="154" spans="1:3" x14ac:dyDescent="0.25">
      <c r="A154" s="212"/>
      <c r="B154" s="219" t="str">
        <f>"Выручка без НДС на "&amp;G63&amp;" шаге = Выручка с НДС - НДС в выручке = "</f>
        <v xml:space="preserve">Выручка без НДС на 7 шаге = Выручка с НДС - НДС в выручке = </v>
      </c>
      <c r="C154" s="212">
        <f t="shared" si="39"/>
        <v>194222874.99999997</v>
      </c>
    </row>
    <row r="155" spans="1:3" x14ac:dyDescent="0.25">
      <c r="A155" s="212"/>
      <c r="B155" s="219" t="str">
        <f>"Выручка без НДС на "&amp;G64&amp;" шаге = Выручка с НДС - НДС в выручке = "</f>
        <v xml:space="preserve">Выручка без НДС на 8 шаге = Выручка с НДС - НДС в выручке = </v>
      </c>
      <c r="C155" s="212">
        <f t="shared" si="39"/>
        <v>194222874.99999997</v>
      </c>
    </row>
    <row r="156" spans="1:3" x14ac:dyDescent="0.25">
      <c r="A156" s="212"/>
      <c r="B156" s="219" t="str">
        <f>"Выручка без НДС на "&amp;G65&amp;" шаге = Выручка с НДС - НДС в выручке = "</f>
        <v xml:space="preserve">Выручка без НДС на 9 шаге = Выручка с НДС - НДС в выручке = </v>
      </c>
      <c r="C156" s="212">
        <f t="shared" si="39"/>
        <v>194222874.99999997</v>
      </c>
    </row>
    <row r="157" spans="1:3" x14ac:dyDescent="0.25">
      <c r="A157" s="212"/>
      <c r="B157" s="219" t="str">
        <f>"Выручка без НДС на "&amp;G66&amp;" шаге = Выручка с НДС - НДС в выручке = "</f>
        <v xml:space="preserve">Выручка без НДС на 10 шаге = Выручка с НДС - НДС в выручке = </v>
      </c>
      <c r="C157" s="212">
        <f t="shared" si="39"/>
        <v>194222874.99999997</v>
      </c>
    </row>
    <row r="158" spans="1:3" ht="15.75" thickBot="1" x14ac:dyDescent="0.3">
      <c r="A158" s="212"/>
      <c r="B158" s="219"/>
      <c r="C158" s="212"/>
    </row>
    <row r="159" spans="1:3" ht="15.75" thickBot="1" x14ac:dyDescent="0.3">
      <c r="A159" s="212"/>
      <c r="B159" s="221" t="s">
        <v>394</v>
      </c>
      <c r="C159" s="212"/>
    </row>
    <row r="160" spans="1:3" x14ac:dyDescent="0.25">
      <c r="A160" s="270" t="str">
        <f>"Затраты на материалы на "&amp;G56&amp;" шаге = Затраты на материалы * Объем реализации = "&amp;'666'!C$342&amp;"*"&amp;C56&amp;"="</f>
        <v>Затраты на материалы на 0 шаге = Затраты на материалы * Объем реализации = 354,88*0=</v>
      </c>
      <c r="B160" s="270"/>
      <c r="C160" s="201">
        <f>'666'!C$342*C56</f>
        <v>0</v>
      </c>
    </row>
    <row r="161" spans="1:3" x14ac:dyDescent="0.25">
      <c r="A161" s="270" t="str">
        <f>"Затраты на материалы на "&amp;G57&amp;" шаге = Затраты на материалы * Объем реализации = "&amp;'666'!C$342&amp;"*"&amp;C57&amp;"="</f>
        <v>Затраты на материалы на 1 шаге = Затраты на материалы * Объем реализации = 354,88*0=</v>
      </c>
      <c r="B161" s="270"/>
      <c r="C161" s="201">
        <f>'666'!C$342*C57</f>
        <v>0</v>
      </c>
    </row>
    <row r="162" spans="1:3" x14ac:dyDescent="0.25">
      <c r="A162" s="270" t="str">
        <f>"Затраты на материалы на "&amp;G58&amp;" шаге = Затраты на материалы * Объем реализации = "&amp;'666'!C$342&amp;"*"&amp;C58&amp;"="</f>
        <v>Затраты на материалы на 2 шаге = Затраты на материалы * Объем реализации = 354,88*55000=</v>
      </c>
      <c r="B162" s="270"/>
      <c r="C162" s="201">
        <f>'666'!C$342*C58</f>
        <v>19518400</v>
      </c>
    </row>
    <row r="163" spans="1:3" x14ac:dyDescent="0.25">
      <c r="A163" s="270" t="str">
        <f>"Затраты на материалы на "&amp;G59&amp;" шаге = Затраты на материалы * Объем реализации = "&amp;'666'!C$342&amp;"*"&amp;C59&amp;"="</f>
        <v>Затраты на материалы на 3 шаге = Затраты на материалы * Объем реализации = 354,88*110000=</v>
      </c>
      <c r="B163" s="270"/>
      <c r="C163" s="201">
        <f>'666'!C$342*C59</f>
        <v>39036800</v>
      </c>
    </row>
    <row r="164" spans="1:3" x14ac:dyDescent="0.25">
      <c r="A164" s="270" t="str">
        <f>"Затраты на материалы на "&amp;G60&amp;" шаге = Затраты на материалы * Объем реализации = "&amp;'666'!C$342&amp;"*"&amp;C60&amp;"="</f>
        <v>Затраты на материалы на 4 шаге = Затраты на материалы * Объем реализации = 354,88*192500=</v>
      </c>
      <c r="B164" s="270"/>
      <c r="C164" s="201">
        <f>'666'!C$342*C60</f>
        <v>68314400</v>
      </c>
    </row>
    <row r="165" spans="1:3" x14ac:dyDescent="0.25">
      <c r="A165" s="270" t="str">
        <f>"Затраты на материалы на "&amp;G61&amp;" шаге = Затраты на материалы * Объем реализации = "&amp;'666'!C$342&amp;"*"&amp;C61&amp;"="</f>
        <v>Затраты на материалы на 5 шаге = Затраты на материалы * Объем реализации = 354,88*247500=</v>
      </c>
      <c r="B165" s="270"/>
      <c r="C165" s="201">
        <f>'666'!C$342*C61</f>
        <v>87832800</v>
      </c>
    </row>
    <row r="166" spans="1:3" x14ac:dyDescent="0.25">
      <c r="A166" s="270" t="str">
        <f>"Затраты на материалы на "&amp;G62&amp;" шаге = Затраты на материалы * Объем реализации = "&amp;'666'!C$342&amp;"*"&amp;C62&amp;"="</f>
        <v>Затраты на материалы на 6 шаге = Затраты на материалы * Объем реализации = 354,88*275000=</v>
      </c>
      <c r="B166" s="270"/>
      <c r="C166" s="201">
        <f>'666'!C$342*C62</f>
        <v>97592000</v>
      </c>
    </row>
    <row r="167" spans="1:3" x14ac:dyDescent="0.25">
      <c r="A167" s="270" t="str">
        <f>"Затраты на материалы на "&amp;G63&amp;" шаге = Затраты на материалы * Объем реализации = "&amp;'666'!C$342&amp;"*"&amp;C63&amp;"="</f>
        <v>Затраты на материалы на 7 шаге = Затраты на материалы * Объем реализации = 354,88*275000=</v>
      </c>
      <c r="B167" s="270"/>
      <c r="C167" s="201">
        <f>'666'!C$342*C63</f>
        <v>97592000</v>
      </c>
    </row>
    <row r="168" spans="1:3" x14ac:dyDescent="0.25">
      <c r="A168" s="270" t="str">
        <f>"Затраты на материалы на "&amp;G64&amp;" шаге = Затраты на материалы * Объем реализации = "&amp;'666'!C$342&amp;"*"&amp;C64&amp;"="</f>
        <v>Затраты на материалы на 8 шаге = Затраты на материалы * Объем реализации = 354,88*275000=</v>
      </c>
      <c r="B168" s="270"/>
      <c r="C168" s="201">
        <f>'666'!C$342*C64</f>
        <v>97592000</v>
      </c>
    </row>
    <row r="169" spans="1:3" x14ac:dyDescent="0.25">
      <c r="A169" s="270" t="str">
        <f>"Затраты на материалы на "&amp;G65&amp;" шаге = Затраты на материалы * Объем реализации = "&amp;'666'!C$342&amp;"*"&amp;C65&amp;"="</f>
        <v>Затраты на материалы на 9 шаге = Затраты на материалы * Объем реализации = 354,88*275000=</v>
      </c>
      <c r="B169" s="270"/>
      <c r="C169" s="201">
        <f>'666'!C$342*C65</f>
        <v>97592000</v>
      </c>
    </row>
    <row r="170" spans="1:3" x14ac:dyDescent="0.25">
      <c r="A170" s="270" t="str">
        <f>"Затраты на материалы на "&amp;G66&amp;" шаге = Затраты на материалы * Объем реализации = "&amp;'666'!C$342&amp;"*"&amp;C66&amp;"="</f>
        <v>Затраты на материалы на 10 шаге = Затраты на материалы * Объем реализации = 354,88*275000=</v>
      </c>
      <c r="B170" s="270"/>
      <c r="C170" s="201">
        <f>'666'!C$342*C66</f>
        <v>97592000</v>
      </c>
    </row>
    <row r="171" spans="1:3" ht="15.75" thickBot="1" x14ac:dyDescent="0.3">
      <c r="A171" s="212"/>
      <c r="B171" s="219"/>
      <c r="C171" s="212"/>
    </row>
    <row r="172" spans="1:3" ht="15.75" thickBot="1" x14ac:dyDescent="0.3">
      <c r="A172" s="212"/>
      <c r="B172" s="220" t="s">
        <v>395</v>
      </c>
      <c r="C172" s="212"/>
    </row>
    <row r="173" spans="1:3" x14ac:dyDescent="0.25">
      <c r="A173" s="270" t="str">
        <f>"Затраты на материалы на "&amp;G56&amp;" шаге = Затраты на материалы * Объем реализации = "&amp;'666'!C$342&amp;"*"&amp;C69&amp;"="</f>
        <v>Затраты на материалы на 0 шаге = Затраты на материалы * Объем реализации = 354,88*0=</v>
      </c>
      <c r="B173" s="270"/>
      <c r="C173" s="201">
        <f>'666'!C$342*C69</f>
        <v>0</v>
      </c>
    </row>
    <row r="174" spans="1:3" x14ac:dyDescent="0.25">
      <c r="A174" s="270" t="str">
        <f>"Затраты на материалы на "&amp;G57&amp;" шаге = Затраты на материалы * Объем реализации = "&amp;'666'!C$342&amp;"*"&amp;C70&amp;"="</f>
        <v>Затраты на материалы на 1 шаге = Затраты на материалы * Объем реализации = 354,88*0=</v>
      </c>
      <c r="B174" s="270"/>
      <c r="C174" s="201">
        <f>'666'!C$342*C70</f>
        <v>0</v>
      </c>
    </row>
    <row r="175" spans="1:3" x14ac:dyDescent="0.25">
      <c r="A175" s="270" t="str">
        <f>"Затраты на материалы на "&amp;G58&amp;" шаге = Затраты на материалы * Объем реализации = "&amp;'666'!C$342&amp;"*"&amp;C71&amp;"="</f>
        <v>Затраты на материалы на 2 шаге = Затраты на материалы * Объем реализации = 354,88*55000=</v>
      </c>
      <c r="B175" s="270"/>
      <c r="C175" s="201">
        <f>'666'!C$342*C71</f>
        <v>19518400</v>
      </c>
    </row>
    <row r="176" spans="1:3" x14ac:dyDescent="0.25">
      <c r="A176" s="270" t="str">
        <f>"Затраты на материалы на "&amp;G59&amp;" шаге = Затраты на материалы * Объем реализации = "&amp;'666'!C$342&amp;"*"&amp;C72&amp;"="</f>
        <v>Затраты на материалы на 3 шаге = Затраты на материалы * Объем реализации = 354,88*110000=</v>
      </c>
      <c r="B176" s="270"/>
      <c r="C176" s="201">
        <f>'666'!C$342*C72</f>
        <v>39036800</v>
      </c>
    </row>
    <row r="177" spans="1:3" x14ac:dyDescent="0.25">
      <c r="A177" s="270" t="str">
        <f>"Затраты на материалы на "&amp;G60&amp;" шаге = Затраты на материалы * Объем реализации = "&amp;'666'!C$342&amp;"*"&amp;C73&amp;"="</f>
        <v>Затраты на материалы на 4 шаге = Затраты на материалы * Объем реализации = 354,88*192500=</v>
      </c>
      <c r="B177" s="270"/>
      <c r="C177" s="201">
        <f>'666'!C$342*C73</f>
        <v>68314400</v>
      </c>
    </row>
    <row r="178" spans="1:3" x14ac:dyDescent="0.25">
      <c r="A178" s="270" t="str">
        <f>"Затраты на материалы на "&amp;G61&amp;" шаге = Затраты на материалы * Объем реализации = "&amp;'666'!C$342&amp;"*"&amp;C74&amp;"="</f>
        <v>Затраты на материалы на 5 шаге = Затраты на материалы * Объем реализации = 354,88*247500=</v>
      </c>
      <c r="B178" s="270"/>
      <c r="C178" s="201">
        <f>'666'!C$342*C74</f>
        <v>87832800</v>
      </c>
    </row>
    <row r="179" spans="1:3" x14ac:dyDescent="0.25">
      <c r="A179" s="270" t="str">
        <f>"Затраты на материалы на "&amp;G62&amp;" шаге = Затраты на материалы * Объем реализации = "&amp;'666'!C$342&amp;"*"&amp;C75&amp;"="</f>
        <v>Затраты на материалы на 6 шаге = Затраты на материалы * Объем реализации = 354,88*275000=</v>
      </c>
      <c r="B179" s="270"/>
      <c r="C179" s="201">
        <f>'666'!C$342*C75</f>
        <v>97592000</v>
      </c>
    </row>
    <row r="180" spans="1:3" x14ac:dyDescent="0.25">
      <c r="A180" s="270" t="str">
        <f>"Затраты на материалы на "&amp;G63&amp;" шаге = Затраты на материалы * Объем реализации = "&amp;'666'!C$342&amp;"*"&amp;C76&amp;"="</f>
        <v>Затраты на материалы на 7 шаге = Затраты на материалы * Объем реализации = 354,88*275000=</v>
      </c>
      <c r="B180" s="270"/>
      <c r="C180" s="201">
        <f>'666'!C$342*C76</f>
        <v>97592000</v>
      </c>
    </row>
    <row r="181" spans="1:3" x14ac:dyDescent="0.25">
      <c r="A181" s="270" t="str">
        <f>"Затраты на материалы на "&amp;G64&amp;" шаге = Затраты на материалы * Объем реализации = "&amp;'666'!C$342&amp;"*"&amp;C77&amp;"="</f>
        <v>Затраты на материалы на 8 шаге = Затраты на материалы * Объем реализации = 354,88*275000=</v>
      </c>
      <c r="B181" s="270"/>
      <c r="C181" s="201">
        <f>'666'!C$342*C77</f>
        <v>97592000</v>
      </c>
    </row>
    <row r="182" spans="1:3" x14ac:dyDescent="0.25">
      <c r="A182" s="270" t="str">
        <f>"Затраты на материалы на "&amp;G65&amp;" шаге = Затраты на материалы * Объем реализации = "&amp;'666'!C$342&amp;"*"&amp;C78&amp;"="</f>
        <v>Затраты на материалы на 9 шаге = Затраты на материалы * Объем реализации = 354,88*275000=</v>
      </c>
      <c r="B182" s="270"/>
      <c r="C182" s="201">
        <f>'666'!C$342*C78</f>
        <v>97592000</v>
      </c>
    </row>
    <row r="183" spans="1:3" x14ac:dyDescent="0.25">
      <c r="A183" s="270" t="str">
        <f>"Затраты на материалы на "&amp;G66&amp;" шаге = Затраты на материалы * Объем реализации = "&amp;'666'!C$342&amp;"*"&amp;C79&amp;"="</f>
        <v>Затраты на материалы на 10 шаге = Затраты на материалы * Объем реализации = 354,88*275000=</v>
      </c>
      <c r="B183" s="270"/>
      <c r="C183" s="201">
        <f>'666'!C$342*C79</f>
        <v>97592000</v>
      </c>
    </row>
    <row r="184" spans="1:3" ht="15.75" thickBot="1" x14ac:dyDescent="0.3">
      <c r="A184" s="212"/>
      <c r="B184" s="219"/>
      <c r="C184" s="212"/>
    </row>
    <row r="185" spans="1:3" ht="15.75" thickBot="1" x14ac:dyDescent="0.3">
      <c r="A185" s="212"/>
      <c r="B185" s="221" t="s">
        <v>394</v>
      </c>
      <c r="C185" s="212"/>
    </row>
    <row r="186" spans="1:3" x14ac:dyDescent="0.25">
      <c r="A186" s="270" t="str">
        <f>"Затраты на элктроэнергию на "&amp;G56&amp;" шаге = Затраты на элктроэнергию * Объем реализации = "&amp;'666'!C$343&amp;" * "&amp;C56&amp;" = "</f>
        <v xml:space="preserve">Затраты на элктроэнергию на 0 шаге = Затраты на элктроэнергию * Объем реализации = 13,69 * 0 = </v>
      </c>
      <c r="B186" s="270"/>
      <c r="C186" s="201">
        <f>'666'!C$343*C56</f>
        <v>0</v>
      </c>
    </row>
    <row r="187" spans="1:3" x14ac:dyDescent="0.25">
      <c r="A187" s="270" t="str">
        <f>"Затраты на элктроэнергию на "&amp;G57&amp;" шаге = Затраты на элктроэнергию * Объем реализации = "&amp;'666'!C$343&amp;" * "&amp;C57&amp;" = "</f>
        <v xml:space="preserve">Затраты на элктроэнергию на 1 шаге = Затраты на элктроэнергию * Объем реализации = 13,69 * 0 = </v>
      </c>
      <c r="B187" s="270"/>
      <c r="C187" s="201">
        <f>'666'!C$343*C57</f>
        <v>0</v>
      </c>
    </row>
    <row r="188" spans="1:3" x14ac:dyDescent="0.25">
      <c r="A188" s="270" t="str">
        <f>"Затраты на элктроэнергию на "&amp;G58&amp;" шаге = Затраты на элктроэнергию * Объем реализации = "&amp;'666'!C$343&amp;" * "&amp;C58&amp;" = "</f>
        <v xml:space="preserve">Затраты на элктроэнергию на 2 шаге = Затраты на элктроэнергию * Объем реализации = 13,69 * 55000 = </v>
      </c>
      <c r="B188" s="270"/>
      <c r="C188" s="201">
        <f>'666'!C$343*C58</f>
        <v>752950</v>
      </c>
    </row>
    <row r="189" spans="1:3" x14ac:dyDescent="0.25">
      <c r="A189" s="270" t="str">
        <f>"Затраты на элктроэнергию на "&amp;G59&amp;" шаге = Затраты на элктроэнергию * Объем реализации = "&amp;'666'!C$343&amp;" * "&amp;C59&amp;" = "</f>
        <v xml:space="preserve">Затраты на элктроэнергию на 3 шаге = Затраты на элктроэнергию * Объем реализации = 13,69 * 110000 = </v>
      </c>
      <c r="B189" s="270"/>
      <c r="C189" s="201">
        <f>'666'!C$343*C59</f>
        <v>1505900</v>
      </c>
    </row>
    <row r="190" spans="1:3" x14ac:dyDescent="0.25">
      <c r="A190" s="270" t="str">
        <f>"Затраты на элктроэнергию на "&amp;G60&amp;" шаге = Затраты на элктроэнергию * Объем реализации = "&amp;'666'!C$343&amp;" * "&amp;C60&amp;" = "</f>
        <v xml:space="preserve">Затраты на элктроэнергию на 4 шаге = Затраты на элктроэнергию * Объем реализации = 13,69 * 192500 = </v>
      </c>
      <c r="B190" s="270"/>
      <c r="C190" s="201">
        <f>'666'!C$343*C60</f>
        <v>2635325</v>
      </c>
    </row>
    <row r="191" spans="1:3" x14ac:dyDescent="0.25">
      <c r="A191" s="270" t="str">
        <f>"Затраты на элктроэнергию на "&amp;G61&amp;" шаге = Затраты на элктроэнергию * Объем реализации = "&amp;'666'!C$343&amp;" * "&amp;C61&amp;" = "</f>
        <v xml:space="preserve">Затраты на элктроэнергию на 5 шаге = Затраты на элктроэнергию * Объем реализации = 13,69 * 247500 = </v>
      </c>
      <c r="B191" s="270"/>
      <c r="C191" s="201">
        <f>'666'!C$343*C61</f>
        <v>3388275</v>
      </c>
    </row>
    <row r="192" spans="1:3" x14ac:dyDescent="0.25">
      <c r="A192" s="270" t="str">
        <f>"Затраты на элктроэнергию на "&amp;G62&amp;" шаге = Затраты на элктроэнергию * Объем реализации = "&amp;'666'!C$343&amp;" * "&amp;C62&amp;" = "</f>
        <v xml:space="preserve">Затраты на элктроэнергию на 6 шаге = Затраты на элктроэнергию * Объем реализации = 13,69 * 275000 = </v>
      </c>
      <c r="B192" s="270"/>
      <c r="C192" s="201">
        <f>'666'!C$343*C62</f>
        <v>3764750</v>
      </c>
    </row>
    <row r="193" spans="1:3" x14ac:dyDescent="0.25">
      <c r="A193" s="270" t="str">
        <f>"Затраты на элктроэнергию на "&amp;G63&amp;" шаге = Затраты на элктроэнергию * Объем реализации = "&amp;'666'!C$343&amp;" * "&amp;C63&amp;" = "</f>
        <v xml:space="preserve">Затраты на элктроэнергию на 7 шаге = Затраты на элктроэнергию * Объем реализации = 13,69 * 275000 = </v>
      </c>
      <c r="B193" s="270"/>
      <c r="C193" s="201">
        <f>'666'!C$343*C63</f>
        <v>3764750</v>
      </c>
    </row>
    <row r="194" spans="1:3" x14ac:dyDescent="0.25">
      <c r="A194" s="270" t="str">
        <f>"Затраты на элктроэнергию на "&amp;G64&amp;" шаге = Затраты на элктроэнергию * Объем реализации = "&amp;'666'!C$343&amp;" * "&amp;C64&amp;" = "</f>
        <v xml:space="preserve">Затраты на элктроэнергию на 8 шаге = Затраты на элктроэнергию * Объем реализации = 13,69 * 275000 = </v>
      </c>
      <c r="B194" s="270"/>
      <c r="C194" s="201">
        <f>'666'!C$343*C64</f>
        <v>3764750</v>
      </c>
    </row>
    <row r="195" spans="1:3" x14ac:dyDescent="0.25">
      <c r="A195" s="270" t="str">
        <f>"Затраты на элктроэнергию на "&amp;G65&amp;" шаге = Затраты на элктроэнергию * Объем реализации = "&amp;'666'!C$343&amp;" * "&amp;C65&amp;" = "</f>
        <v xml:space="preserve">Затраты на элктроэнергию на 9 шаге = Затраты на элктроэнергию * Объем реализации = 13,69 * 275000 = </v>
      </c>
      <c r="B195" s="270"/>
      <c r="C195" s="201">
        <f>'666'!C$343*C65</f>
        <v>3764750</v>
      </c>
    </row>
    <row r="196" spans="1:3" x14ac:dyDescent="0.25">
      <c r="A196" s="270" t="str">
        <f>"Затраты на элктроэнергию на "&amp;G66&amp;" шаге = Затраты на элктроэнергию * Объем реализации = "&amp;'666'!C$343&amp;" * "&amp;C66&amp;" = "</f>
        <v xml:space="preserve">Затраты на элктроэнергию на 10 шаге = Затраты на элктроэнергию * Объем реализации = 13,69 * 275000 = </v>
      </c>
      <c r="B196" s="270"/>
      <c r="C196" s="201">
        <f>'666'!C$343*C66</f>
        <v>3764750</v>
      </c>
    </row>
    <row r="197" spans="1:3" ht="15.75" thickBot="1" x14ac:dyDescent="0.3">
      <c r="A197" s="212"/>
      <c r="B197" s="219"/>
      <c r="C197" s="212"/>
    </row>
    <row r="198" spans="1:3" ht="15.75" thickBot="1" x14ac:dyDescent="0.3">
      <c r="A198" s="212"/>
      <c r="B198" s="220" t="s">
        <v>395</v>
      </c>
      <c r="C198" s="212"/>
    </row>
    <row r="199" spans="1:3" x14ac:dyDescent="0.25">
      <c r="A199" s="270" t="str">
        <f>"Затраты на элктроэнергию на "&amp;G56&amp;" шаге = Затраты на элктроэнергию * Объем реализации = "&amp;'666'!C$343&amp;" * "&amp;C69&amp;" = "</f>
        <v xml:space="preserve">Затраты на элктроэнергию на 0 шаге = Затраты на элктроэнергию * Объем реализации = 13,69 * 0 = </v>
      </c>
      <c r="B199" s="270"/>
      <c r="C199" s="201">
        <f>'666'!C$343*C69</f>
        <v>0</v>
      </c>
    </row>
    <row r="200" spans="1:3" x14ac:dyDescent="0.25">
      <c r="A200" s="270" t="str">
        <f>"Затраты на элктроэнергию на "&amp;G57&amp;" шаге = Затраты на элктроэнергию * Объем реализации = "&amp;'666'!C$343&amp;" * "&amp;C70&amp;" = "</f>
        <v xml:space="preserve">Затраты на элктроэнергию на 1 шаге = Затраты на элктроэнергию * Объем реализации = 13,69 * 0 = </v>
      </c>
      <c r="B200" s="270"/>
      <c r="C200" s="201">
        <f>'666'!C$343*C70</f>
        <v>0</v>
      </c>
    </row>
    <row r="201" spans="1:3" x14ac:dyDescent="0.25">
      <c r="A201" s="270" t="str">
        <f>"Затраты на элктроэнергию на "&amp;G58&amp;" шаге = Затраты на элктроэнергию * Объем реализации = "&amp;'666'!C$343&amp;" * "&amp;C71&amp;" = "</f>
        <v xml:space="preserve">Затраты на элктроэнергию на 2 шаге = Затраты на элктроэнергию * Объем реализации = 13,69 * 55000 = </v>
      </c>
      <c r="B201" s="270"/>
      <c r="C201" s="201">
        <f>'666'!C$343*C71</f>
        <v>752950</v>
      </c>
    </row>
    <row r="202" spans="1:3" x14ac:dyDescent="0.25">
      <c r="A202" s="270" t="str">
        <f>"Затраты на элктроэнергию на "&amp;G59&amp;" шаге = Затраты на элктроэнергию * Объем реализации = "&amp;'666'!C$343&amp;" * "&amp;C72&amp;" = "</f>
        <v xml:space="preserve">Затраты на элктроэнергию на 3 шаге = Затраты на элктроэнергию * Объем реализации = 13,69 * 110000 = </v>
      </c>
      <c r="B202" s="270"/>
      <c r="C202" s="201">
        <f>'666'!C$343*C72</f>
        <v>1505900</v>
      </c>
    </row>
    <row r="203" spans="1:3" x14ac:dyDescent="0.25">
      <c r="A203" s="270" t="str">
        <f>"Затраты на элктроэнергию на "&amp;G60&amp;" шаге = Затраты на элктроэнергию * Объем реализации = "&amp;'666'!C$343&amp;" * "&amp;C73&amp;" = "</f>
        <v xml:space="preserve">Затраты на элктроэнергию на 4 шаге = Затраты на элктроэнергию * Объем реализации = 13,69 * 192500 = </v>
      </c>
      <c r="B203" s="270"/>
      <c r="C203" s="201">
        <f>'666'!C$343*C73</f>
        <v>2635325</v>
      </c>
    </row>
    <row r="204" spans="1:3" x14ac:dyDescent="0.25">
      <c r="A204" s="270" t="str">
        <f>"Затраты на элктроэнергию на "&amp;G61&amp;" шаге = Затраты на элктроэнергию * Объем реализации = "&amp;'666'!C$343&amp;" * "&amp;C74&amp;" = "</f>
        <v xml:space="preserve">Затраты на элктроэнергию на 5 шаге = Затраты на элктроэнергию * Объем реализации = 13,69 * 247500 = </v>
      </c>
      <c r="B204" s="270"/>
      <c r="C204" s="201">
        <f>'666'!C$343*C74</f>
        <v>3388275</v>
      </c>
    </row>
    <row r="205" spans="1:3" x14ac:dyDescent="0.25">
      <c r="A205" s="270" t="str">
        <f>"Затраты на элктроэнергию на "&amp;G62&amp;" шаге = Затраты на элктроэнергию * Объем реализации = "&amp;'666'!C$343&amp;" * "&amp;C75&amp;" = "</f>
        <v xml:space="preserve">Затраты на элктроэнергию на 6 шаге = Затраты на элктроэнергию * Объем реализации = 13,69 * 275000 = </v>
      </c>
      <c r="B205" s="270"/>
      <c r="C205" s="201">
        <f>'666'!C$343*C75</f>
        <v>3764750</v>
      </c>
    </row>
    <row r="206" spans="1:3" x14ac:dyDescent="0.25">
      <c r="A206" s="270" t="str">
        <f>"Затраты на элктроэнергию на "&amp;G63&amp;" шаге = Затраты на элктроэнергию * Объем реализации = "&amp;'666'!C$343&amp;" * "&amp;C76&amp;" = "</f>
        <v xml:space="preserve">Затраты на элктроэнергию на 7 шаге = Затраты на элктроэнергию * Объем реализации = 13,69 * 275000 = </v>
      </c>
      <c r="B206" s="270"/>
      <c r="C206" s="201">
        <f>'666'!C$343*C76</f>
        <v>3764750</v>
      </c>
    </row>
    <row r="207" spans="1:3" x14ac:dyDescent="0.25">
      <c r="A207" s="270" t="str">
        <f>"Затраты на элктроэнергию на "&amp;G64&amp;" шаге = Затраты на элктроэнергию * Объем реализации = "&amp;'666'!C$343&amp;" * "&amp;C77&amp;" = "</f>
        <v xml:space="preserve">Затраты на элктроэнергию на 8 шаге = Затраты на элктроэнергию * Объем реализации = 13,69 * 275000 = </v>
      </c>
      <c r="B207" s="270"/>
      <c r="C207" s="201">
        <f>'666'!C$343*C77</f>
        <v>3764750</v>
      </c>
    </row>
    <row r="208" spans="1:3" x14ac:dyDescent="0.25">
      <c r="A208" s="270" t="str">
        <f>"Затраты на элктроэнергию на "&amp;G65&amp;" шаге = Затраты на элктроэнергию * Объем реализации = "&amp;'666'!C$343&amp;" * "&amp;C78&amp;" = "</f>
        <v xml:space="preserve">Затраты на элктроэнергию на 9 шаге = Затраты на элктроэнергию * Объем реализации = 13,69 * 275000 = </v>
      </c>
      <c r="B208" s="270"/>
      <c r="C208" s="201">
        <f>'666'!C$343*C78</f>
        <v>3764750</v>
      </c>
    </row>
    <row r="209" spans="1:3" x14ac:dyDescent="0.25">
      <c r="A209" s="270" t="str">
        <f>"Затраты на элктроэнергию на "&amp;G66&amp;" шаге = Затраты на элктроэнергию * Объем реализации = "&amp;'666'!C$343&amp;" * "&amp;C79&amp;" = "</f>
        <v xml:space="preserve">Затраты на элктроэнергию на 10 шаге = Затраты на элктроэнергию * Объем реализации = 13,69 * 275000 = </v>
      </c>
      <c r="B209" s="270"/>
      <c r="C209" s="201">
        <f>'666'!C$343*C79</f>
        <v>3764750</v>
      </c>
    </row>
    <row r="210" spans="1:3" ht="15.75" thickBot="1" x14ac:dyDescent="0.3">
      <c r="A210" s="212"/>
      <c r="B210" s="219"/>
      <c r="C210" s="212"/>
    </row>
    <row r="211" spans="1:3" ht="15.75" thickBot="1" x14ac:dyDescent="0.3">
      <c r="A211" s="212"/>
      <c r="B211" s="221" t="s">
        <v>394</v>
      </c>
      <c r="C211" s="212"/>
    </row>
    <row r="212" spans="1:3" x14ac:dyDescent="0.25">
      <c r="A212" s="270" t="str">
        <f>"Оплату труда производственного труда на "&amp;G56&amp;" шаге =  "&amp;'666'!A$345&amp;" * Объем реализации = "&amp;'666'!C$345&amp;" * "&amp;C56&amp;" ="</f>
        <v>Оплату труда производственного труда на 0 шаге =  Оплата труда с начислением на изделие * Объем реализации = 54,46 * 0 =</v>
      </c>
      <c r="B212" s="270"/>
      <c r="C212" s="201">
        <f>'666'!C$345*C56</f>
        <v>0</v>
      </c>
    </row>
    <row r="213" spans="1:3" x14ac:dyDescent="0.25">
      <c r="A213" s="270" t="str">
        <f>"Оплату труда производственного труда на "&amp;G57&amp;" шаге =  "&amp;'666'!A$345&amp;" * Объем реализации = "&amp;'666'!C$345&amp;" * "&amp;C57&amp;" ="</f>
        <v>Оплату труда производственного труда на 1 шаге =  Оплата труда с начислением на изделие * Объем реализации = 54,46 * 0 =</v>
      </c>
      <c r="B213" s="270"/>
      <c r="C213" s="201">
        <f>'666'!C$345*C57</f>
        <v>0</v>
      </c>
    </row>
    <row r="214" spans="1:3" x14ac:dyDescent="0.25">
      <c r="A214" s="270" t="str">
        <f>"Оплату труда производственного труда на "&amp;G58&amp;" шаге =  "&amp;'666'!A$345&amp;" * Объем реализации = "&amp;'666'!C$345&amp;" * "&amp;C58&amp;" ="</f>
        <v>Оплату труда производственного труда на 2 шаге =  Оплата труда с начислением на изделие * Объем реализации = 54,46 * 55000 =</v>
      </c>
      <c r="B214" s="270"/>
      <c r="C214" s="201">
        <f>'666'!C$345*C58</f>
        <v>2995300</v>
      </c>
    </row>
    <row r="215" spans="1:3" x14ac:dyDescent="0.25">
      <c r="A215" s="270" t="str">
        <f>"Оплату труда производственного труда на "&amp;G59&amp;" шаге =  "&amp;'666'!A$345&amp;" * Объем реализации = "&amp;'666'!C$345&amp;" * "&amp;C59&amp;" ="</f>
        <v>Оплату труда производственного труда на 3 шаге =  Оплата труда с начислением на изделие * Объем реализации = 54,46 * 110000 =</v>
      </c>
      <c r="B215" s="270"/>
      <c r="C215" s="201">
        <f>'666'!C$345*C59</f>
        <v>5990600</v>
      </c>
    </row>
    <row r="216" spans="1:3" x14ac:dyDescent="0.25">
      <c r="A216" s="270" t="str">
        <f>"Оплату труда производственного труда на "&amp;G60&amp;" шаге =  "&amp;'666'!A$345&amp;" * Объем реализации = "&amp;'666'!C$345&amp;" * "&amp;C60&amp;" ="</f>
        <v>Оплату труда производственного труда на 4 шаге =  Оплата труда с начислением на изделие * Объем реализации = 54,46 * 192500 =</v>
      </c>
      <c r="B216" s="270"/>
      <c r="C216" s="201">
        <f>'666'!C$345*C60</f>
        <v>10483550</v>
      </c>
    </row>
    <row r="217" spans="1:3" x14ac:dyDescent="0.25">
      <c r="A217" s="270" t="str">
        <f>"Оплату труда производственного труда на "&amp;G61&amp;" шаге =  "&amp;'666'!A$345&amp;" * Объем реализации = "&amp;'666'!C$345&amp;" * "&amp;C61&amp;" ="</f>
        <v>Оплату труда производственного труда на 5 шаге =  Оплата труда с начислением на изделие * Объем реализации = 54,46 * 247500 =</v>
      </c>
      <c r="B217" s="270"/>
      <c r="C217" s="201">
        <f>'666'!C$345*C61</f>
        <v>13478850</v>
      </c>
    </row>
    <row r="218" spans="1:3" x14ac:dyDescent="0.25">
      <c r="A218" s="270" t="str">
        <f>"Оплату труда производственного труда на "&amp;G62&amp;" шаге =  "&amp;'666'!A$345&amp;" * Объем реализации = "&amp;'666'!C$345&amp;" * "&amp;C62&amp;" ="</f>
        <v>Оплату труда производственного труда на 6 шаге =  Оплата труда с начислением на изделие * Объем реализации = 54,46 * 275000 =</v>
      </c>
      <c r="B218" s="270"/>
      <c r="C218" s="201">
        <f>'666'!C$345*C62</f>
        <v>14976500</v>
      </c>
    </row>
    <row r="219" spans="1:3" x14ac:dyDescent="0.25">
      <c r="A219" s="270" t="str">
        <f>"Оплату труда производственного труда на "&amp;G63&amp;" шаге =  "&amp;'666'!A$345&amp;" * Объем реализации = "&amp;'666'!C$345&amp;" * "&amp;C63&amp;" ="</f>
        <v>Оплату труда производственного труда на 7 шаге =  Оплата труда с начислением на изделие * Объем реализации = 54,46 * 275000 =</v>
      </c>
      <c r="B219" s="270"/>
      <c r="C219" s="201">
        <f>'666'!C$345*C63</f>
        <v>14976500</v>
      </c>
    </row>
    <row r="220" spans="1:3" x14ac:dyDescent="0.25">
      <c r="A220" s="270" t="str">
        <f>"Оплату труда производственного труда на "&amp;G64&amp;" шаге =  "&amp;'666'!A$345&amp;" * Объем реализации = "&amp;'666'!C$345&amp;" * "&amp;C64&amp;" ="</f>
        <v>Оплату труда производственного труда на 8 шаге =  Оплата труда с начислением на изделие * Объем реализации = 54,46 * 275000 =</v>
      </c>
      <c r="B220" s="270"/>
      <c r="C220" s="201">
        <f>'666'!C$345*C64</f>
        <v>14976500</v>
      </c>
    </row>
    <row r="221" spans="1:3" x14ac:dyDescent="0.25">
      <c r="A221" s="270" t="str">
        <f>"Оплату труда производственного труда на "&amp;G65&amp;" шаге =  "&amp;'666'!A$345&amp;" * Объем реализации = "&amp;'666'!C$345&amp;" * "&amp;C65&amp;" ="</f>
        <v>Оплату труда производственного труда на 9 шаге =  Оплата труда с начислением на изделие * Объем реализации = 54,46 * 275000 =</v>
      </c>
      <c r="B221" s="270"/>
      <c r="C221" s="201">
        <f>'666'!C$345*C65</f>
        <v>14976500</v>
      </c>
    </row>
    <row r="222" spans="1:3" x14ac:dyDescent="0.25">
      <c r="A222" s="270" t="str">
        <f>"Оплату труда производственного труда на "&amp;G66&amp;" шаге =  "&amp;'666'!A$345&amp;" * Объем реализации = "&amp;'666'!C$345&amp;" * "&amp;C66&amp;" ="</f>
        <v>Оплату труда производственного труда на 10 шаге =  Оплата труда с начислением на изделие * Объем реализации = 54,46 * 275000 =</v>
      </c>
      <c r="B222" s="270"/>
      <c r="C222" s="201">
        <f>'666'!C$345*C66</f>
        <v>14976500</v>
      </c>
    </row>
    <row r="223" spans="1:3" ht="15.75" thickBot="1" x14ac:dyDescent="0.3">
      <c r="A223" s="212"/>
      <c r="B223" s="219"/>
      <c r="C223" s="212"/>
    </row>
    <row r="224" spans="1:3" ht="15.75" thickBot="1" x14ac:dyDescent="0.3">
      <c r="A224" s="212"/>
      <c r="B224" s="220" t="s">
        <v>395</v>
      </c>
      <c r="C224" s="212"/>
    </row>
    <row r="225" spans="1:3" x14ac:dyDescent="0.25">
      <c r="A225" s="270" t="str">
        <f>"Оплату труда производственного труда на "&amp;G56&amp;" шаге =  "&amp;'666'!A$345&amp;" * Объем реализации = "&amp;'666'!C$345&amp;" * "&amp;C69&amp;" ="</f>
        <v>Оплату труда производственного труда на 0 шаге =  Оплата труда с начислением на изделие * Объем реализации = 54,46 * 0 =</v>
      </c>
      <c r="B225" s="270"/>
      <c r="C225" s="201">
        <f>'666'!C$345*C69</f>
        <v>0</v>
      </c>
    </row>
    <row r="226" spans="1:3" x14ac:dyDescent="0.25">
      <c r="A226" s="270" t="str">
        <f>"Оплату труда производственного труда на "&amp;G57&amp;" шаге =  "&amp;'666'!A$345&amp;" * Объем реализации = "&amp;'666'!C$345&amp;" * "&amp;C70&amp;" ="</f>
        <v>Оплату труда производственного труда на 1 шаге =  Оплата труда с начислением на изделие * Объем реализации = 54,46 * 0 =</v>
      </c>
      <c r="B226" s="270"/>
      <c r="C226" s="201">
        <f>'666'!C$345*C70</f>
        <v>0</v>
      </c>
    </row>
    <row r="227" spans="1:3" x14ac:dyDescent="0.25">
      <c r="A227" s="270" t="str">
        <f>"Оплату труда производственного труда на "&amp;G58&amp;" шаге =  "&amp;'666'!A$345&amp;" * Объем реализации = "&amp;'666'!C$345&amp;" * "&amp;C71&amp;" ="</f>
        <v>Оплату труда производственного труда на 2 шаге =  Оплата труда с начислением на изделие * Объем реализации = 54,46 * 55000 =</v>
      </c>
      <c r="B227" s="270"/>
      <c r="C227" s="201">
        <f>'666'!C$345*C71</f>
        <v>2995300</v>
      </c>
    </row>
    <row r="228" spans="1:3" x14ac:dyDescent="0.25">
      <c r="A228" s="270" t="str">
        <f>"Оплату труда производственного труда на "&amp;G59&amp;" шаге =  "&amp;'666'!A$345&amp;" * Объем реализации = "&amp;'666'!C$345&amp;" * "&amp;C72&amp;" ="</f>
        <v>Оплату труда производственного труда на 3 шаге =  Оплата труда с начислением на изделие * Объем реализации = 54,46 * 110000 =</v>
      </c>
      <c r="B228" s="270"/>
      <c r="C228" s="201">
        <f>'666'!C$345*C72</f>
        <v>5990600</v>
      </c>
    </row>
    <row r="229" spans="1:3" x14ac:dyDescent="0.25">
      <c r="A229" s="270" t="str">
        <f>"Оплату труда производственного труда на "&amp;G60&amp;" шаге =  "&amp;'666'!A$345&amp;" * Объем реализации = "&amp;'666'!C$345&amp;" * "&amp;C73&amp;" ="</f>
        <v>Оплату труда производственного труда на 4 шаге =  Оплата труда с начислением на изделие * Объем реализации = 54,46 * 192500 =</v>
      </c>
      <c r="B229" s="270"/>
      <c r="C229" s="201">
        <f>'666'!C$345*C73</f>
        <v>10483550</v>
      </c>
    </row>
    <row r="230" spans="1:3" x14ac:dyDescent="0.25">
      <c r="A230" s="270" t="str">
        <f>"Оплату труда производственного труда на "&amp;G61&amp;" шаге =  "&amp;'666'!A$345&amp;" * Объем реализации = "&amp;'666'!C$345&amp;" * "&amp;C74&amp;" ="</f>
        <v>Оплату труда производственного труда на 5 шаге =  Оплата труда с начислением на изделие * Объем реализации = 54,46 * 247500 =</v>
      </c>
      <c r="B230" s="270"/>
      <c r="C230" s="201">
        <f>'666'!C$345*C74</f>
        <v>13478850</v>
      </c>
    </row>
    <row r="231" spans="1:3" x14ac:dyDescent="0.25">
      <c r="A231" s="270" t="str">
        <f>"Оплату труда производственного труда на "&amp;G62&amp;" шаге =  "&amp;'666'!A$345&amp;" * Объем реализации = "&amp;'666'!C$345&amp;" * "&amp;C75&amp;" ="</f>
        <v>Оплату труда производственного труда на 6 шаге =  Оплата труда с начислением на изделие * Объем реализации = 54,46 * 275000 =</v>
      </c>
      <c r="B231" s="270"/>
      <c r="C231" s="201">
        <f>'666'!C$345*C75</f>
        <v>14976500</v>
      </c>
    </row>
    <row r="232" spans="1:3" x14ac:dyDescent="0.25">
      <c r="A232" s="270" t="str">
        <f>"Оплату труда производственного труда на "&amp;G63&amp;" шаге =  "&amp;'666'!A$345&amp;" * Объем реализации = "&amp;'666'!C$345&amp;" * "&amp;C76&amp;" ="</f>
        <v>Оплату труда производственного труда на 7 шаге =  Оплата труда с начислением на изделие * Объем реализации = 54,46 * 275000 =</v>
      </c>
      <c r="B232" s="270"/>
      <c r="C232" s="201">
        <f>'666'!C$345*C76</f>
        <v>14976500</v>
      </c>
    </row>
    <row r="233" spans="1:3" x14ac:dyDescent="0.25">
      <c r="A233" s="270" t="str">
        <f>"Оплату труда производственного труда на "&amp;G64&amp;" шаге =  "&amp;'666'!A$345&amp;" * Объем реализации = "&amp;'666'!C$345&amp;" * "&amp;C77&amp;" ="</f>
        <v>Оплату труда производственного труда на 8 шаге =  Оплата труда с начислением на изделие * Объем реализации = 54,46 * 275000 =</v>
      </c>
      <c r="B233" s="270"/>
      <c r="C233" s="201">
        <f>'666'!C$345*C77</f>
        <v>14976500</v>
      </c>
    </row>
    <row r="234" spans="1:3" x14ac:dyDescent="0.25">
      <c r="A234" s="270" t="str">
        <f>"Оплату труда производственного труда на "&amp;G65&amp;" шаге =  "&amp;'666'!A$345&amp;" * Объем реализации = "&amp;'666'!C$345&amp;" * "&amp;C78&amp;" ="</f>
        <v>Оплату труда производственного труда на 9 шаге =  Оплата труда с начислением на изделие * Объем реализации = 54,46 * 275000 =</v>
      </c>
      <c r="B234" s="270"/>
      <c r="C234" s="201">
        <f>'666'!C$345*C78</f>
        <v>14976500</v>
      </c>
    </row>
    <row r="235" spans="1:3" x14ac:dyDescent="0.25">
      <c r="A235" s="270" t="str">
        <f>"Оплату труда производственного труда на "&amp;G66&amp;" шаге =  "&amp;'666'!A$345&amp;" * Объем реализации = "&amp;'666'!C$345&amp;" * "&amp;C79&amp;" ="</f>
        <v>Оплату труда производственного труда на 10 шаге =  Оплата труда с начислением на изделие * Объем реализации = 54,46 * 275000 =</v>
      </c>
      <c r="B235" s="270"/>
      <c r="C235" s="201">
        <f>'666'!C$345*C79</f>
        <v>14976500</v>
      </c>
    </row>
    <row r="236" spans="1:3" ht="15.75" thickBot="1" x14ac:dyDescent="0.3">
      <c r="A236" s="212"/>
      <c r="B236" s="219"/>
      <c r="C236" s="212"/>
    </row>
    <row r="237" spans="1:3" ht="15.75" thickBot="1" x14ac:dyDescent="0.3">
      <c r="A237" s="212"/>
      <c r="B237" s="221" t="s">
        <v>394</v>
      </c>
      <c r="C237" s="212"/>
    </row>
    <row r="238" spans="1:3" x14ac:dyDescent="0.25">
      <c r="A238" s="212"/>
      <c r="B238" s="219" t="str">
        <f>"Итого переменных издержек на "&amp;G56&amp;"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38" s="201">
        <f>C160+C186+C212</f>
        <v>0</v>
      </c>
    </row>
    <row r="239" spans="1:3" x14ac:dyDescent="0.25">
      <c r="A239" s="212"/>
      <c r="B239" s="219" t="str">
        <f>"Итого переменных издержек на "&amp;G57&amp;"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39" s="201">
        <f t="shared" ref="C239:C248" si="40">C161+C187+C213</f>
        <v>0</v>
      </c>
    </row>
    <row r="240" spans="1:3" x14ac:dyDescent="0.25">
      <c r="A240" s="212"/>
      <c r="B240" s="219" t="str">
        <f>"Итого переменных издержек на "&amp;G58&amp;"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40" s="201">
        <f t="shared" si="40"/>
        <v>23266650</v>
      </c>
    </row>
    <row r="241" spans="1:3" x14ac:dyDescent="0.25">
      <c r="A241" s="212"/>
      <c r="B241" s="219" t="str">
        <f>"Итого переменных издержек на "&amp;G59&amp;"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41" s="201">
        <f t="shared" si="40"/>
        <v>46533300</v>
      </c>
    </row>
    <row r="242" spans="1:3" x14ac:dyDescent="0.25">
      <c r="A242" s="212"/>
      <c r="B242" s="219" t="str">
        <f>"Итого переменных издержек на "&amp;G60&amp;"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42" s="201">
        <f t="shared" si="40"/>
        <v>81433275</v>
      </c>
    </row>
    <row r="243" spans="1:3" x14ac:dyDescent="0.25">
      <c r="A243" s="212"/>
      <c r="B243" s="219" t="str">
        <f>"Итого переменных издержек на "&amp;G61&amp;"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43" s="201">
        <f t="shared" si="40"/>
        <v>104699925</v>
      </c>
    </row>
    <row r="244" spans="1:3" x14ac:dyDescent="0.25">
      <c r="A244" s="212"/>
      <c r="B244" s="219" t="str">
        <f>"Итого переменных издержек на "&amp;G62&amp;"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44" s="201">
        <f t="shared" si="40"/>
        <v>116333250</v>
      </c>
    </row>
    <row r="245" spans="1:3" x14ac:dyDescent="0.25">
      <c r="A245" s="212"/>
      <c r="B245" s="219" t="str">
        <f>"Итого переменных издержек на "&amp;G63&amp;"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45" s="201">
        <f t="shared" si="40"/>
        <v>116333250</v>
      </c>
    </row>
    <row r="246" spans="1:3" x14ac:dyDescent="0.25">
      <c r="A246" s="212"/>
      <c r="B246" s="219" t="str">
        <f>"Итого переменных издержек на "&amp;G64&amp;"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46" s="201">
        <f t="shared" si="40"/>
        <v>116333250</v>
      </c>
    </row>
    <row r="247" spans="1:3" x14ac:dyDescent="0.25">
      <c r="A247" s="212"/>
      <c r="B247" s="219" t="str">
        <f>"Итого переменных издержек на "&amp;G65&amp;"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47" s="201">
        <f t="shared" si="40"/>
        <v>116333250</v>
      </c>
    </row>
    <row r="248" spans="1:3" x14ac:dyDescent="0.25">
      <c r="A248" s="212"/>
      <c r="B248" s="219" t="str">
        <f>"Итого переменных издержек на "&amp;G66&amp;"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48" s="201">
        <f t="shared" si="40"/>
        <v>116333250</v>
      </c>
    </row>
    <row r="249" spans="1:3" ht="15.75" thickBot="1" x14ac:dyDescent="0.3">
      <c r="A249" s="212"/>
      <c r="B249" s="219"/>
      <c r="C249" s="212"/>
    </row>
    <row r="250" spans="1:3" ht="15.75" thickBot="1" x14ac:dyDescent="0.3">
      <c r="A250" s="212"/>
      <c r="B250" s="220" t="s">
        <v>395</v>
      </c>
      <c r="C250" s="212"/>
    </row>
    <row r="251" spans="1:3" x14ac:dyDescent="0.25">
      <c r="A251" s="212"/>
      <c r="B251" s="219" t="str">
        <f>"Итого переменных издержек на "&amp;G56&amp;" шаге = "&amp;B$13&amp;" + "&amp;B$14&amp;" + "&amp;B$16&amp;" ="</f>
        <v>Итого переменных издержек на 0 шаге = затраты на материалы + затраты на электроэнергию + оплата труда производственного персонала =</v>
      </c>
      <c r="C251" s="201">
        <f>C173+C199+C225</f>
        <v>0</v>
      </c>
    </row>
    <row r="252" spans="1:3" x14ac:dyDescent="0.25">
      <c r="A252" s="212"/>
      <c r="B252" s="219" t="str">
        <f>"Итого переменных издержек на "&amp;G57&amp;" шаге = "&amp;B$13&amp;" + "&amp;B$14&amp;" + "&amp;B$16&amp;" ="</f>
        <v>Итого переменных издержек на 1 шаге = затраты на материалы + затраты на электроэнергию + оплата труда производственного персонала =</v>
      </c>
      <c r="C252" s="201">
        <f t="shared" ref="C252:C261" si="41">C174+C200+C226</f>
        <v>0</v>
      </c>
    </row>
    <row r="253" spans="1:3" x14ac:dyDescent="0.25">
      <c r="A253" s="212"/>
      <c r="B253" s="219" t="str">
        <f>"Итого переменных издержек на "&amp;G58&amp;" шаге = "&amp;B$13&amp;" + "&amp;B$14&amp;" + "&amp;B$16&amp;" ="</f>
        <v>Итого переменных издержек на 2 шаге = затраты на материалы + затраты на электроэнергию + оплата труда производственного персонала =</v>
      </c>
      <c r="C253" s="201">
        <f t="shared" si="41"/>
        <v>23266650</v>
      </c>
    </row>
    <row r="254" spans="1:3" x14ac:dyDescent="0.25">
      <c r="A254" s="212"/>
      <c r="B254" s="219" t="str">
        <f>"Итого переменных издержек на "&amp;G59&amp;" шаге = "&amp;B$13&amp;" + "&amp;B$14&amp;" + "&amp;B$16&amp;" ="</f>
        <v>Итого переменных издержек на 3 шаге = затраты на материалы + затраты на электроэнергию + оплата труда производственного персонала =</v>
      </c>
      <c r="C254" s="201">
        <f t="shared" si="41"/>
        <v>46533300</v>
      </c>
    </row>
    <row r="255" spans="1:3" x14ac:dyDescent="0.25">
      <c r="A255" s="212"/>
      <c r="B255" s="219" t="str">
        <f>"Итого переменных издержек на "&amp;G60&amp;" шаге = "&amp;B$13&amp;" + "&amp;B$14&amp;" + "&amp;B$16&amp;" ="</f>
        <v>Итого переменных издержек на 4 шаге = затраты на материалы + затраты на электроэнергию + оплата труда производственного персонала =</v>
      </c>
      <c r="C255" s="201">
        <f t="shared" si="41"/>
        <v>81433275</v>
      </c>
    </row>
    <row r="256" spans="1:3" x14ac:dyDescent="0.25">
      <c r="A256" s="212"/>
      <c r="B256" s="219" t="str">
        <f>"Итого переменных издержек на "&amp;G61&amp;" шаге = "&amp;B$13&amp;" + "&amp;B$14&amp;" + "&amp;B$16&amp;" ="</f>
        <v>Итого переменных издержек на 5 шаге = затраты на материалы + затраты на электроэнергию + оплата труда производственного персонала =</v>
      </c>
      <c r="C256" s="201">
        <f t="shared" si="41"/>
        <v>104699925</v>
      </c>
    </row>
    <row r="257" spans="1:3" x14ac:dyDescent="0.25">
      <c r="A257" s="212"/>
      <c r="B257" s="219" t="str">
        <f>"Итого переменных издержек на "&amp;G62&amp;" шаге = "&amp;B$13&amp;" + "&amp;B$14&amp;" + "&amp;B$16&amp;" ="</f>
        <v>Итого переменных издержек на 6 шаге = затраты на материалы + затраты на электроэнергию + оплата труда производственного персонала =</v>
      </c>
      <c r="C257" s="201">
        <f t="shared" si="41"/>
        <v>116333250</v>
      </c>
    </row>
    <row r="258" spans="1:3" x14ac:dyDescent="0.25">
      <c r="A258" s="212"/>
      <c r="B258" s="219" t="str">
        <f>"Итого переменных издержек на "&amp;G63&amp;" шаге = "&amp;B$13&amp;" + "&amp;B$14&amp;" + "&amp;B$16&amp;" ="</f>
        <v>Итого переменных издержек на 7 шаге = затраты на материалы + затраты на электроэнергию + оплата труда производственного персонала =</v>
      </c>
      <c r="C258" s="201">
        <f t="shared" si="41"/>
        <v>116333250</v>
      </c>
    </row>
    <row r="259" spans="1:3" x14ac:dyDescent="0.25">
      <c r="A259" s="212"/>
      <c r="B259" s="219" t="str">
        <f>"Итого переменных издержек на "&amp;G64&amp;" шаге = "&amp;B$13&amp;" + "&amp;B$14&amp;" + "&amp;B$16&amp;" ="</f>
        <v>Итого переменных издержек на 8 шаге = затраты на материалы + затраты на электроэнергию + оплата труда производственного персонала =</v>
      </c>
      <c r="C259" s="201">
        <f t="shared" si="41"/>
        <v>116333250</v>
      </c>
    </row>
    <row r="260" spans="1:3" x14ac:dyDescent="0.25">
      <c r="A260" s="212"/>
      <c r="B260" s="219" t="str">
        <f>"Итого переменных издержек на "&amp;G65&amp;" шаге = "&amp;B$13&amp;" + "&amp;B$14&amp;" + "&amp;B$16&amp;" ="</f>
        <v>Итого переменных издержек на 9 шаге = затраты на материалы + затраты на электроэнергию + оплата труда производственного персонала =</v>
      </c>
      <c r="C260" s="201">
        <f t="shared" si="41"/>
        <v>116333250</v>
      </c>
    </row>
    <row r="261" spans="1:3" x14ac:dyDescent="0.25">
      <c r="A261" s="212"/>
      <c r="B261" s="219" t="str">
        <f>"Итого переменных издержек на "&amp;G66&amp;" шаге = "&amp;B$13&amp;" + "&amp;B$14&amp;" + "&amp;B$16&amp;" ="</f>
        <v>Итого переменных издержек на 10 шаге = затраты на материалы + затраты на электроэнергию + оплата труда производственного персонала =</v>
      </c>
      <c r="C261" s="201">
        <f t="shared" si="41"/>
        <v>116333250</v>
      </c>
    </row>
    <row r="262" spans="1:3" ht="15.75" thickBot="1" x14ac:dyDescent="0.3">
      <c r="A262" s="212"/>
      <c r="B262" s="219"/>
      <c r="C262" s="212"/>
    </row>
    <row r="263" spans="1:3" ht="15.75" thickBot="1" x14ac:dyDescent="0.3">
      <c r="A263" s="212"/>
      <c r="B263" s="221" t="s">
        <v>394</v>
      </c>
      <c r="C263" s="212"/>
    </row>
    <row r="264" spans="1:3" x14ac:dyDescent="0.25">
      <c r="A264" s="212"/>
      <c r="B264" s="219" t="str">
        <f>"Прибыль налогообложения на "&amp;G56&amp;"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64" s="201">
        <f>C134-(C251+D$23+D$24)</f>
        <v>0</v>
      </c>
    </row>
    <row r="265" spans="1:3" x14ac:dyDescent="0.25">
      <c r="A265" s="212"/>
      <c r="B265" s="219" t="str">
        <f>"Прибыль налогообложения на "&amp;G57&amp;"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65" s="201">
        <f>C135-(C252+E$23+E$24)</f>
        <v>0</v>
      </c>
    </row>
    <row r="266" spans="1:3" x14ac:dyDescent="0.25">
      <c r="A266" s="212"/>
      <c r="B266" s="219" t="str">
        <f>"Прибыль налогообложения на "&amp;G58&amp;"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66" s="201">
        <f>C136-(C240+F$23+F$24)</f>
        <v>-9094701.4286489859</v>
      </c>
    </row>
    <row r="267" spans="1:3" x14ac:dyDescent="0.25">
      <c r="A267" s="212"/>
      <c r="B267" s="219" t="str">
        <f>"Прибыль налогообложения на "&amp;G59&amp;"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67" s="201">
        <f>C137-(C241+F$23+F$24)</f>
        <v>22478048.571351007</v>
      </c>
    </row>
    <row r="268" spans="1:3" x14ac:dyDescent="0.25">
      <c r="A268" s="212"/>
      <c r="B268" s="219" t="str">
        <f>"Прибыль налогообложения на "&amp;G60&amp;"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68" s="201">
        <f t="shared" ref="C268:C274" si="42">C138-(C242+F$23+F$24)</f>
        <v>69837173.571350992</v>
      </c>
    </row>
    <row r="269" spans="1:3" x14ac:dyDescent="0.25">
      <c r="A269" s="212"/>
      <c r="B269" s="219" t="str">
        <f>"Прибыль налогообложения на "&amp;G61&amp;"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69" s="201">
        <f t="shared" si="42"/>
        <v>101409923.57135093</v>
      </c>
    </row>
    <row r="270" spans="1:3" x14ac:dyDescent="0.25">
      <c r="A270" s="212"/>
      <c r="B270" s="219" t="str">
        <f>"Прибыль налогообложения на "&amp;G62&amp;"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70" s="201">
        <f t="shared" si="42"/>
        <v>117196298.57135093</v>
      </c>
    </row>
    <row r="271" spans="1:3" x14ac:dyDescent="0.25">
      <c r="A271" s="212"/>
      <c r="B271" s="219" t="str">
        <f>"Прибыль налогообложения на "&amp;G63&amp;"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71" s="201">
        <f t="shared" si="42"/>
        <v>117196298.57135093</v>
      </c>
    </row>
    <row r="272" spans="1:3" x14ac:dyDescent="0.25">
      <c r="A272" s="212"/>
      <c r="B272" s="219" t="str">
        <f>"Прибыль налогообложения на "&amp;G64&amp;"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72" s="201">
        <f t="shared" si="42"/>
        <v>117196298.57135093</v>
      </c>
    </row>
    <row r="273" spans="1:3" x14ac:dyDescent="0.25">
      <c r="A273" s="212"/>
      <c r="B273" s="219" t="str">
        <f>"Прибыль налогообложения на "&amp;G65&amp;"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73" s="201">
        <f t="shared" si="42"/>
        <v>117196298.57135093</v>
      </c>
    </row>
    <row r="274" spans="1:3" x14ac:dyDescent="0.25">
      <c r="A274" s="212"/>
      <c r="B274" s="219" t="str">
        <f>"Прибыль налогообложения на "&amp;G66&amp;"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74" s="201">
        <f t="shared" si="42"/>
        <v>117196298.57135093</v>
      </c>
    </row>
    <row r="275" spans="1:3" ht="15.75" thickBot="1" x14ac:dyDescent="0.3">
      <c r="A275" s="212"/>
      <c r="B275" s="219"/>
      <c r="C275" s="212"/>
    </row>
    <row r="276" spans="1:3" ht="15.75" thickBot="1" x14ac:dyDescent="0.3">
      <c r="A276" s="212"/>
      <c r="B276" s="220" t="s">
        <v>395</v>
      </c>
      <c r="C276" s="212"/>
    </row>
    <row r="277" spans="1:3" x14ac:dyDescent="0.25">
      <c r="A277" s="212"/>
      <c r="B277" s="219" t="str">
        <f>"Прибыль налогообложения на "&amp;G56&amp;" шаге = "&amp;'666'!B$412&amp;" - ("&amp;'666'!B$423&amp;" + "&amp;'666'!$B$429&amp;" + "&amp;'666'!B$430&amp;") ="</f>
        <v>Прибыль налогообложения на 0 шаге = Выручка без НДС - (Итого переменных издержек + Итого постоянных издержек + Амортизация) =</v>
      </c>
      <c r="C277" s="201">
        <f>C147-(C264+D$23+D$24)</f>
        <v>0</v>
      </c>
    </row>
    <row r="278" spans="1:3" x14ac:dyDescent="0.25">
      <c r="A278" s="212"/>
      <c r="B278" s="219" t="str">
        <f>"Прибыль налогообложения на "&amp;G57&amp;" шаге = "&amp;'666'!B$412&amp;" - ("&amp;'666'!B$423&amp;" + "&amp;'666'!$B$429&amp;" + "&amp;'666'!B$430&amp;") ="</f>
        <v>Прибыль налогообложения на 1 шаге = Выручка без НДС - (Итого переменных издержек + Итого постоянных издержек + Амортизация) =</v>
      </c>
      <c r="C278" s="201">
        <f>C148-(C265+E$23+E$24)</f>
        <v>0</v>
      </c>
    </row>
    <row r="279" spans="1:3" x14ac:dyDescent="0.25">
      <c r="A279" s="212"/>
      <c r="B279" s="219" t="str">
        <f>"Прибыль налогообложения на "&amp;G58&amp;" шаге = "&amp;'666'!B$412&amp;" - ("&amp;'666'!B$423&amp;" + "&amp;'666'!$B$429&amp;" + "&amp;'666'!B$430&amp;") ="</f>
        <v>Прибыль налогообложения на 2 шаге = Выручка без НДС - (Итого переменных издержек + Итого постоянных издержек + Амортизация) =</v>
      </c>
      <c r="C279" s="201">
        <f>C149-(C253+F$23+F$24)</f>
        <v>-25089526.428648986</v>
      </c>
    </row>
    <row r="280" spans="1:3" x14ac:dyDescent="0.25">
      <c r="A280" s="212"/>
      <c r="B280" s="219" t="str">
        <f>"Прибыль налогообложения на "&amp;G59&amp;" шаге = "&amp;'666'!B$412&amp;" - ("&amp;'666'!B$423&amp;" + "&amp;'666'!$B$429&amp;" + "&amp;'666'!B$430&amp;") ="</f>
        <v>Прибыль налогообложения на 3 шаге = Выручка без НДС - (Итого переменных издержек + Итого постоянных издержек + Амортизация) =</v>
      </c>
      <c r="C280" s="201">
        <f>C150-(C254+F$23+F$24)</f>
        <v>-9511601.4286489934</v>
      </c>
    </row>
    <row r="281" spans="1:3" x14ac:dyDescent="0.25">
      <c r="A281" s="212"/>
      <c r="B281" s="219" t="str">
        <f>"Прибыль налогообложения на "&amp;G60&amp;" шаге = "&amp;'666'!B$412&amp;" - ("&amp;'666'!B$423&amp;" + "&amp;'666'!$B$429&amp;" + "&amp;'666'!B$430&amp;") ="</f>
        <v>Прибыль налогообложения на 4 шаге = Выручка без НДС - (Итого переменных издержек + Итого постоянных издержек + Амортизация) =</v>
      </c>
      <c r="C281" s="201">
        <f t="shared" ref="C281:C287" si="43">C151-(C255+F$23+F$24)</f>
        <v>13855286.071350992</v>
      </c>
    </row>
    <row r="282" spans="1:3" x14ac:dyDescent="0.25">
      <c r="A282" s="212"/>
      <c r="B282" s="219" t="str">
        <f>"Прибыль налогообложения на "&amp;G61&amp;" шаге = "&amp;'666'!B$412&amp;" - ("&amp;'666'!B$423&amp;" + "&amp;'666'!$B$429&amp;" + "&amp;'666'!B$430&amp;") ="</f>
        <v>Прибыль налогообложения на 5 шаге = Выручка без НДС - (Итого переменных издержек + Итого постоянных издержек + Амортизация) =</v>
      </c>
      <c r="C282" s="201">
        <f t="shared" si="43"/>
        <v>29433211.071350962</v>
      </c>
    </row>
    <row r="283" spans="1:3" x14ac:dyDescent="0.25">
      <c r="A283" s="212"/>
      <c r="B283" s="219" t="str">
        <f>"Прибыль налогообложения на "&amp;G62&amp;" шаге = "&amp;'666'!B$412&amp;" - ("&amp;'666'!B$423&amp;" + "&amp;'666'!$B$429&amp;" + "&amp;'666'!B$430&amp;") ="</f>
        <v>Прибыль налогообложения на 6 шаге = Выручка без НДС - (Итого переменных издержек + Итого постоянных издержек + Амортизация) =</v>
      </c>
      <c r="C283" s="201">
        <f t="shared" si="43"/>
        <v>37222173.571350962</v>
      </c>
    </row>
    <row r="284" spans="1:3" x14ac:dyDescent="0.25">
      <c r="A284" s="212"/>
      <c r="B284" s="219" t="str">
        <f>"Прибыль налогообложения на "&amp;G63&amp;" шаге = "&amp;'666'!B$412&amp;" - ("&amp;'666'!B$423&amp;" + "&amp;'666'!$B$429&amp;" + "&amp;'666'!B$430&amp;") ="</f>
        <v>Прибыль налогообложения на 7 шаге = Выручка без НДС - (Итого переменных издержек + Итого постоянных издержек + Амортизация) =</v>
      </c>
      <c r="C284" s="201">
        <f t="shared" si="43"/>
        <v>37222173.571350962</v>
      </c>
    </row>
    <row r="285" spans="1:3" x14ac:dyDescent="0.25">
      <c r="A285" s="212"/>
      <c r="B285" s="219" t="str">
        <f>"Прибыль налогообложения на "&amp;G64&amp;" шаге = "&amp;'666'!B$412&amp;" - ("&amp;'666'!B$423&amp;" + "&amp;'666'!$B$429&amp;" + "&amp;'666'!B$430&amp;") ="</f>
        <v>Прибыль налогообложения на 8 шаге = Выручка без НДС - (Итого переменных издержек + Итого постоянных издержек + Амортизация) =</v>
      </c>
      <c r="C285" s="201">
        <f t="shared" si="43"/>
        <v>37222173.571350962</v>
      </c>
    </row>
    <row r="286" spans="1:3" x14ac:dyDescent="0.25">
      <c r="A286" s="212"/>
      <c r="B286" s="219" t="str">
        <f>"Прибыль налогообложения на "&amp;G65&amp;" шаге = "&amp;'666'!B$412&amp;" - ("&amp;'666'!B$423&amp;" + "&amp;'666'!$B$429&amp;" + "&amp;'666'!B$430&amp;") ="</f>
        <v>Прибыль налогообложения на 9 шаге = Выручка без НДС - (Итого переменных издержек + Итого постоянных издержек + Амортизация) =</v>
      </c>
      <c r="C286" s="201">
        <f t="shared" si="43"/>
        <v>37222173.571350962</v>
      </c>
    </row>
    <row r="287" spans="1:3" x14ac:dyDescent="0.25">
      <c r="A287" s="212"/>
      <c r="B287" s="219" t="str">
        <f>"Прибыль налогообложения на "&amp;G66&amp;" шаге = "&amp;'666'!B$412&amp;" - ("&amp;'666'!B$423&amp;" + "&amp;'666'!$B$429&amp;" + "&amp;'666'!B$430&amp;") ="</f>
        <v>Прибыль налогообложения на 10 шаге = Выручка без НДС - (Итого переменных издержек + Итого постоянных издержек + Амортизация) =</v>
      </c>
      <c r="C287" s="201">
        <f t="shared" si="43"/>
        <v>37222173.571350962</v>
      </c>
    </row>
    <row r="288" spans="1:3" ht="15.75" thickBot="1" x14ac:dyDescent="0.3">
      <c r="A288" s="212"/>
      <c r="B288" s="219"/>
      <c r="C288" s="212"/>
    </row>
    <row r="289" spans="1:3" ht="15.75" thickBot="1" x14ac:dyDescent="0.3">
      <c r="A289" s="212"/>
      <c r="B289" s="221" t="s">
        <v>394</v>
      </c>
      <c r="C289" s="212"/>
    </row>
    <row r="290" spans="1:3" x14ac:dyDescent="0.25">
      <c r="A290" s="212"/>
      <c r="B290" s="219" t="str">
        <f>"Налоги и сборы на "&amp;G56&amp;" шаге = 20% * Прибыль налогообложения = 20% * "&amp;ROUND(C277,2)&amp;" ="</f>
        <v>Налоги и сборы на 0 шаге = 20% * Прибыль налогообложения = 20% * 0 =</v>
      </c>
      <c r="C290" s="201">
        <f>20%*C277</f>
        <v>0</v>
      </c>
    </row>
    <row r="291" spans="1:3" x14ac:dyDescent="0.25">
      <c r="A291" s="212"/>
      <c r="B291" s="219" t="str">
        <f>"Налоги и сборы на "&amp;G57&amp;" шаге = 20% * Прибыль налогообложения = 20% * "&amp;ROUND(C278,2)&amp;" ="</f>
        <v>Налоги и сборы на 1 шаге = 20% * Прибыль налогообложения = 20% * 0 =</v>
      </c>
      <c r="C291" s="201">
        <f t="shared" ref="C291" si="44">20%*C278</f>
        <v>0</v>
      </c>
    </row>
    <row r="292" spans="1:3" x14ac:dyDescent="0.25">
      <c r="A292" s="212"/>
      <c r="B292" s="219" t="str">
        <f>"Налоги и сборы на "&amp;G58&amp;" шаге = 20% * Прибыль налогообложения = 20% * 0 ="</f>
        <v>Налоги и сборы на 2 шаге = 20% * Прибыль налогообложения = 20% * 0 =</v>
      </c>
      <c r="C292" s="201">
        <v>0</v>
      </c>
    </row>
    <row r="293" spans="1:3" x14ac:dyDescent="0.25">
      <c r="A293" s="212"/>
      <c r="B293" s="219" t="str">
        <f>"Налоги и сборы на "&amp;G59&amp;" шаге = 20% * Прибыль налогообложения = 20% * 0 ="</f>
        <v>Налоги и сборы на 3 шаге = 20% * Прибыль налогообложения = 20% * 0 =</v>
      </c>
      <c r="C293" s="201">
        <f>C267*20%</f>
        <v>4495609.7142702015</v>
      </c>
    </row>
    <row r="294" spans="1:3" x14ac:dyDescent="0.25">
      <c r="A294" s="212"/>
      <c r="B294" s="219" t="str">
        <f>"Налоги и сборы на "&amp;G60&amp;" шаге = 20% * Прибыль налогообложения = 20% * "&amp;ROUND(C281,2)&amp;" ="</f>
        <v>Налоги и сборы на 4 шаге = 20% * Прибыль налогообложения = 20% * 13855286,07 =</v>
      </c>
      <c r="C294" s="201">
        <f t="shared" ref="C294:C300" si="45">C268*20%</f>
        <v>13967434.714270199</v>
      </c>
    </row>
    <row r="295" spans="1:3" x14ac:dyDescent="0.25">
      <c r="A295" s="212"/>
      <c r="B295" s="219" t="str">
        <f>"Налоги и сборы на "&amp;G61&amp;" шаге = 20% * Прибыль налогообложения = 20% * "&amp;ROUND(C282,2)&amp;" ="</f>
        <v>Налоги и сборы на 5 шаге = 20% * Прибыль налогообложения = 20% * 29433211,07 =</v>
      </c>
      <c r="C295" s="201">
        <f t="shared" si="45"/>
        <v>20281984.714270189</v>
      </c>
    </row>
    <row r="296" spans="1:3" x14ac:dyDescent="0.25">
      <c r="A296" s="212"/>
      <c r="B296" s="219" t="str">
        <f>"Налоги и сборы на "&amp;G62&amp;" шаге = 20% * Прибыль налогообложения = 20% * "&amp;ROUND(C283,2)&amp;" ="</f>
        <v>Налоги и сборы на 6 шаге = 20% * Прибыль налогообложения = 20% * 37222173,57 =</v>
      </c>
      <c r="C296" s="201">
        <f t="shared" si="45"/>
        <v>23439259.714270189</v>
      </c>
    </row>
    <row r="297" spans="1:3" x14ac:dyDescent="0.25">
      <c r="A297" s="212"/>
      <c r="B297" s="219" t="str">
        <f>"Налоги и сборы на "&amp;G63&amp;" шаге = 20% * Прибыль налогообложения = 20% * "&amp;ROUND(C284,2)&amp;" ="</f>
        <v>Налоги и сборы на 7 шаге = 20% * Прибыль налогообложения = 20% * 37222173,57 =</v>
      </c>
      <c r="C297" s="201">
        <f t="shared" si="45"/>
        <v>23439259.714270189</v>
      </c>
    </row>
    <row r="298" spans="1:3" x14ac:dyDescent="0.25">
      <c r="A298" s="212"/>
      <c r="B298" s="219" t="str">
        <f>"Налоги и сборы на "&amp;G64&amp;" шаге = 20% * Прибыль налогообложения = 20% * "&amp;ROUND(C285,2)&amp;" ="</f>
        <v>Налоги и сборы на 8 шаге = 20% * Прибыль налогообложения = 20% * 37222173,57 =</v>
      </c>
      <c r="C298" s="201">
        <f t="shared" si="45"/>
        <v>23439259.714270189</v>
      </c>
    </row>
    <row r="299" spans="1:3" x14ac:dyDescent="0.25">
      <c r="A299" s="212"/>
      <c r="B299" s="219" t="str">
        <f>"Налоги и сборы на "&amp;G65&amp;" шаге = 20% * Прибыль налогообложения = 20% * "&amp;ROUND(C286,2)&amp;" ="</f>
        <v>Налоги и сборы на 9 шаге = 20% * Прибыль налогообложения = 20% * 37222173,57 =</v>
      </c>
      <c r="C299" s="201">
        <f t="shared" si="45"/>
        <v>23439259.714270189</v>
      </c>
    </row>
    <row r="300" spans="1:3" x14ac:dyDescent="0.25">
      <c r="A300" s="212"/>
      <c r="B300" s="219" t="str">
        <f>"Налоги и сборы на "&amp;G66&amp;" шаге = 20% * Прибыль налогообложения = 20% * "&amp;ROUND(C287,2)&amp;" ="</f>
        <v>Налоги и сборы на 10 шаге = 20% * Прибыль налогообложения = 20% * 37222173,57 =</v>
      </c>
      <c r="C300" s="201">
        <f t="shared" si="45"/>
        <v>23439259.714270189</v>
      </c>
    </row>
    <row r="301" spans="1:3" ht="15.75" thickBot="1" x14ac:dyDescent="0.3">
      <c r="A301" s="212"/>
      <c r="B301" s="219"/>
      <c r="C301" s="212"/>
    </row>
    <row r="302" spans="1:3" ht="15.75" thickBot="1" x14ac:dyDescent="0.3">
      <c r="A302" s="212"/>
      <c r="B302" s="220" t="s">
        <v>395</v>
      </c>
      <c r="C302" s="212"/>
    </row>
    <row r="303" spans="1:3" x14ac:dyDescent="0.25">
      <c r="A303" s="212"/>
      <c r="B303" s="219" t="str">
        <f>"Налоги и сборы на "&amp;G56&amp;" шаге = 20% * Прибыль налогообложения = 20% * "&amp;ROUND(C290,2)&amp;" ="</f>
        <v>Налоги и сборы на 0 шаге = 20% * Прибыль налогообложения = 20% * 0 =</v>
      </c>
      <c r="C303" s="201">
        <f>20%*C290</f>
        <v>0</v>
      </c>
    </row>
    <row r="304" spans="1:3" x14ac:dyDescent="0.25">
      <c r="A304" s="212"/>
      <c r="B304" s="219" t="str">
        <f>"Налоги и сборы на "&amp;G57&amp;" шаге = 20% * Прибыль налогообложения = 20% * "&amp;ROUND(C291,2)&amp;" ="</f>
        <v>Налоги и сборы на 1 шаге = 20% * Прибыль налогообложения = 20% * 0 =</v>
      </c>
      <c r="C304" s="201">
        <f t="shared" ref="C304" si="46">20%*C291</f>
        <v>0</v>
      </c>
    </row>
    <row r="305" spans="1:3" x14ac:dyDescent="0.25">
      <c r="A305" s="212"/>
      <c r="B305" s="219" t="str">
        <f>"Налоги и сборы на "&amp;G58&amp;" шаге = 20% * Прибыль налогообложения = 20% * "&amp;ROUND(C292,2)&amp;" ="</f>
        <v>Налоги и сборы на 2 шаге = 20% * Прибыль налогообложения = 20% * 0 =</v>
      </c>
      <c r="C305" s="201">
        <v>0</v>
      </c>
    </row>
    <row r="306" spans="1:3" x14ac:dyDescent="0.25">
      <c r="A306" s="212"/>
      <c r="B306" s="219" t="str">
        <f>"Налоги и сборы на "&amp;G59&amp;" шаге = 20% * Прибыль налогообложения = 20% * "&amp;ROUND(C293,2)&amp;" ="</f>
        <v>Налоги и сборы на 3 шаге = 20% * Прибыль налогообложения = 20% * 4495609,71 =</v>
      </c>
      <c r="C306" s="201">
        <v>0</v>
      </c>
    </row>
    <row r="307" spans="1:3" x14ac:dyDescent="0.25">
      <c r="A307" s="212"/>
      <c r="B307" s="219" t="str">
        <f>"Налоги и сборы на "&amp;G60&amp;" шаге = 20% * Прибыль налогообложения = 20% * "&amp;ROUND(C294,2)&amp;" ="</f>
        <v>Налоги и сборы на 4 шаге = 20% * Прибыль налогообложения = 20% * 13967434,71 =</v>
      </c>
      <c r="C307" s="201">
        <f t="shared" ref="C307:C313" si="47">20%*C281</f>
        <v>2771057.2142701987</v>
      </c>
    </row>
    <row r="308" spans="1:3" x14ac:dyDescent="0.25">
      <c r="A308" s="212"/>
      <c r="B308" s="219" t="str">
        <f>"Налоги и сборы на "&amp;G61&amp;" шаге = 20% * Прибыль налогообложения = 20% * "&amp;ROUND(C295,2)&amp;" ="</f>
        <v>Налоги и сборы на 5 шаге = 20% * Прибыль налогообложения = 20% * 20281984,71 =</v>
      </c>
      <c r="C308" s="201">
        <f t="shared" si="47"/>
        <v>5886642.2142701931</v>
      </c>
    </row>
    <row r="309" spans="1:3" x14ac:dyDescent="0.25">
      <c r="A309" s="212"/>
      <c r="B309" s="219" t="str">
        <f>"Налоги и сборы на "&amp;G62&amp;" шаге = 20% * Прибыль налогообложения = 20% * "&amp;ROUND(C296,2)&amp;" ="</f>
        <v>Налоги и сборы на 6 шаге = 20% * Прибыль налогообложения = 20% * 23439259,71 =</v>
      </c>
      <c r="C309" s="201">
        <f t="shared" si="47"/>
        <v>7444434.7142701931</v>
      </c>
    </row>
    <row r="310" spans="1:3" x14ac:dyDescent="0.25">
      <c r="A310" s="212"/>
      <c r="B310" s="219" t="str">
        <f>"Налоги и сборы на "&amp;G63&amp;" шаге = 20% * Прибыль налогообложения = 20% * "&amp;ROUND(C297,2)&amp;" ="</f>
        <v>Налоги и сборы на 7 шаге = 20% * Прибыль налогообложения = 20% * 23439259,71 =</v>
      </c>
      <c r="C310" s="201">
        <f t="shared" si="47"/>
        <v>7444434.7142701931</v>
      </c>
    </row>
    <row r="311" spans="1:3" x14ac:dyDescent="0.25">
      <c r="A311" s="212"/>
      <c r="B311" s="219" t="str">
        <f>"Налоги и сборы на "&amp;G64&amp;" шаге = 20% * Прибыль налогообложения = 20% * "&amp;ROUND(C298,2)&amp;" ="</f>
        <v>Налоги и сборы на 8 шаге = 20% * Прибыль налогообложения = 20% * 23439259,71 =</v>
      </c>
      <c r="C311" s="201">
        <f t="shared" si="47"/>
        <v>7444434.7142701931</v>
      </c>
    </row>
    <row r="312" spans="1:3" x14ac:dyDescent="0.25">
      <c r="A312" s="212"/>
      <c r="B312" s="219" t="str">
        <f>"Налоги и сборы на "&amp;G65&amp;" шаге = 20% * Прибыль налогообложения = 20% * "&amp;ROUND(C299,2)&amp;" ="</f>
        <v>Налоги и сборы на 9 шаге = 20% * Прибыль налогообложения = 20% * 23439259,71 =</v>
      </c>
      <c r="C312" s="201">
        <f t="shared" si="47"/>
        <v>7444434.7142701931</v>
      </c>
    </row>
    <row r="313" spans="1:3" x14ac:dyDescent="0.25">
      <c r="A313" s="212"/>
      <c r="B313" s="219" t="str">
        <f>"Налоги и сборы на "&amp;G66&amp;" шаге = 20% * Прибыль налогообложения = 20% * "&amp;ROUND(C300,2)&amp;" ="</f>
        <v>Налоги и сборы на 10 шаге = 20% * Прибыль налогообложения = 20% * 23439259,71 =</v>
      </c>
      <c r="C313" s="201">
        <f t="shared" si="47"/>
        <v>7444434.7142701931</v>
      </c>
    </row>
    <row r="314" spans="1:3" ht="15.75" thickBot="1" x14ac:dyDescent="0.3">
      <c r="A314" s="212"/>
      <c r="B314" s="219"/>
      <c r="C314" s="212"/>
    </row>
    <row r="315" spans="1:3" ht="15.75" thickBot="1" x14ac:dyDescent="0.3">
      <c r="A315" s="212"/>
      <c r="B315" s="221" t="s">
        <v>394</v>
      </c>
      <c r="C315" s="212"/>
    </row>
    <row r="316" spans="1:3" x14ac:dyDescent="0.25">
      <c r="A316" s="212"/>
      <c r="B316" s="219" t="str">
        <f>"Чистая прибыль на "&amp;G56&amp;" шаге = Прибыль налогооблажения - Налоги и сборы = "&amp;ROUND(C264,2)&amp;" - "&amp;ROUND(C290,2)&amp;" = "</f>
        <v xml:space="preserve">Чистая прибыль на 0 шаге = Прибыль налогооблажения - Налоги и сборы = 0 - 0 = </v>
      </c>
      <c r="C316" s="201">
        <f>C264-C290</f>
        <v>0</v>
      </c>
    </row>
    <row r="317" spans="1:3" x14ac:dyDescent="0.25">
      <c r="A317" s="212"/>
      <c r="B317" s="219" t="str">
        <f>"Чистая прибыль на "&amp;G57&amp;" шаге = Прибыль налогооблажения - Налоги и сборы = "&amp;ROUND(C265,2)&amp;" - "&amp;ROUND(C291,2)&amp;" = "</f>
        <v xml:space="preserve">Чистая прибыль на 1 шаге = Прибыль налогооблажения - Налоги и сборы = 0 - 0 = </v>
      </c>
      <c r="C317" s="201">
        <f t="shared" ref="C317:C326" si="48">C265-C291</f>
        <v>0</v>
      </c>
    </row>
    <row r="318" spans="1:3" x14ac:dyDescent="0.25">
      <c r="A318" s="212"/>
      <c r="B318" s="219" t="str">
        <f>"Чистая прибыль на "&amp;G58&amp;" шаге = Прибыль налогооблажения - Налоги и сборы = "&amp;ROUND(C266,2)&amp;" - "&amp;ROUND(C292,2)&amp;" = "</f>
        <v xml:space="preserve">Чистая прибыль на 2 шаге = Прибыль налогооблажения - Налоги и сборы = -9094701,43 - 0 = </v>
      </c>
      <c r="C318" s="201">
        <f t="shared" si="48"/>
        <v>-9094701.4286489859</v>
      </c>
    </row>
    <row r="319" spans="1:3" x14ac:dyDescent="0.25">
      <c r="A319" s="212"/>
      <c r="B319" s="219" t="str">
        <f>"Чистая прибыль на "&amp;G59&amp;" шаге = Прибыль налогооблажения - Налоги и сборы = "&amp;ROUND(C267,2)&amp;" - "&amp;ROUND(C293,2)&amp;" = "</f>
        <v xml:space="preserve">Чистая прибыль на 3 шаге = Прибыль налогооблажения - Налоги и сборы = 22478048,57 - 4495609,71 = </v>
      </c>
      <c r="C319" s="201">
        <f t="shared" si="48"/>
        <v>17982438.857080806</v>
      </c>
    </row>
    <row r="320" spans="1:3" x14ac:dyDescent="0.25">
      <c r="A320" s="212"/>
      <c r="B320" s="219" t="str">
        <f>"Чистая прибыль на "&amp;G60&amp;" шаге = Прибыль налогооблажения - Налоги и сборы = "&amp;ROUND(C268,2)&amp;" - "&amp;ROUND(C294,2)&amp;" = "</f>
        <v xml:space="preserve">Чистая прибыль на 4 шаге = Прибыль налогооблажения - Налоги и сборы = 69837173,57 - 13967434,71 = </v>
      </c>
      <c r="C320" s="201">
        <f t="shared" si="48"/>
        <v>55869738.857080795</v>
      </c>
    </row>
    <row r="321" spans="1:3" x14ac:dyDescent="0.25">
      <c r="A321" s="212"/>
      <c r="B321" s="219" t="str">
        <f>"Чистая прибыль на "&amp;G61&amp;" шаге = Прибыль налогооблажения - Налоги и сборы = "&amp;ROUND(C269,2)&amp;" - "&amp;ROUND(C295,2)&amp;" = "</f>
        <v xml:space="preserve">Чистая прибыль на 5 шаге = Прибыль налогооблажения - Налоги и сборы = 101409923,57 - 20281984,71 = </v>
      </c>
      <c r="C321" s="201">
        <f t="shared" si="48"/>
        <v>81127938.857080743</v>
      </c>
    </row>
    <row r="322" spans="1:3" x14ac:dyDescent="0.25">
      <c r="A322" s="212"/>
      <c r="B322" s="219" t="str">
        <f>"Чистая прибыль на "&amp;G62&amp;" шаге = Прибыль налогооблажения - Налоги и сборы = "&amp;ROUND(C270,2)&amp;" - "&amp;ROUND(C296,2)&amp;" = "</f>
        <v xml:space="preserve">Чистая прибыль на 6 шаге = Прибыль налогооблажения - Налоги и сборы = 117196298,57 - 23439259,71 = </v>
      </c>
      <c r="C322" s="201">
        <f t="shared" si="48"/>
        <v>93757038.857080743</v>
      </c>
    </row>
    <row r="323" spans="1:3" x14ac:dyDescent="0.25">
      <c r="A323" s="212"/>
      <c r="B323" s="219" t="str">
        <f>"Чистая прибыль на "&amp;G63&amp;" шаге = Прибыль налогооблажения - Налоги и сборы = "&amp;ROUND(C271,2)&amp;" - "&amp;ROUND(C297,2)&amp;" = "</f>
        <v xml:space="preserve">Чистая прибыль на 7 шаге = Прибыль налогооблажения - Налоги и сборы = 117196298,57 - 23439259,71 = </v>
      </c>
      <c r="C323" s="201">
        <f t="shared" si="48"/>
        <v>93757038.857080743</v>
      </c>
    </row>
    <row r="324" spans="1:3" x14ac:dyDescent="0.25">
      <c r="A324" s="212"/>
      <c r="B324" s="219" t="str">
        <f>"Чистая прибыль на "&amp;G64&amp;" шаге = Прибыль налогооблажения - Налоги и сборы = "&amp;ROUND(C272,2)&amp;" - "&amp;ROUND(C298,2)&amp;" = "</f>
        <v xml:space="preserve">Чистая прибыль на 8 шаге = Прибыль налогооблажения - Налоги и сборы = 117196298,57 - 23439259,71 = </v>
      </c>
      <c r="C324" s="201">
        <f t="shared" si="48"/>
        <v>93757038.857080743</v>
      </c>
    </row>
    <row r="325" spans="1:3" x14ac:dyDescent="0.25">
      <c r="A325" s="212"/>
      <c r="B325" s="219" t="str">
        <f>"Чистая прибыль на "&amp;G65&amp;" шаге = Прибыль налогооблажения - Налоги и сборы = "&amp;ROUND(C273,2)&amp;" - "&amp;ROUND(C299,2)&amp;" = "</f>
        <v xml:space="preserve">Чистая прибыль на 9 шаге = Прибыль налогооблажения - Налоги и сборы = 117196298,57 - 23439259,71 = </v>
      </c>
      <c r="C325" s="201">
        <f t="shared" si="48"/>
        <v>93757038.857080743</v>
      </c>
    </row>
    <row r="326" spans="1:3" x14ac:dyDescent="0.25">
      <c r="A326" s="212"/>
      <c r="B326" s="219" t="str">
        <f>"Чистая прибыль на "&amp;G66&amp;" шаге = Прибыль налогооблажения - Налоги и сборы = "&amp;ROUND(C274,2)&amp;" - "&amp;ROUND(C300,2)&amp;" = "</f>
        <v xml:space="preserve">Чистая прибыль на 10 шаге = Прибыль налогооблажения - Налоги и сборы = 117196298,57 - 23439259,71 = </v>
      </c>
      <c r="C326" s="201">
        <f t="shared" si="48"/>
        <v>93757038.857080743</v>
      </c>
    </row>
    <row r="327" spans="1:3" ht="15.75" thickBot="1" x14ac:dyDescent="0.3">
      <c r="A327" s="212"/>
      <c r="B327" s="219"/>
      <c r="C327" s="212"/>
    </row>
    <row r="328" spans="1:3" ht="15.75" thickBot="1" x14ac:dyDescent="0.3">
      <c r="A328" s="212"/>
      <c r="B328" s="220" t="s">
        <v>395</v>
      </c>
      <c r="C328" s="212"/>
    </row>
    <row r="329" spans="1:3" x14ac:dyDescent="0.25">
      <c r="A329" s="212"/>
      <c r="B329" s="219" t="str">
        <f>"Чистая прибыль на "&amp;G56&amp;" шаге = Прибыль налогооблажения - Налоги и сборы = "&amp;ROUND(C277,2)&amp;" - "&amp;ROUND(C303,2)&amp;" = "</f>
        <v xml:space="preserve">Чистая прибыль на 0 шаге = Прибыль налогооблажения - Налоги и сборы = 0 - 0 = </v>
      </c>
      <c r="C329" s="201">
        <f>C277-C303</f>
        <v>0</v>
      </c>
    </row>
    <row r="330" spans="1:3" x14ac:dyDescent="0.25">
      <c r="A330" s="212"/>
      <c r="B330" s="219" t="str">
        <f>"Чистая прибыль на "&amp;G57&amp;" шаге = Прибыль налогооблажения - Налоги и сборы = "&amp;ROUND(C278,2)&amp;" - "&amp;ROUND(C304,2)&amp;" = "</f>
        <v xml:space="preserve">Чистая прибыль на 1 шаге = Прибыль налогооблажения - Налоги и сборы = 0 - 0 = </v>
      </c>
      <c r="C330" s="201">
        <f t="shared" ref="C330:C339" si="49">C278-C304</f>
        <v>0</v>
      </c>
    </row>
    <row r="331" spans="1:3" x14ac:dyDescent="0.25">
      <c r="A331" s="212"/>
      <c r="B331" s="219" t="str">
        <f>"Чистая прибыль на "&amp;G58&amp;" шаге = Прибыль налогооблажения - Налоги и сборы = "&amp;ROUND(C279,2)&amp;" - "&amp;ROUND(C305,2)&amp;" = "</f>
        <v xml:space="preserve">Чистая прибыль на 2 шаге = Прибыль налогооблажения - Налоги и сборы = -25089526,43 - 0 = </v>
      </c>
      <c r="C331" s="201">
        <f t="shared" si="49"/>
        <v>-25089526.428648986</v>
      </c>
    </row>
    <row r="332" spans="1:3" x14ac:dyDescent="0.25">
      <c r="A332" s="212"/>
      <c r="B332" s="219" t="str">
        <f>"Чистая прибыль на "&amp;G59&amp;" шаге = Прибыль налогооблажения - Налоги и сборы = "&amp;ROUND(C280,2)&amp;" - "&amp;ROUND(C306,2)&amp;" = "</f>
        <v xml:space="preserve">Чистая прибыль на 3 шаге = Прибыль налогооблажения - Налоги и сборы = -9511601,43 - 0 = </v>
      </c>
      <c r="C332" s="201">
        <f t="shared" si="49"/>
        <v>-9511601.4286489934</v>
      </c>
    </row>
    <row r="333" spans="1:3" x14ac:dyDescent="0.25">
      <c r="A333" s="212"/>
      <c r="B333" s="219" t="str">
        <f>"Чистая прибыль на "&amp;G60&amp;" шаге = Прибыль налогооблажения - Налоги и сборы = "&amp;ROUND(C281,2)&amp;" - "&amp;ROUND(C307,2)&amp;" = "</f>
        <v xml:space="preserve">Чистая прибыль на 4 шаге = Прибыль налогооблажения - Налоги и сборы = 13855286,07 - 2771057,21 = </v>
      </c>
      <c r="C333" s="201">
        <f t="shared" si="49"/>
        <v>11084228.857080793</v>
      </c>
    </row>
    <row r="334" spans="1:3" x14ac:dyDescent="0.25">
      <c r="A334" s="212"/>
      <c r="B334" s="219" t="str">
        <f>"Чистая прибыль на "&amp;G61&amp;" шаге = Прибыль налогооблажения - Налоги и сборы = "&amp;ROUND(C282,2)&amp;" - "&amp;ROUND(C308,2)&amp;" = "</f>
        <v xml:space="preserve">Чистая прибыль на 5 шаге = Прибыль налогооблажения - Налоги и сборы = 29433211,07 - 5886642,21 = </v>
      </c>
      <c r="C334" s="201">
        <f t="shared" si="49"/>
        <v>23546568.857080769</v>
      </c>
    </row>
    <row r="335" spans="1:3" x14ac:dyDescent="0.25">
      <c r="A335" s="212"/>
      <c r="B335" s="219" t="str">
        <f>"Чистая прибыль на "&amp;G62&amp;" шаге = Прибыль налогооблажения - Налоги и сборы = "&amp;ROUND(C283,2)&amp;" - "&amp;ROUND(C309,2)&amp;" = "</f>
        <v xml:space="preserve">Чистая прибыль на 6 шаге = Прибыль налогооблажения - Налоги и сборы = 37222173,57 - 7444434,71 = </v>
      </c>
      <c r="C335" s="201">
        <f t="shared" si="49"/>
        <v>29777738.857080769</v>
      </c>
    </row>
    <row r="336" spans="1:3" x14ac:dyDescent="0.25">
      <c r="A336" s="212"/>
      <c r="B336" s="219" t="str">
        <f>"Чистая прибыль на "&amp;G63&amp;" шаге = Прибыль налогооблажения - Налоги и сборы = "&amp;ROUND(C284,2)&amp;" - "&amp;ROUND(C310,2)&amp;" = "</f>
        <v xml:space="preserve">Чистая прибыль на 7 шаге = Прибыль налогооблажения - Налоги и сборы = 37222173,57 - 7444434,71 = </v>
      </c>
      <c r="C336" s="201">
        <f t="shared" si="49"/>
        <v>29777738.857080769</v>
      </c>
    </row>
    <row r="337" spans="1:3" x14ac:dyDescent="0.25">
      <c r="A337" s="212"/>
      <c r="B337" s="219" t="str">
        <f>"Чистая прибыль на "&amp;G64&amp;" шаге = Прибыль налогооблажения - Налоги и сборы = "&amp;ROUND(C285,2)&amp;" - "&amp;ROUND(C311,2)&amp;" = "</f>
        <v xml:space="preserve">Чистая прибыль на 8 шаге = Прибыль налогооблажения - Налоги и сборы = 37222173,57 - 7444434,71 = </v>
      </c>
      <c r="C337" s="201">
        <f t="shared" si="49"/>
        <v>29777738.857080769</v>
      </c>
    </row>
    <row r="338" spans="1:3" x14ac:dyDescent="0.25">
      <c r="A338" s="212"/>
      <c r="B338" s="219" t="str">
        <f>"Чистая прибыль на "&amp;G65&amp;" шаге = Прибыль налогооблажения - Налоги и сборы = "&amp;ROUND(C286,2)&amp;" - "&amp;ROUND(C312,2)&amp;" = "</f>
        <v xml:space="preserve">Чистая прибыль на 9 шаге = Прибыль налогооблажения - Налоги и сборы = 37222173,57 - 7444434,71 = </v>
      </c>
      <c r="C338" s="201">
        <f t="shared" si="49"/>
        <v>29777738.857080769</v>
      </c>
    </row>
    <row r="339" spans="1:3" x14ac:dyDescent="0.25">
      <c r="A339" s="212"/>
      <c r="B339" s="219" t="str">
        <f>"Чистая прибыль на "&amp;G66&amp;" шаге = Прибыль налогооблажения - Налоги и сборы = "&amp;ROUND(C287,2)&amp;" - "&amp;ROUND(C313,2)&amp;" = "</f>
        <v xml:space="preserve">Чистая прибыль на 10 шаге = Прибыль налогооблажения - Налоги и сборы = 37222173,57 - 7444434,71 = </v>
      </c>
      <c r="C339" s="201">
        <f t="shared" si="49"/>
        <v>29777738.857080769</v>
      </c>
    </row>
    <row r="340" spans="1:3" ht="15.75" thickBot="1" x14ac:dyDescent="0.3">
      <c r="A340" s="212"/>
      <c r="B340" s="219"/>
      <c r="C340" s="212"/>
    </row>
    <row r="341" spans="1:3" ht="15.75" thickBot="1" x14ac:dyDescent="0.3">
      <c r="A341" s="212"/>
      <c r="B341" s="221" t="s">
        <v>394</v>
      </c>
      <c r="C341" s="212"/>
    </row>
    <row r="342" spans="1:3" x14ac:dyDescent="0.25">
      <c r="A342" s="212"/>
      <c r="B342" s="219" t="str">
        <f>"Денежный поток от ОД на "&amp;G56&amp;" шаге = Чистая прибыль + Амортизация = "&amp;C329&amp;" + 0 = "</f>
        <v xml:space="preserve">Денежный поток от ОД на 0 шаге = Чистая прибыль + Амортизация = 0 + 0 = </v>
      </c>
      <c r="C342" s="201">
        <v>0</v>
      </c>
    </row>
    <row r="343" spans="1:3" x14ac:dyDescent="0.25">
      <c r="A343" s="212"/>
      <c r="B343" s="219" t="str">
        <f>"Денежный поток от ОД на "&amp;G57&amp;" шаге = Чистая прибыль + Амортизация = "&amp;C330&amp;" + 0 = "</f>
        <v xml:space="preserve">Денежный поток от ОД на 1 шаге = Чистая прибыль + Амортизация = 0 + 0 = </v>
      </c>
      <c r="C343" s="201">
        <v>0</v>
      </c>
    </row>
    <row r="344" spans="1:3" x14ac:dyDescent="0.25">
      <c r="A344" s="212"/>
      <c r="B344" s="219" t="str">
        <f>"Денежный поток от ОД на "&amp;G58&amp;" шаге = Чистая прибыль + Амортизация = "&amp;ROUND(C331,2)&amp;" + "&amp;F$24&amp;" = "</f>
        <v xml:space="preserve">Денежный поток от ОД на 2 шаге = Чистая прибыль + Амортизация = -25089526,43 + 1866646,8 = </v>
      </c>
      <c r="C344" s="201">
        <f>C318+F$24</f>
        <v>-7228054.6286489861</v>
      </c>
    </row>
    <row r="345" spans="1:3" x14ac:dyDescent="0.25">
      <c r="A345" s="212"/>
      <c r="B345" s="219" t="str">
        <f>"Денежный поток от ОД на "&amp;G59&amp;" шаге = Чистая прибыль + Амортизация = "&amp;ROUND(C332,2)&amp;" + "&amp;F$24&amp;" = "</f>
        <v xml:space="preserve">Денежный поток от ОД на 3 шаге = Чистая прибыль + Амортизация = -9511601,43 + 1866646,8 = </v>
      </c>
      <c r="C345" s="201">
        <f t="shared" ref="C345:C352" si="50">C319+F$24</f>
        <v>19849085.657080807</v>
      </c>
    </row>
    <row r="346" spans="1:3" x14ac:dyDescent="0.25">
      <c r="A346" s="212"/>
      <c r="B346" s="219" t="str">
        <f>"Денежный поток от ОД на "&amp;G60&amp;" шаге = Чистая прибыль + Амортизация = "&amp;ROUND(C333,2)&amp;" + "&amp;F$24&amp;" = "</f>
        <v xml:space="preserve">Денежный поток от ОД на 4 шаге = Чистая прибыль + Амортизация = 11084228,86 + 1866646,8 = </v>
      </c>
      <c r="C346" s="201">
        <f t="shared" si="50"/>
        <v>57736385.657080792</v>
      </c>
    </row>
    <row r="347" spans="1:3" x14ac:dyDescent="0.25">
      <c r="A347" s="212"/>
      <c r="B347" s="219" t="str">
        <f>"Денежный поток от ОД на "&amp;G61&amp;" шаге = Чистая прибыль + Амортизация = "&amp;ROUND(C334,2)&amp;" + "&amp;F$24&amp;" = "</f>
        <v xml:space="preserve">Денежный поток от ОД на 5 шаге = Чистая прибыль + Амортизация = 23546568,86 + 1866646,8 = </v>
      </c>
      <c r="C347" s="201">
        <f t="shared" si="50"/>
        <v>82994585.65708074</v>
      </c>
    </row>
    <row r="348" spans="1:3" x14ac:dyDescent="0.25">
      <c r="A348" s="212"/>
      <c r="B348" s="219" t="str">
        <f>"Денежный поток от ОД на "&amp;G62&amp;" шаге = Чистая прибыль + Амортизация = "&amp;ROUND(C335,2)&amp;" + "&amp;F$24&amp;" = "</f>
        <v xml:space="preserve">Денежный поток от ОД на 6 шаге = Чистая прибыль + Амортизация = 29777738,86 + 1866646,8 = </v>
      </c>
      <c r="C348" s="201">
        <f t="shared" si="50"/>
        <v>95623685.65708074</v>
      </c>
    </row>
    <row r="349" spans="1:3" x14ac:dyDescent="0.25">
      <c r="A349" s="212"/>
      <c r="B349" s="219" t="str">
        <f>"Денежный поток от ОД на "&amp;G63&amp;" шаге = Чистая прибыль + Амортизация = "&amp;ROUND(C336,2)&amp;" + "&amp;F$24&amp;" = "</f>
        <v xml:space="preserve">Денежный поток от ОД на 7 шаге = Чистая прибыль + Амортизация = 29777738,86 + 1866646,8 = </v>
      </c>
      <c r="C349" s="201">
        <f t="shared" si="50"/>
        <v>95623685.65708074</v>
      </c>
    </row>
    <row r="350" spans="1:3" x14ac:dyDescent="0.25">
      <c r="A350" s="212"/>
      <c r="B350" s="219" t="str">
        <f>"Денежный поток от ОД на "&amp;G64&amp;" шаге = Чистая прибыль + Амортизация = "&amp;ROUND(C337,2)&amp;" + "&amp;F$24&amp;" = "</f>
        <v xml:space="preserve">Денежный поток от ОД на 8 шаге = Чистая прибыль + Амортизация = 29777738,86 + 1866646,8 = </v>
      </c>
      <c r="C350" s="201">
        <f t="shared" si="50"/>
        <v>95623685.65708074</v>
      </c>
    </row>
    <row r="351" spans="1:3" x14ac:dyDescent="0.25">
      <c r="A351" s="212"/>
      <c r="B351" s="219" t="str">
        <f>"Денежный поток от ОД на "&amp;G65&amp;" шаге = Чистая прибыль + Амортизация = "&amp;ROUND(C338,2)&amp;" + "&amp;F$24&amp;" = "</f>
        <v xml:space="preserve">Денежный поток от ОД на 9 шаге = Чистая прибыль + Амортизация = 29777738,86 + 1866646,8 = </v>
      </c>
      <c r="C351" s="201">
        <f t="shared" si="50"/>
        <v>95623685.65708074</v>
      </c>
    </row>
    <row r="352" spans="1:3" x14ac:dyDescent="0.25">
      <c r="A352" s="212"/>
      <c r="B352" s="219" t="str">
        <f>"Денежный поток от ОД на "&amp;G66&amp;" шаге = Чистая прибыль + Амортизация = "&amp;ROUND(C339,2)&amp;" + "&amp;F$24&amp;" = "</f>
        <v xml:space="preserve">Денежный поток от ОД на 10 шаге = Чистая прибыль + Амортизация = 29777738,86 + 1866646,8 = </v>
      </c>
      <c r="C352" s="201">
        <f t="shared" si="50"/>
        <v>95623685.65708074</v>
      </c>
    </row>
    <row r="353" spans="1:3" ht="15.75" thickBot="1" x14ac:dyDescent="0.3">
      <c r="A353" s="212"/>
      <c r="B353" s="219"/>
      <c r="C353" s="212"/>
    </row>
    <row r="354" spans="1:3" ht="15.75" thickBot="1" x14ac:dyDescent="0.3">
      <c r="A354" s="212"/>
      <c r="B354" s="220" t="s">
        <v>395</v>
      </c>
      <c r="C354" s="212"/>
    </row>
    <row r="355" spans="1:3" x14ac:dyDescent="0.25">
      <c r="A355" s="212"/>
      <c r="B355" s="219" t="str">
        <f>"Денежный поток от ОД на "&amp;G56&amp;" шаге = Чистая прибыль + Амортизация = "&amp;C342&amp;" + 0 = "</f>
        <v xml:space="preserve">Денежный поток от ОД на 0 шаге = Чистая прибыль + Амортизация = 0 + 0 = </v>
      </c>
      <c r="C355" s="201">
        <v>0</v>
      </c>
    </row>
    <row r="356" spans="1:3" x14ac:dyDescent="0.25">
      <c r="A356" s="212"/>
      <c r="B356" s="219" t="str">
        <f>"Денежный поток от ОД на "&amp;G57&amp;" шаге = Чистая прибыль + Амортизация = "&amp;C343&amp;" + 0 = "</f>
        <v xml:space="preserve">Денежный поток от ОД на 1 шаге = Чистая прибыль + Амортизация = 0 + 0 = </v>
      </c>
      <c r="C356" s="201">
        <v>0</v>
      </c>
    </row>
    <row r="357" spans="1:3" x14ac:dyDescent="0.25">
      <c r="A357" s="212"/>
      <c r="B357" s="219" t="str">
        <f>"Денежный поток от ОД на "&amp;G58&amp;" шаге = Чистая прибыль + Амортизация = "&amp;ROUND(C344,2)&amp;" + 0 = "</f>
        <v xml:space="preserve">Денежный поток от ОД на 2 шаге = Чистая прибыль + Амортизация = -7228054,63 + 0 = </v>
      </c>
      <c r="C357" s="201">
        <f>C331+F$24</f>
        <v>-23222879.628648985</v>
      </c>
    </row>
    <row r="358" spans="1:3" x14ac:dyDescent="0.25">
      <c r="A358" s="212"/>
      <c r="B358" s="219" t="str">
        <f>"Денежный поток от ОД на "&amp;G59&amp;" шаге = Чистая прибыль + Амортизация = "&amp;ROUND(C345,2)&amp;" + 0 = "</f>
        <v xml:space="preserve">Денежный поток от ОД на 3 шаге = Чистая прибыль + Амортизация = 19849085,66 + 0 = </v>
      </c>
      <c r="C358" s="201">
        <f t="shared" ref="C358:C365" si="51">C332+F$24</f>
        <v>-7644954.6286489936</v>
      </c>
    </row>
    <row r="359" spans="1:3" x14ac:dyDescent="0.25">
      <c r="A359" s="212"/>
      <c r="B359" s="219" t="str">
        <f>"Денежный поток от ОД на "&amp;G60&amp;" шаге = Чистая прибыль + Амортизация = "&amp;ROUND(C346,2)&amp;" + 0 = "</f>
        <v xml:space="preserve">Денежный поток от ОД на 4 шаге = Чистая прибыль + Амортизация = 57736385,66 + 0 = </v>
      </c>
      <c r="C359" s="201">
        <f t="shared" si="51"/>
        <v>12950875.657080794</v>
      </c>
    </row>
    <row r="360" spans="1:3" x14ac:dyDescent="0.25">
      <c r="A360" s="212"/>
      <c r="B360" s="219" t="str">
        <f>"Денежный поток от ОД на "&amp;G61&amp;" шаге = Чистая прибыль + Амортизация = "&amp;ROUND(C347,2)&amp;" + 0 = "</f>
        <v xml:space="preserve">Денежный поток от ОД на 5 шаге = Чистая прибыль + Амортизация = 82994585,66 + 0 = </v>
      </c>
      <c r="C360" s="201">
        <f t="shared" si="51"/>
        <v>25413215.65708077</v>
      </c>
    </row>
    <row r="361" spans="1:3" x14ac:dyDescent="0.25">
      <c r="A361" s="212"/>
      <c r="B361" s="219" t="str">
        <f>"Денежный поток от ОД на "&amp;G62&amp;" шаге = Чистая прибыль + Амортизация = "&amp;ROUND(C348,2)&amp;" + 0 = "</f>
        <v xml:space="preserve">Денежный поток от ОД на 6 шаге = Чистая прибыль + Амортизация = 95623685,66 + 0 = </v>
      </c>
      <c r="C361" s="201">
        <f t="shared" si="51"/>
        <v>31644385.65708077</v>
      </c>
    </row>
    <row r="362" spans="1:3" x14ac:dyDescent="0.25">
      <c r="A362" s="212"/>
      <c r="B362" s="219" t="str">
        <f>"Денежный поток от ОД на "&amp;G63&amp;" шаге = Чистая прибыль + Амортизация = "&amp;ROUND(C349,2)&amp;" + 0 = "</f>
        <v xml:space="preserve">Денежный поток от ОД на 7 шаге = Чистая прибыль + Амортизация = 95623685,66 + 0 = </v>
      </c>
      <c r="C362" s="201">
        <f t="shared" si="51"/>
        <v>31644385.65708077</v>
      </c>
    </row>
    <row r="363" spans="1:3" x14ac:dyDescent="0.25">
      <c r="A363" s="212"/>
      <c r="B363" s="219" t="str">
        <f>"Денежный поток от ОД на "&amp;G64&amp;" шаге = Чистая прибыль + Амортизация = "&amp;ROUND(C350,2)&amp;" + 0 = "</f>
        <v xml:space="preserve">Денежный поток от ОД на 8 шаге = Чистая прибыль + Амортизация = 95623685,66 + 0 = </v>
      </c>
      <c r="C363" s="201">
        <f t="shared" si="51"/>
        <v>31644385.65708077</v>
      </c>
    </row>
    <row r="364" spans="1:3" x14ac:dyDescent="0.25">
      <c r="A364" s="212"/>
      <c r="B364" s="219" t="str">
        <f>"Денежный поток от ОД на "&amp;G65&amp;" шаге = Чистая прибыль + Амортизация = "&amp;ROUND(C351,2)&amp;" + 0 = "</f>
        <v xml:space="preserve">Денежный поток от ОД на 9 шаге = Чистая прибыль + Амортизация = 95623685,66 + 0 = </v>
      </c>
      <c r="C364" s="201">
        <f t="shared" si="51"/>
        <v>31644385.65708077</v>
      </c>
    </row>
    <row r="365" spans="1:3" x14ac:dyDescent="0.25">
      <c r="A365" s="212"/>
      <c r="B365" s="219" t="str">
        <f>"Денежный поток от ОД на "&amp;G66&amp;" шаге = Чистая прибыль + Амортизация = "&amp;ROUND(C352,2)&amp;" + 0 = "</f>
        <v xml:space="preserve">Денежный поток от ОД на 10 шаге = Чистая прибыль + Амортизация = 95623685,66 + 0 = </v>
      </c>
      <c r="C365" s="201">
        <f t="shared" si="51"/>
        <v>31644385.65708077</v>
      </c>
    </row>
    <row r="366" spans="1:3" ht="15.75" thickBot="1" x14ac:dyDescent="0.3">
      <c r="A366" s="212"/>
      <c r="B366" s="219"/>
      <c r="C366" s="212"/>
    </row>
    <row r="367" spans="1:3" ht="15.75" thickBot="1" x14ac:dyDescent="0.3">
      <c r="A367" s="212"/>
      <c r="B367" s="221" t="s">
        <v>394</v>
      </c>
      <c r="C367" s="212"/>
    </row>
    <row r="368" spans="1:3" x14ac:dyDescent="0.25">
      <c r="A368" s="212"/>
      <c r="B368" s="219" t="str">
        <f>"ДП проекта на "&amp;G56&amp;" шаге = "&amp;B$32&amp;" + "&amp;B$28&amp;" = "&amp;C342&amp;" + "&amp;D$32&amp;" ="</f>
        <v>ДП проекта на 0 шаге = денежный поток (ДП) от ИД + денежный поток от ОД = 0 + -87599403 =</v>
      </c>
      <c r="C368" s="201">
        <f>D$30</f>
        <v>-87599403</v>
      </c>
    </row>
    <row r="369" spans="1:3" x14ac:dyDescent="0.25">
      <c r="A369" s="212"/>
      <c r="B369" s="219" t="str">
        <f>"ДП проекта на "&amp;G57&amp;" шаге = "&amp;B$32&amp;" + "&amp;B$28&amp;" = "&amp;C343&amp;" + "&amp;E$32&amp;" ="</f>
        <v>ДП проекта на 1 шаге = денежный поток (ДП) от ИД + денежный поток от ОД = 0 + -6396300 =</v>
      </c>
      <c r="C369" s="201">
        <f>E$30</f>
        <v>-6396300</v>
      </c>
    </row>
    <row r="370" spans="1:3" x14ac:dyDescent="0.25">
      <c r="A370" s="212"/>
      <c r="B370" s="219" t="str">
        <f>"ДП проекта на "&amp;G58&amp;" шаге = "&amp;B$32&amp;" + "&amp;B$28&amp;" = "&amp;ROUND(C344,2)&amp;" + "&amp;F$32&amp;" ="</f>
        <v>ДП проекта на 2 шаге = денежный поток (ДП) от ИД + денежный поток от ОД = -7228054,63 + 0 =</v>
      </c>
      <c r="C370" s="201">
        <f>C344</f>
        <v>-7228054.6286489861</v>
      </c>
    </row>
    <row r="371" spans="1:3" x14ac:dyDescent="0.25">
      <c r="A371" s="212"/>
      <c r="B371" s="219" t="str">
        <f>"ДП проекта на "&amp;G59&amp;" шаге = "&amp;B$32&amp;" + "&amp;B$28&amp;" = "&amp;ROUND(C345,2)&amp;" + "&amp;F$32&amp;" ="</f>
        <v>ДП проекта на 3 шаге = денежный поток (ДП) от ИД + денежный поток от ОД = 19849085,66 + 0 =</v>
      </c>
      <c r="C371" s="201">
        <f t="shared" ref="C371:C378" si="52">C345</f>
        <v>19849085.657080807</v>
      </c>
    </row>
    <row r="372" spans="1:3" x14ac:dyDescent="0.25">
      <c r="A372" s="212"/>
      <c r="B372" s="219" t="str">
        <f>"ДП проекта на "&amp;G60&amp;" шаге = "&amp;B$32&amp;" + "&amp;B$28&amp;" = "&amp;ROUND(C346,2)&amp;" + "&amp;F$32&amp;" ="</f>
        <v>ДП проекта на 4 шаге = денежный поток (ДП) от ИД + денежный поток от ОД = 57736385,66 + 0 =</v>
      </c>
      <c r="C372" s="201">
        <f t="shared" si="52"/>
        <v>57736385.657080792</v>
      </c>
    </row>
    <row r="373" spans="1:3" x14ac:dyDescent="0.25">
      <c r="A373" s="212"/>
      <c r="B373" s="219" t="str">
        <f>"ДП проекта на "&amp;G61&amp;" шаге = "&amp;B$32&amp;" + "&amp;B$28&amp;" = "&amp;ROUND(C347,2)&amp;" + "&amp;F$32&amp;" ="</f>
        <v>ДП проекта на 5 шаге = денежный поток (ДП) от ИД + денежный поток от ОД = 82994585,66 + 0 =</v>
      </c>
      <c r="C373" s="201">
        <f t="shared" si="52"/>
        <v>82994585.65708074</v>
      </c>
    </row>
    <row r="374" spans="1:3" x14ac:dyDescent="0.25">
      <c r="A374" s="212"/>
      <c r="B374" s="219" t="str">
        <f>"ДП проекта на "&amp;G62&amp;" шаге = "&amp;B$32&amp;" + "&amp;B$28&amp;" = "&amp;ROUND(C348,2)&amp;" + "&amp;F$32&amp;" ="</f>
        <v>ДП проекта на 6 шаге = денежный поток (ДП) от ИД + денежный поток от ОД = 95623685,66 + 0 =</v>
      </c>
      <c r="C374" s="201">
        <f t="shared" si="52"/>
        <v>95623685.65708074</v>
      </c>
    </row>
    <row r="375" spans="1:3" x14ac:dyDescent="0.25">
      <c r="A375" s="212"/>
      <c r="B375" s="219" t="str">
        <f>"ДП проекта на "&amp;G63&amp;" шаге = "&amp;B$32&amp;" + "&amp;B$28&amp;" = "&amp;ROUND(C349,2)&amp;" + "&amp;F$32&amp;" ="</f>
        <v>ДП проекта на 7 шаге = денежный поток (ДП) от ИД + денежный поток от ОД = 95623685,66 + 0 =</v>
      </c>
      <c r="C375" s="201">
        <f t="shared" si="52"/>
        <v>95623685.65708074</v>
      </c>
    </row>
    <row r="376" spans="1:3" x14ac:dyDescent="0.25">
      <c r="A376" s="212"/>
      <c r="B376" s="219" t="str">
        <f>"ДП проекта на "&amp;G64&amp;" шаге = "&amp;B$32&amp;" + "&amp;B$28&amp;" = "&amp;ROUND(C350,2)&amp;" + "&amp;F$32&amp;" ="</f>
        <v>ДП проекта на 8 шаге = денежный поток (ДП) от ИД + денежный поток от ОД = 95623685,66 + 0 =</v>
      </c>
      <c r="C376" s="201">
        <f t="shared" si="52"/>
        <v>95623685.65708074</v>
      </c>
    </row>
    <row r="377" spans="1:3" x14ac:dyDescent="0.25">
      <c r="A377" s="212"/>
      <c r="B377" s="219" t="str">
        <f>"ДП проекта на "&amp;G65&amp;" шаге = "&amp;B$32&amp;" + "&amp;B$28&amp;" = "&amp;ROUND(C351,2)&amp;" + "&amp;F$32&amp;" ="</f>
        <v>ДП проекта на 9 шаге = денежный поток (ДП) от ИД + денежный поток от ОД = 95623685,66 + 0 =</v>
      </c>
      <c r="C377" s="201">
        <f t="shared" si="52"/>
        <v>95623685.65708074</v>
      </c>
    </row>
    <row r="378" spans="1:3" x14ac:dyDescent="0.25">
      <c r="A378" s="212"/>
      <c r="B378" s="219" t="str">
        <f>"ДП проекта на "&amp;G66&amp;" шаге = "&amp;B$32&amp;" + "&amp;B$28&amp;" = "&amp;ROUND(C352,2)&amp;" + "&amp;F$32&amp;" ="</f>
        <v>ДП проекта на 10 шаге = денежный поток (ДП) от ИД + денежный поток от ОД = 95623685,66 + 0 =</v>
      </c>
      <c r="C378" s="201">
        <f t="shared" si="52"/>
        <v>95623685.65708074</v>
      </c>
    </row>
    <row r="379" spans="1:3" ht="15.75" thickBot="1" x14ac:dyDescent="0.3">
      <c r="A379" s="212"/>
      <c r="B379" s="219"/>
      <c r="C379" s="212"/>
    </row>
    <row r="380" spans="1:3" ht="15.75" thickBot="1" x14ac:dyDescent="0.3">
      <c r="A380" s="212"/>
      <c r="B380" s="220" t="s">
        <v>395</v>
      </c>
      <c r="C380" s="212"/>
    </row>
    <row r="381" spans="1:3" x14ac:dyDescent="0.25">
      <c r="A381" s="212"/>
      <c r="B381" s="219" t="str">
        <f>"ДП проекта на "&amp;G56&amp;" шаге = "&amp;B$32&amp;" + "&amp;B$28&amp;" = "&amp;C355&amp;" + "&amp;D$32&amp;" ="</f>
        <v>ДП проекта на 0 шаге = денежный поток (ДП) от ИД + денежный поток от ОД = 0 + -87599403 =</v>
      </c>
      <c r="C381" s="201">
        <f>D$30</f>
        <v>-87599403</v>
      </c>
    </row>
    <row r="382" spans="1:3" x14ac:dyDescent="0.25">
      <c r="A382" s="212"/>
      <c r="B382" s="219" t="str">
        <f>"ДП проекта на "&amp;G57&amp;" шаге = "&amp;B$32&amp;" + "&amp;B$28&amp;" = "&amp;C356&amp;" + "&amp;D$32&amp;" ="</f>
        <v>ДП проекта на 1 шаге = денежный поток (ДП) от ИД + денежный поток от ОД = 0 + -87599403 =</v>
      </c>
      <c r="C382" s="201">
        <f>E$30</f>
        <v>-6396300</v>
      </c>
    </row>
    <row r="383" spans="1:3" x14ac:dyDescent="0.25">
      <c r="A383" s="212"/>
      <c r="B383" s="219" t="str">
        <f>"ДП проекта на "&amp;G58&amp;" шаге = "&amp;B$32&amp;" + "&amp;B$28&amp;" = "&amp;ROUND(C357,2)&amp;" + "&amp;D$32&amp;" ="</f>
        <v>ДП проекта на 2 шаге = денежный поток (ДП) от ИД + денежный поток от ОД = -23222879,63 + -87599403 =</v>
      </c>
      <c r="C383" s="201">
        <f>C357</f>
        <v>-23222879.628648985</v>
      </c>
    </row>
    <row r="384" spans="1:3" x14ac:dyDescent="0.25">
      <c r="A384" s="212"/>
      <c r="B384" s="219" t="str">
        <f>"ДП проекта на "&amp;G59&amp;" шаге = "&amp;B$32&amp;" + "&amp;B$28&amp;" = "&amp;ROUND(C358,2)&amp;" + "&amp;D$32&amp;" ="</f>
        <v>ДП проекта на 3 шаге = денежный поток (ДП) от ИД + денежный поток от ОД = -7644954,63 + -87599403 =</v>
      </c>
      <c r="C384" s="201">
        <f t="shared" ref="C384:C391" si="53">C358</f>
        <v>-7644954.6286489936</v>
      </c>
    </row>
    <row r="385" spans="1:3" x14ac:dyDescent="0.25">
      <c r="A385" s="212"/>
      <c r="B385" s="219" t="str">
        <f>"ДП проекта на "&amp;G60&amp;" шаге = "&amp;B$32&amp;" + "&amp;B$28&amp;" = "&amp;ROUND(C359,2)&amp;" + "&amp;D$32&amp;" ="</f>
        <v>ДП проекта на 4 шаге = денежный поток (ДП) от ИД + денежный поток от ОД = 12950875,66 + -87599403 =</v>
      </c>
      <c r="C385" s="201">
        <f t="shared" si="53"/>
        <v>12950875.657080794</v>
      </c>
    </row>
    <row r="386" spans="1:3" x14ac:dyDescent="0.25">
      <c r="A386" s="212"/>
      <c r="B386" s="219" t="str">
        <f>"ДП проекта на "&amp;G61&amp;" шаге = "&amp;B$32&amp;" + "&amp;B$28&amp;" = "&amp;ROUND(C360,2)&amp;" + "&amp;D$32&amp;" ="</f>
        <v>ДП проекта на 5 шаге = денежный поток (ДП) от ИД + денежный поток от ОД = 25413215,66 + -87599403 =</v>
      </c>
      <c r="C386" s="201">
        <f t="shared" si="53"/>
        <v>25413215.65708077</v>
      </c>
    </row>
    <row r="387" spans="1:3" x14ac:dyDescent="0.25">
      <c r="A387" s="212"/>
      <c r="B387" s="219" t="str">
        <f>"ДП проекта на "&amp;G62&amp;" шаге = "&amp;B$32&amp;" + "&amp;B$28&amp;" = "&amp;ROUND(C361,2)&amp;" + "&amp;D$32&amp;" ="</f>
        <v>ДП проекта на 6 шаге = денежный поток (ДП) от ИД + денежный поток от ОД = 31644385,66 + -87599403 =</v>
      </c>
      <c r="C387" s="201">
        <f t="shared" si="53"/>
        <v>31644385.65708077</v>
      </c>
    </row>
    <row r="388" spans="1:3" x14ac:dyDescent="0.25">
      <c r="A388" s="212"/>
      <c r="B388" s="219" t="str">
        <f>"ДП проекта на "&amp;G63&amp;" шаге = "&amp;B$32&amp;" + "&amp;B$28&amp;" = "&amp;ROUND(C362,2)&amp;" + "&amp;D$32&amp;" ="</f>
        <v>ДП проекта на 7 шаге = денежный поток (ДП) от ИД + денежный поток от ОД = 31644385,66 + -87599403 =</v>
      </c>
      <c r="C388" s="201">
        <f t="shared" si="53"/>
        <v>31644385.65708077</v>
      </c>
    </row>
    <row r="389" spans="1:3" x14ac:dyDescent="0.25">
      <c r="A389" s="212"/>
      <c r="B389" s="219" t="str">
        <f>"ДП проекта на "&amp;G64&amp;" шаге = "&amp;B$32&amp;" + "&amp;B$28&amp;" = "&amp;ROUND(C363,2)&amp;" + "&amp;D$32&amp;" ="</f>
        <v>ДП проекта на 8 шаге = денежный поток (ДП) от ИД + денежный поток от ОД = 31644385,66 + -87599403 =</v>
      </c>
      <c r="C389" s="201">
        <f t="shared" si="53"/>
        <v>31644385.65708077</v>
      </c>
    </row>
    <row r="390" spans="1:3" x14ac:dyDescent="0.25">
      <c r="A390" s="212"/>
      <c r="B390" s="219" t="str">
        <f>"ДП проекта на "&amp;G65&amp;" шаге = "&amp;B$32&amp;" + "&amp;B$28&amp;" = "&amp;ROUND(C364,2)&amp;" + "&amp;D$32&amp;" ="</f>
        <v>ДП проекта на 9 шаге = денежный поток (ДП) от ИД + денежный поток от ОД = 31644385,66 + -87599403 =</v>
      </c>
      <c r="C390" s="201">
        <f t="shared" si="53"/>
        <v>31644385.65708077</v>
      </c>
    </row>
    <row r="391" spans="1:3" x14ac:dyDescent="0.25">
      <c r="A391" s="212"/>
      <c r="B391" s="219" t="str">
        <f>"ДП проекта на "&amp;G66&amp;" шаге = "&amp;B$32&amp;" + "&amp;B$28&amp;" = "&amp;ROUND(C365,2)&amp;" + "&amp;D$32&amp;" ="</f>
        <v>ДП проекта на 10 шаге = денежный поток (ДП) от ИД + денежный поток от ОД = 31644385,66 + -87599403 =</v>
      </c>
      <c r="C391" s="201">
        <f t="shared" si="53"/>
        <v>31644385.65708077</v>
      </c>
    </row>
    <row r="392" spans="1:3" ht="15.75" thickBot="1" x14ac:dyDescent="0.3">
      <c r="A392" s="212"/>
      <c r="B392" s="206"/>
      <c r="C392" s="212"/>
    </row>
    <row r="393" spans="1:3" ht="15.75" thickBot="1" x14ac:dyDescent="0.3">
      <c r="A393" s="212"/>
      <c r="B393" s="221" t="s">
        <v>394</v>
      </c>
      <c r="C393" s="212"/>
    </row>
    <row r="394" spans="1:3" x14ac:dyDescent="0.25">
      <c r="A394" s="212"/>
      <c r="B394" s="218" t="str">
        <f>B$36&amp;" на "&amp;G56&amp;" шаге = Коэффициент дисконтирования * ДП проекта = "&amp;H56&amp;" * "&amp;ROUND(C368,2)&amp;" ="</f>
        <v>дисконтированный ДП на 0 шаге = Коэффициент дисконтирования * ДП проекта = 1 * -87599403 =</v>
      </c>
      <c r="C394" s="201">
        <f>C368*H56</f>
        <v>-87599403</v>
      </c>
    </row>
    <row r="395" spans="1:3" x14ac:dyDescent="0.25">
      <c r="A395" s="212"/>
      <c r="B395" s="218" t="str">
        <f>B$36&amp;" на "&amp;G57&amp;" шаге = Коэффициент дисконтирования * ДП проекта = "&amp;H57&amp;" * "&amp;ROUND(C369,2)&amp;" ="</f>
        <v>дисконтированный ДП на 1 шаге = Коэффициент дисконтирования * ДП проекта = 0,833 * -6396300 =</v>
      </c>
      <c r="C395" s="201">
        <f>C369*H57</f>
        <v>-5328117.8999999994</v>
      </c>
    </row>
    <row r="396" spans="1:3" x14ac:dyDescent="0.25">
      <c r="A396" s="212"/>
      <c r="B396" s="218" t="str">
        <f>B$36&amp;" на "&amp;G58&amp;" шаге = Коэффициент дисконтирования * ДП проекта = "&amp;H58&amp;" * "&amp;ROUND(C370,2)&amp;" ="</f>
        <v>дисконтированный ДП на 2 шаге = Коэффициент дисконтирования * ДП проекта = 0,694 * -7228054,63 =</v>
      </c>
      <c r="C396" s="201">
        <f>C370*H58</f>
        <v>-5016269.9122823961</v>
      </c>
    </row>
    <row r="397" spans="1:3" x14ac:dyDescent="0.25">
      <c r="A397" s="212"/>
      <c r="B397" s="218" t="str">
        <f>B$36&amp;" на "&amp;G59&amp;" шаге = Коэффициент дисконтирования * ДП проекта = "&amp;H59&amp;" * "&amp;ROUND(C371,2)&amp;" ="</f>
        <v>дисконтированный ДП на 3 шаге = Коэффициент дисконтирования * ДП проекта = 0,579 * 19849085,66 =</v>
      </c>
      <c r="C397" s="201">
        <f>C371*H59</f>
        <v>11492620.595449787</v>
      </c>
    </row>
    <row r="398" spans="1:3" x14ac:dyDescent="0.25">
      <c r="A398" s="212"/>
      <c r="B398" s="218" t="str">
        <f>B$36&amp;" на "&amp;G60&amp;" шаге = Коэффициент дисконтирования * ДП проекта = "&amp;H60&amp;" * "&amp;ROUND(C372,2)&amp;" ="</f>
        <v>дисконтированный ДП на 4 шаге = Коэффициент дисконтирования * ДП проекта = 0,482 * 57736385,66 =</v>
      </c>
      <c r="C398" s="201">
        <f>C372*H60</f>
        <v>27828937.886712942</v>
      </c>
    </row>
    <row r="399" spans="1:3" x14ac:dyDescent="0.25">
      <c r="A399" s="212"/>
      <c r="B399" s="218" t="str">
        <f>B$36&amp;" на "&amp;G61&amp;" шаге = Коэффициент дисконтирования * ДП проекта = "&amp;H61&amp;" * "&amp;ROUND(C373,2)&amp;" ="</f>
        <v>дисконтированный ДП на 5 шаге = Коэффициент дисконтирования * ДП проекта = 0,402 * 82994585,66 =</v>
      </c>
      <c r="C399" s="201">
        <f>C373*H61</f>
        <v>33363823.43414646</v>
      </c>
    </row>
    <row r="400" spans="1:3" x14ac:dyDescent="0.25">
      <c r="A400" s="212"/>
      <c r="B400" s="218" t="str">
        <f>B$36&amp;" на "&amp;G62&amp;" шаге = Коэффициент дисконтирования * ДП проекта = "&amp;H62&amp;" * "&amp;ROUND(C374,2)&amp;" ="</f>
        <v>дисконтированный ДП на 6 шаге = Коэффициент дисконтирования * ДП проекта = 0,335 * 95623685,66 =</v>
      </c>
      <c r="C400" s="201">
        <f>C374*H62</f>
        <v>32033934.695122048</v>
      </c>
    </row>
    <row r="401" spans="1:3" x14ac:dyDescent="0.25">
      <c r="A401" s="212"/>
      <c r="B401" s="218" t="str">
        <f>B$36&amp;" на "&amp;G63&amp;" шаге = Коэффициент дисконтирования * ДП проекта = "&amp;H63&amp;" * "&amp;ROUND(C375,2)&amp;" ="</f>
        <v>дисконтированный ДП на 7 шаге = Коэффициент дисконтирования * ДП проекта = 0,279 * 95623685,66 =</v>
      </c>
      <c r="C401" s="201">
        <f>C375*H63</f>
        <v>26679008.298325527</v>
      </c>
    </row>
    <row r="402" spans="1:3" x14ac:dyDescent="0.25">
      <c r="A402" s="212"/>
      <c r="B402" s="218" t="str">
        <f>B$36&amp;" на "&amp;G64&amp;" шаге = Коэффициент дисконтирования * ДП проекта = "&amp;H64&amp;" * "&amp;ROUND(C376,2)&amp;" ="</f>
        <v>дисконтированный ДП на 8 шаге = Коэффициент дисконтирования * ДП проекта = 0,233 * 95623685,66 =</v>
      </c>
      <c r="C402" s="201">
        <f>C376*H64</f>
        <v>22280318.758099813</v>
      </c>
    </row>
    <row r="403" spans="1:3" x14ac:dyDescent="0.25">
      <c r="A403" s="212"/>
      <c r="B403" s="218" t="str">
        <f>B$36&amp;" на "&amp;G65&amp;" шаге = Коэффициент дисконтирования * ДП проекта = "&amp;H65&amp;" * "&amp;ROUND(C377,2)&amp;" ="</f>
        <v>дисконтированный ДП на 9 шаге = Коэффициент дисконтирования * ДП проекта = 0,194 * 95623685,66 =</v>
      </c>
      <c r="C403" s="201">
        <f>C377*H65</f>
        <v>18550995.017473664</v>
      </c>
    </row>
    <row r="404" spans="1:3" x14ac:dyDescent="0.25">
      <c r="A404" s="212"/>
      <c r="B404" s="218" t="str">
        <f>B$36&amp;" на "&amp;G66&amp;" шаге = Коэффициент дисконтирования * ДП проекта = "&amp;H66&amp;" * "&amp;ROUND(C378,2)&amp;" ="</f>
        <v>дисконтированный ДП на 10 шаге = Коэффициент дисконтирования * ДП проекта = 0,162 * 95623685,66 =</v>
      </c>
      <c r="C404" s="201">
        <f>C378*H66</f>
        <v>15491037.076447081</v>
      </c>
    </row>
    <row r="405" spans="1:3" ht="15.75" thickBot="1" x14ac:dyDescent="0.3">
      <c r="A405" s="212"/>
      <c r="B405" s="219"/>
      <c r="C405" s="212"/>
    </row>
    <row r="406" spans="1:3" ht="15.75" thickBot="1" x14ac:dyDescent="0.3">
      <c r="A406" s="212"/>
      <c r="B406" s="220" t="s">
        <v>395</v>
      </c>
      <c r="C406" s="212"/>
    </row>
    <row r="407" spans="1:3" x14ac:dyDescent="0.25">
      <c r="A407" s="212"/>
      <c r="B407" s="218" t="str">
        <f>B$36&amp;" на "&amp;G56&amp;" шаге = Коэффициент дисконтирования * ДП проекта = "&amp;H56&amp;" * "&amp;ROUND(C381,2)&amp;" ="</f>
        <v>дисконтированный ДП на 0 шаге = Коэффициент дисконтирования * ДП проекта = 1 * -87599403 =</v>
      </c>
      <c r="C407" s="201">
        <f>C381*H56</f>
        <v>-87599403</v>
      </c>
    </row>
    <row r="408" spans="1:3" x14ac:dyDescent="0.25">
      <c r="A408" s="212"/>
      <c r="B408" s="218" t="str">
        <f>B$36&amp;" на "&amp;G57&amp;" шаге = Коэффициент дисконтирования * ДП проекта = "&amp;H57&amp;" * "&amp;ROUND(C382,2)&amp;" ="</f>
        <v>дисконтированный ДП на 1 шаге = Коэффициент дисконтирования * ДП проекта = 0,833 * -6396300 =</v>
      </c>
      <c r="C408" s="201">
        <f>C382*H57</f>
        <v>-5328117.8999999994</v>
      </c>
    </row>
    <row r="409" spans="1:3" x14ac:dyDescent="0.25">
      <c r="A409" s="212"/>
      <c r="B409" s="218" t="str">
        <f>B$36&amp;" на "&amp;G58&amp;" шаге = Коэффициент дисконтирования * ДП проекта = "&amp;H58&amp;" * "&amp;ROUND(C383,2)&amp;" ="</f>
        <v>дисконтированный ДП на 2 шаге = Коэффициент дисконтирования * ДП проекта = 0,694 * -23222879,63 =</v>
      </c>
      <c r="C409" s="201">
        <f>C383*H58</f>
        <v>-16116678.462282395</v>
      </c>
    </row>
    <row r="410" spans="1:3" x14ac:dyDescent="0.25">
      <c r="A410" s="212"/>
      <c r="B410" s="218" t="str">
        <f>B$36&amp;" на "&amp;G59&amp;" шаге = Коэффициент дисконтирования * ДП проекта = "&amp;H59&amp;" * "&amp;ROUND(C384,2)&amp;" ="</f>
        <v>дисконтированный ДП на 3 шаге = Коэффициент дисконтирования * ДП проекта = 0,579 * -7644954,63 =</v>
      </c>
      <c r="C410" s="201">
        <f>C384*H59</f>
        <v>-4426428.7299877666</v>
      </c>
    </row>
    <row r="411" spans="1:3" x14ac:dyDescent="0.25">
      <c r="A411" s="212"/>
      <c r="B411" s="218" t="str">
        <f>B$36&amp;" на "&amp;G60&amp;" шаге = Коэффициент дисконтирования * ДП проекта = "&amp;H60&amp;" * "&amp;ROUND(C385,2)&amp;" ="</f>
        <v>дисконтированный ДП на 4 шаге = Коэффициент дисконтирования * ДП проекта = 0,482 * 12950875,66 =</v>
      </c>
      <c r="C411" s="201">
        <f>C385*H60</f>
        <v>6242322.066712942</v>
      </c>
    </row>
    <row r="412" spans="1:3" x14ac:dyDescent="0.25">
      <c r="A412" s="212"/>
      <c r="B412" s="218" t="str">
        <f>B$36&amp;" на "&amp;G61&amp;" шаге = Коэффициент дисконтирования * ДП проекта = "&amp;H61&amp;" * "&amp;ROUND(C386,2)&amp;" ="</f>
        <v>дисконтированный ДП на 5 шаге = Коэффициент дисконтирования * ДП проекта = 0,402 * 25413215,66 =</v>
      </c>
      <c r="C412" s="201">
        <f>C386*H61</f>
        <v>10216112.694146469</v>
      </c>
    </row>
    <row r="413" spans="1:3" x14ac:dyDescent="0.25">
      <c r="A413" s="212"/>
      <c r="B413" s="218" t="str">
        <f>B$36&amp;" на "&amp;G62&amp;" шаге = Коэффициент дисконтирования * ДП проекта = "&amp;H62&amp;" * "&amp;ROUND(C387,2)&amp;" ="</f>
        <v>дисконтированный ДП на 6 шаге = Коэффициент дисконтирования * ДП проекта = 0,335 * 31644385,66 =</v>
      </c>
      <c r="C413" s="201">
        <f>C387*H62</f>
        <v>10600869.195122058</v>
      </c>
    </row>
    <row r="414" spans="1:3" x14ac:dyDescent="0.25">
      <c r="A414" s="212"/>
      <c r="B414" s="218" t="str">
        <f>B$36&amp;" на "&amp;G63&amp;" шаге = Коэффициент дисконтирования * ДП проекта = "&amp;H63&amp;" * "&amp;ROUND(C388,2)&amp;" ="</f>
        <v>дисконтированный ДП на 7 шаге = Коэффициент дисконтирования * ДП проекта = 0,279 * 31644385,66 =</v>
      </c>
      <c r="C414" s="201">
        <f>C388*H63</f>
        <v>8828783.5983255357</v>
      </c>
    </row>
    <row r="415" spans="1:3" x14ac:dyDescent="0.25">
      <c r="A415" s="212"/>
      <c r="B415" s="218" t="str">
        <f>B$36&amp;" на "&amp;G64&amp;" шаге = Коэффициент дисконтирования * ДП проекта = "&amp;H64&amp;" * "&amp;ROUND(C389,2)&amp;" ="</f>
        <v>дисконтированный ДП на 8 шаге = Коэффициент дисконтирования * ДП проекта = 0,233 * 31644385,66 =</v>
      </c>
      <c r="C415" s="201">
        <f>C389*H64</f>
        <v>7373141.8580998201</v>
      </c>
    </row>
    <row r="416" spans="1:3" x14ac:dyDescent="0.25">
      <c r="A416" s="212"/>
      <c r="B416" s="218" t="str">
        <f>B$36&amp;" на "&amp;G65&amp;" шаге = Коэффициент дисконтирования * ДП проекта = "&amp;H65&amp;" * "&amp;ROUND(C390,2)&amp;" ="</f>
        <v>дисконтированный ДП на 9 шаге = Коэффициент дисконтирования * ДП проекта = 0,194 * 31644385,66 =</v>
      </c>
      <c r="C416" s="201">
        <f>C390*H65</f>
        <v>6139010.8174736695</v>
      </c>
    </row>
    <row r="417" spans="1:3" x14ac:dyDescent="0.25">
      <c r="A417" s="212"/>
      <c r="B417" s="218" t="str">
        <f>B$36&amp;" на "&amp;G66&amp;" шаге = Коэффициент дисконтирования * ДП проекта = "&amp;H66&amp;" * "&amp;ROUND(C391,2)&amp;" ="</f>
        <v>дисконтированный ДП на 10 шаге = Коэффициент дисконтирования * ДП проекта = 0,162 * 31644385,66 =</v>
      </c>
      <c r="C417" s="201">
        <f>C391*H66</f>
        <v>5126390.4764470849</v>
      </c>
    </row>
    <row r="418" spans="1:3" ht="15.75" thickBot="1" x14ac:dyDescent="0.3">
      <c r="A418" s="212"/>
      <c r="B418" s="219"/>
      <c r="C418" s="212"/>
    </row>
    <row r="419" spans="1:3" ht="15.75" thickBot="1" x14ac:dyDescent="0.3">
      <c r="A419" s="212"/>
      <c r="B419" s="221" t="s">
        <v>394</v>
      </c>
      <c r="C419" s="212"/>
    </row>
    <row r="420" spans="1:3" x14ac:dyDescent="0.25">
      <c r="A420" s="212"/>
      <c r="B420" s="219" t="str">
        <f>B$37&amp;" на "&amp;G56&amp;" шаге = Дисконтрированный ДП на "&amp;G56&amp;" шаге"</f>
        <v>ДДП накопленным итогом ЧДД на 0 шаге = Дисконтрированный ДП на 0 шаге</v>
      </c>
      <c r="C420" s="201">
        <f>C394</f>
        <v>-87599403</v>
      </c>
    </row>
    <row r="421" spans="1:3" x14ac:dyDescent="0.25">
      <c r="A421" s="212"/>
      <c r="B421" s="219" t="str">
        <f>B$37&amp;" на "&amp;G57&amp;" шаге = "&amp;B$37&amp;" на "&amp;G56&amp;" шаге + Дисконтрированный ДП на "&amp;G57&amp;" шаге"</f>
        <v>ДДП накопленным итогом ЧДД на 1 шаге = ДДП накопленным итогом ЧДД на 0 шаге + Дисконтрированный ДП на 1 шаге</v>
      </c>
      <c r="C421" s="201">
        <f>C420+C395</f>
        <v>-92927520.900000006</v>
      </c>
    </row>
    <row r="422" spans="1:3" x14ac:dyDescent="0.25">
      <c r="A422" s="212"/>
      <c r="B422" s="219" t="str">
        <f>B$37&amp;" на "&amp;G58&amp;" шаге = "&amp;B$37&amp;" на "&amp;G57&amp;" шаге + Дисконтрированный ДП на "&amp;G58&amp;" шаге"</f>
        <v>ДДП накопленным итогом ЧДД на 2 шаге = ДДП накопленным итогом ЧДД на 1 шаге + Дисконтрированный ДП на 2 шаге</v>
      </c>
      <c r="C422" s="201">
        <f t="shared" ref="C422:C429" si="54">C421+C396</f>
        <v>-97943790.812282398</v>
      </c>
    </row>
    <row r="423" spans="1:3" x14ac:dyDescent="0.25">
      <c r="A423" s="212"/>
      <c r="B423" s="219" t="str">
        <f>B$37&amp;" на "&amp;G59&amp;" шаге = "&amp;B$37&amp;" на "&amp;G58&amp;" шаге + Дисконтрированный ДП на "&amp;G59&amp;" шаге"</f>
        <v>ДДП накопленным итогом ЧДД на 3 шаге = ДДП накопленным итогом ЧДД на 2 шаге + Дисконтрированный ДП на 3 шаге</v>
      </c>
      <c r="C423" s="201">
        <f t="shared" si="54"/>
        <v>-86451170.216832608</v>
      </c>
    </row>
    <row r="424" spans="1:3" x14ac:dyDescent="0.25">
      <c r="A424" s="212"/>
      <c r="B424" s="219" t="str">
        <f>B$37&amp;" на "&amp;G60&amp;" шаге = "&amp;B$37&amp;" на "&amp;G59&amp;" шаге + Дисконтрированный ДП на "&amp;G60&amp;" шаге"</f>
        <v>ДДП накопленным итогом ЧДД на 4 шаге = ДДП накопленным итогом ЧДД на 3 шаге + Дисконтрированный ДП на 4 шаге</v>
      </c>
      <c r="C424" s="201">
        <f t="shared" si="54"/>
        <v>-58622232.330119669</v>
      </c>
    </row>
    <row r="425" spans="1:3" x14ac:dyDescent="0.25">
      <c r="A425" s="212"/>
      <c r="B425" s="219" t="str">
        <f>B$37&amp;" на "&amp;G61&amp;" шаге = "&amp;B$37&amp;" на "&amp;G60&amp;" шаге + Дисконтрированный ДП на "&amp;G61&amp;" шаге"</f>
        <v>ДДП накопленным итогом ЧДД на 5 шаге = ДДП накопленным итогом ЧДД на 4 шаге + Дисконтрированный ДП на 5 шаге</v>
      </c>
      <c r="C425" s="201">
        <f t="shared" si="54"/>
        <v>-25258408.895973209</v>
      </c>
    </row>
    <row r="426" spans="1:3" x14ac:dyDescent="0.25">
      <c r="A426" s="212"/>
      <c r="B426" s="219" t="str">
        <f>B$37&amp;" на "&amp;G62&amp;" шаге = "&amp;B$37&amp;" на "&amp;G61&amp;" шаге + Дисконтрированный ДП на "&amp;G62&amp;" шаге"</f>
        <v>ДДП накопленным итогом ЧДД на 6 шаге = ДДП накопленным итогом ЧДД на 5 шаге + Дисконтрированный ДП на 6 шаге</v>
      </c>
      <c r="C426" s="201">
        <f t="shared" si="54"/>
        <v>6775525.799148839</v>
      </c>
    </row>
    <row r="427" spans="1:3" x14ac:dyDescent="0.25">
      <c r="A427" s="212"/>
      <c r="B427" s="219" t="str">
        <f>B$37&amp;" на "&amp;G63&amp;" шаге = "&amp;B$37&amp;" на "&amp;G62&amp;" шаге + Дисконтрированный ДП на "&amp;G63&amp;" шаге"</f>
        <v>ДДП накопленным итогом ЧДД на 7 шаге = ДДП накопленным итогом ЧДД на 6 шаге + Дисконтрированный ДП на 7 шаге</v>
      </c>
      <c r="C427" s="201">
        <f t="shared" si="54"/>
        <v>33454534.097474366</v>
      </c>
    </row>
    <row r="428" spans="1:3" x14ac:dyDescent="0.25">
      <c r="A428" s="212"/>
      <c r="B428" s="219" t="str">
        <f>B$37&amp;" на "&amp;G64&amp;" шаге = "&amp;B$37&amp;" на "&amp;G63&amp;" шаге + Дисконтрированный ДП на "&amp;G64&amp;" шаге"</f>
        <v>ДДП накопленным итогом ЧДД на 8 шаге = ДДП накопленным итогом ЧДД на 7 шаге + Дисконтрированный ДП на 8 шаге</v>
      </c>
      <c r="C428" s="201">
        <f t="shared" si="54"/>
        <v>55734852.855574176</v>
      </c>
    </row>
    <row r="429" spans="1:3" x14ac:dyDescent="0.25">
      <c r="A429" s="212"/>
      <c r="B429" s="219" t="str">
        <f>B$37&amp;" на "&amp;G65&amp;" шаге = "&amp;B$37&amp;" на "&amp;G64&amp;" шаге + Дисконтрированный ДП на "&amp;G65&amp;" шаге"</f>
        <v>ДДП накопленным итогом ЧДД на 9 шаге = ДДП накопленным итогом ЧДД на 8 шаге + Дисконтрированный ДП на 9 шаге</v>
      </c>
      <c r="C429" s="201">
        <f t="shared" si="54"/>
        <v>74285847.873047844</v>
      </c>
    </row>
    <row r="430" spans="1:3" x14ac:dyDescent="0.25">
      <c r="A430" s="212"/>
      <c r="B430" s="219" t="str">
        <f>B$37&amp;" на "&amp;G66&amp;" шаге = "&amp;B$37&amp;" на "&amp;G65&amp;" шаге + Дисконтрированный ДП на "&amp;G66&amp;" шаге"</f>
        <v>ДДП накопленным итогом ЧДД на 10 шаге = ДДП накопленным итогом ЧДД на 9 шаге + Дисконтрированный ДП на 10 шаге</v>
      </c>
      <c r="C430" s="201">
        <f>C429+C404</f>
        <v>89776884.949494928</v>
      </c>
    </row>
    <row r="431" spans="1:3" ht="15.75" thickBot="1" x14ac:dyDescent="0.3">
      <c r="A431" s="212"/>
      <c r="B431" s="219"/>
      <c r="C431" s="212"/>
    </row>
    <row r="432" spans="1:3" ht="15.75" thickBot="1" x14ac:dyDescent="0.3">
      <c r="A432" s="212"/>
      <c r="B432" s="220" t="s">
        <v>395</v>
      </c>
      <c r="C432" s="212"/>
    </row>
    <row r="433" spans="1:3" x14ac:dyDescent="0.25">
      <c r="A433" s="212"/>
      <c r="B433" s="219" t="str">
        <f>B$37&amp;" на "&amp;G56&amp;" шаге = Дисконтрированный ДП на "&amp;G56&amp;" шаге"</f>
        <v>ДДП накопленным итогом ЧДД на 0 шаге = Дисконтрированный ДП на 0 шаге</v>
      </c>
      <c r="C433" s="201">
        <f>C407</f>
        <v>-87599403</v>
      </c>
    </row>
    <row r="434" spans="1:3" x14ac:dyDescent="0.25">
      <c r="A434" s="212"/>
      <c r="B434" s="219" t="str">
        <f>B$37&amp;" на "&amp;G57&amp;" шаге = "&amp;B$37&amp;" на "&amp;G56&amp;" шаге + Дисконтрированный ДП на "&amp;G57&amp;" шаге"</f>
        <v>ДДП накопленным итогом ЧДД на 1 шаге = ДДП накопленным итогом ЧДД на 0 шаге + Дисконтрированный ДП на 1 шаге</v>
      </c>
      <c r="C434" s="201">
        <f>C433+C408</f>
        <v>-92927520.900000006</v>
      </c>
    </row>
    <row r="435" spans="1:3" x14ac:dyDescent="0.25">
      <c r="A435" s="212"/>
      <c r="B435" s="219" t="str">
        <f>B$37&amp;" на "&amp;G58&amp;" шаге = "&amp;B$37&amp;" на "&amp;G57&amp;" шаге + Дисконтрированный ДП на "&amp;G58&amp;" шаге"</f>
        <v>ДДП накопленным итогом ЧДД на 2 шаге = ДДП накопленным итогом ЧДД на 1 шаге + Дисконтрированный ДП на 2 шаге</v>
      </c>
      <c r="C435" s="201">
        <f t="shared" ref="C435:C442" si="55">C434+C409</f>
        <v>-109044199.3622824</v>
      </c>
    </row>
    <row r="436" spans="1:3" x14ac:dyDescent="0.25">
      <c r="A436" s="212"/>
      <c r="B436" s="219" t="str">
        <f>B$37&amp;" на "&amp;G59&amp;" шаге = "&amp;B$37&amp;" на "&amp;G58&amp;" шаге + Дисконтрированный ДП на "&amp;G59&amp;" шаге"</f>
        <v>ДДП накопленным итогом ЧДД на 3 шаге = ДДП накопленным итогом ЧДД на 2 шаге + Дисконтрированный ДП на 3 шаге</v>
      </c>
      <c r="C436" s="201">
        <f t="shared" si="55"/>
        <v>-113470628.09227017</v>
      </c>
    </row>
    <row r="437" spans="1:3" x14ac:dyDescent="0.25">
      <c r="A437" s="212"/>
      <c r="B437" s="219" t="str">
        <f>B$37&amp;" на "&amp;G60&amp;" шаге = "&amp;B$37&amp;" на "&amp;G59&amp;" шаге + Дисконтрированный ДП на "&amp;G60&amp;" шаге"</f>
        <v>ДДП накопленным итогом ЧДД на 4 шаге = ДДП накопленным итогом ЧДД на 3 шаге + Дисконтрированный ДП на 4 шаге</v>
      </c>
      <c r="C437" s="201">
        <f t="shared" si="55"/>
        <v>-107228306.02555722</v>
      </c>
    </row>
    <row r="438" spans="1:3" x14ac:dyDescent="0.25">
      <c r="A438" s="212"/>
      <c r="B438" s="219" t="str">
        <f>B$37&amp;" на "&amp;G61&amp;" шаге = "&amp;B$37&amp;" на "&amp;G60&amp;" шаге + Дисконтрированный ДП на "&amp;G61&amp;" шаге"</f>
        <v>ДДП накопленным итогом ЧДД на 5 шаге = ДДП накопленным итогом ЧДД на 4 шаге + Дисконтрированный ДП на 5 шаге</v>
      </c>
      <c r="C438" s="201">
        <f t="shared" si="55"/>
        <v>-97012193.331410751</v>
      </c>
    </row>
    <row r="439" spans="1:3" x14ac:dyDescent="0.25">
      <c r="A439" s="212"/>
      <c r="B439" s="219" t="str">
        <f>B$37&amp;" на "&amp;G62&amp;" шаге = "&amp;B$37&amp;" на "&amp;G61&amp;" шаге + Дисконтрированный ДП на "&amp;G62&amp;" шаге"</f>
        <v>ДДП накопленным итогом ЧДД на 6 шаге = ДДП накопленным итогом ЧДД на 5 шаге + Дисконтрированный ДП на 6 шаге</v>
      </c>
      <c r="C439" s="201">
        <f t="shared" si="55"/>
        <v>-86411324.136288688</v>
      </c>
    </row>
    <row r="440" spans="1:3" x14ac:dyDescent="0.25">
      <c r="A440" s="212"/>
      <c r="B440" s="219" t="str">
        <f>B$37&amp;" на "&amp;G63&amp;" шаге = "&amp;B$37&amp;" на "&amp;G62&amp;" шаге + Дисконтрированный ДП на "&amp;G63&amp;" шаге"</f>
        <v>ДДП накопленным итогом ЧДД на 7 шаге = ДДП накопленным итогом ЧДД на 6 шаге + Дисконтрированный ДП на 7 шаге</v>
      </c>
      <c r="C440" s="201">
        <f t="shared" si="55"/>
        <v>-77582540.537963152</v>
      </c>
    </row>
    <row r="441" spans="1:3" x14ac:dyDescent="0.25">
      <c r="A441" s="212"/>
      <c r="B441" s="219" t="str">
        <f>B$37&amp;" на "&amp;G64&amp;" шаге = "&amp;B$37&amp;" на "&amp;G63&amp;" шаге + Дисконтрированный ДП на "&amp;G64&amp;" шаге"</f>
        <v>ДДП накопленным итогом ЧДД на 8 шаге = ДДП накопленным итогом ЧДД на 7 шаге + Дисконтрированный ДП на 8 шаге</v>
      </c>
      <c r="C441" s="201">
        <f t="shared" si="55"/>
        <v>-70209398.679863334</v>
      </c>
    </row>
    <row r="442" spans="1:3" x14ac:dyDescent="0.25">
      <c r="A442" s="212"/>
      <c r="B442" s="219" t="str">
        <f>B$37&amp;" на "&amp;G65&amp;" шаге = "&amp;B$37&amp;" на "&amp;G64&amp;" шаге + Дисконтрированный ДП на "&amp;G65&amp;" шаге"</f>
        <v>ДДП накопленным итогом ЧДД на 9 шаге = ДДП накопленным итогом ЧДД на 8 шаге + Дисконтрированный ДП на 9 шаге</v>
      </c>
      <c r="C442" s="201">
        <f t="shared" si="55"/>
        <v>-64070387.862389661</v>
      </c>
    </row>
    <row r="443" spans="1:3" x14ac:dyDescent="0.25">
      <c r="A443" s="212"/>
      <c r="B443" s="219" t="str">
        <f>B$37&amp;" на "&amp;G66&amp;" шаге = "&amp;B$37&amp;" на "&amp;G65&amp;" шаге + Дисконтрированный ДП на "&amp;G66&amp;" шаге"</f>
        <v>ДДП накопленным итогом ЧДД на 10 шаге = ДДП накопленным итогом ЧДД на 9 шаге + Дисконтрированный ДП на 10 шаге</v>
      </c>
      <c r="C443" s="201">
        <f>C442+C417</f>
        <v>-58943997.385942578</v>
      </c>
    </row>
    <row r="444" spans="1:3" ht="15.75" thickBot="1" x14ac:dyDescent="0.3">
      <c r="A444" s="212"/>
      <c r="B444" s="219"/>
      <c r="C444" s="212"/>
    </row>
    <row r="445" spans="1:3" ht="15.75" thickBot="1" x14ac:dyDescent="0.3">
      <c r="A445" s="212"/>
      <c r="B445" s="221" t="s">
        <v>394</v>
      </c>
      <c r="C445" s="212"/>
    </row>
    <row r="446" spans="1:3" x14ac:dyDescent="0.25">
      <c r="A446" s="212"/>
      <c r="B446" s="218" t="str">
        <f>B$39&amp;" на "&amp;G56&amp;" шаге = "&amp;B$38&amp;" * Коэффициент дисконтрирования = "&amp;C82&amp;" * "&amp;H56&amp;" ="</f>
        <v>Дисконтрированные притоки на 0 шаге = Притоки * Коэффициент дисконтрирования = 0 * 1 =</v>
      </c>
      <c r="C446" s="212">
        <f>C82*H56</f>
        <v>0</v>
      </c>
    </row>
    <row r="447" spans="1:3" x14ac:dyDescent="0.25">
      <c r="A447" s="212"/>
      <c r="B447" s="218" t="str">
        <f>B$39&amp;" на "&amp;G57&amp;" шаге = "&amp;B$38&amp;" * Коэффициент дисконтрирования = "&amp;C83&amp;" * "&amp;H57&amp;" ="</f>
        <v>Дисконтрированные притоки на 1 шаге = Притоки * Коэффициент дисконтрирования = 0 * 0,833 =</v>
      </c>
      <c r="C447" s="212">
        <f>C83*H57</f>
        <v>0</v>
      </c>
    </row>
    <row r="448" spans="1:3" x14ac:dyDescent="0.25">
      <c r="A448" s="212"/>
      <c r="B448" s="218" t="str">
        <f>B$39&amp;" на "&amp;G58&amp;" шаге = "&amp;B$38&amp;" * Коэффициент дисконтрирования = "&amp;C84&amp;" * "&amp;H58&amp;" ="</f>
        <v>Дисконтрированные притоки на 2 шаге = Притоки * Коэффициент дисконтрирования = 65807280 * 0,694 =</v>
      </c>
      <c r="C448" s="212">
        <f>C84*H58</f>
        <v>45670252.319999993</v>
      </c>
    </row>
    <row r="449" spans="1:3" x14ac:dyDescent="0.25">
      <c r="A449" s="212"/>
      <c r="B449" s="218" t="str">
        <f>B$39&amp;" на "&amp;G59&amp;" шаге = "&amp;B$38&amp;" * Коэффициент дисконтрирования = "&amp;C85&amp;" * "&amp;H59&amp;" ="</f>
        <v>Дисконтрированные притоки на 3 шаге = Притоки * Коэффициент дисконтрирования = 131614560 * 0,579 =</v>
      </c>
      <c r="C449" s="212">
        <f>C85*H59</f>
        <v>76204830.23999998</v>
      </c>
    </row>
    <row r="450" spans="1:3" x14ac:dyDescent="0.25">
      <c r="A450" s="212"/>
      <c r="B450" s="218" t="str">
        <f>B$39&amp;" на "&amp;G60&amp;" шаге = "&amp;B$38&amp;" * Коэффициент дисконтрирования = "&amp;C86&amp;" * "&amp;H60&amp;" ="</f>
        <v>Дисконтрированные притоки на 4 шаге = Притоки * Коэффициент дисконтрирования = 230325480 * 0,482 =</v>
      </c>
      <c r="C450" s="212">
        <f>C86*H60</f>
        <v>111016881.35999998</v>
      </c>
    </row>
    <row r="451" spans="1:3" x14ac:dyDescent="0.25">
      <c r="A451" s="212"/>
      <c r="B451" s="218" t="str">
        <f>B$39&amp;" на "&amp;G61&amp;" шаге = "&amp;B$38&amp;" * Коэффициент дисконтрирования = "&amp;C87&amp;" * "&amp;H61&amp;" ="</f>
        <v>Дисконтрированные притоки на 5 шаге = Притоки * Коэффициент дисконтрирования = 296132760 * 0,402 =</v>
      </c>
      <c r="C451" s="212">
        <f>C87*H61</f>
        <v>119045369.51999998</v>
      </c>
    </row>
    <row r="452" spans="1:3" x14ac:dyDescent="0.25">
      <c r="A452" s="212"/>
      <c r="B452" s="218" t="str">
        <f>B$39&amp;" на "&amp;G62&amp;" шаге = "&amp;B$38&amp;" * Коэффициент дисконтрирования = "&amp;C88&amp;" * "&amp;H62&amp;" ="</f>
        <v>Дисконтрированные притоки на 6 шаге = Притоки * Коэффициент дисконтрирования = 329036400 * 0,335 =</v>
      </c>
      <c r="C452" s="212">
        <f>C88*H62</f>
        <v>110227193.99999999</v>
      </c>
    </row>
    <row r="453" spans="1:3" x14ac:dyDescent="0.25">
      <c r="A453" s="212"/>
      <c r="B453" s="218" t="str">
        <f>B$39&amp;" на "&amp;G63&amp;" шаге = "&amp;B$38&amp;" * Коэффициент дисконтрирования = "&amp;C89&amp;" * "&amp;H63&amp;" ="</f>
        <v>Дисконтрированные притоки на 7 шаге = Притоки * Коэффициент дисконтрирования = 329036400 * 0,279 =</v>
      </c>
      <c r="C453" s="212">
        <f>C89*H63</f>
        <v>91801155.599999994</v>
      </c>
    </row>
    <row r="454" spans="1:3" x14ac:dyDescent="0.25">
      <c r="A454" s="212"/>
      <c r="B454" s="218" t="str">
        <f>B$39&amp;" на "&amp;G64&amp;" шаге = "&amp;B$38&amp;" * Коэффициент дисконтрирования = "&amp;C90&amp;" * "&amp;H64&amp;" ="</f>
        <v>Дисконтрированные притоки на 8 шаге = Притоки * Коэффициент дисконтрирования = 329036400 * 0,233 =</v>
      </c>
      <c r="C454" s="212">
        <f>C90*H64</f>
        <v>76665481.199999988</v>
      </c>
    </row>
    <row r="455" spans="1:3" x14ac:dyDescent="0.25">
      <c r="A455" s="212"/>
      <c r="B455" s="218" t="str">
        <f>B$39&amp;" на "&amp;G65&amp;" шаге = "&amp;B$38&amp;" * Коэффициент дисконтрирования = "&amp;C91&amp;" * "&amp;H65&amp;" ="</f>
        <v>Дисконтрированные притоки на 9 шаге = Притоки * Коэффициент дисконтрирования = 329036400 * 0,194 =</v>
      </c>
      <c r="C455" s="212">
        <f>C91*H65</f>
        <v>63833061.599999994</v>
      </c>
    </row>
    <row r="456" spans="1:3" x14ac:dyDescent="0.25">
      <c r="A456" s="212"/>
      <c r="B456" s="218" t="str">
        <f>B$39&amp;" на "&amp;G66&amp;" шаге = "&amp;B$38&amp;" * Коэффициент дисконтрирования = "&amp;C92&amp;" * "&amp;H66&amp;" ="</f>
        <v>Дисконтрированные притоки на 10 шаге = Притоки * Коэффициент дисконтрирования = 329036400 * 0,162 =</v>
      </c>
      <c r="C456" s="212">
        <f>C92*H66</f>
        <v>53303896.79999999</v>
      </c>
    </row>
    <row r="457" spans="1:3" ht="15.75" thickBot="1" x14ac:dyDescent="0.3">
      <c r="A457" s="212"/>
      <c r="B457" s="218" t="s">
        <v>436</v>
      </c>
      <c r="C457" s="212">
        <f>SUM(C446:C456)</f>
        <v>747768122.63999999</v>
      </c>
    </row>
    <row r="458" spans="1:3" ht="15.75" thickBot="1" x14ac:dyDescent="0.3">
      <c r="A458" s="212"/>
      <c r="B458" s="220" t="s">
        <v>395</v>
      </c>
      <c r="C458" s="212"/>
    </row>
    <row r="459" spans="1:3" x14ac:dyDescent="0.25">
      <c r="A459" s="212"/>
      <c r="B459" s="218" t="str">
        <f>B$39&amp;" на "&amp;G56&amp;" шаге = "&amp;B$38&amp;" * Коэффициент дисконтрирования = "&amp;C95&amp;" * "&amp;H56&amp;" ="</f>
        <v>Дисконтрированные притоки на 0 шаге = Притоки * Коэффициент дисконтрирования = 0 * 1 =</v>
      </c>
      <c r="C459" s="212">
        <f>C95*H56</f>
        <v>0</v>
      </c>
    </row>
    <row r="460" spans="1:3" x14ac:dyDescent="0.25">
      <c r="A460" s="212"/>
      <c r="B460" s="218" t="str">
        <f>B$39&amp;" на "&amp;G57&amp;" шаге = "&amp;B$38&amp;" * Коэффициент дисконтрирования = "&amp;C96&amp;" * "&amp;H57&amp;" ="</f>
        <v>Дисконтрированные притоки на 1 шаге = Притоки * Коэффициент дисконтрирования = 0 * 0,833 =</v>
      </c>
      <c r="C460" s="212">
        <f>C96*H57</f>
        <v>0</v>
      </c>
    </row>
    <row r="461" spans="1:3" x14ac:dyDescent="0.25">
      <c r="A461" s="212"/>
      <c r="B461" s="218" t="str">
        <f>B$39&amp;" на "&amp;G58&amp;" шаге = "&amp;B$38&amp;" * Коэффициент дисконтрирования = "&amp;C97&amp;" * "&amp;H58&amp;" ="</f>
        <v>Дисконтрированные притоки на 2 шаге = Притоки * Коэффициент дисконтрирования = 46613490 * 0,694 =</v>
      </c>
      <c r="C461" s="212">
        <f>C97*H58</f>
        <v>32349762.059999991</v>
      </c>
    </row>
    <row r="462" spans="1:3" x14ac:dyDescent="0.25">
      <c r="A462" s="212"/>
      <c r="B462" s="218" t="str">
        <f>B$39&amp;" на "&amp;G59&amp;" шаге = "&amp;B$38&amp;" * Коэффициент дисконтрирования = "&amp;C98&amp;" * "&amp;H59&amp;" ="</f>
        <v>Дисконтрированные притоки на 3 шаге = Притоки * Коэффициент дисконтрирования = 93226980 * 0,579 =</v>
      </c>
      <c r="C462" s="212">
        <f>C98*H59</f>
        <v>53978421.419999987</v>
      </c>
    </row>
    <row r="463" spans="1:3" x14ac:dyDescent="0.25">
      <c r="A463" s="212"/>
      <c r="B463" s="218" t="str">
        <f>B$39&amp;" на "&amp;G60&amp;" шаге = "&amp;B$38&amp;" * Коэффициент дисконтрирования = "&amp;C99&amp;" * "&amp;H60&amp;" ="</f>
        <v>Дисконтрированные притоки на 4 шаге = Притоки * Коэффициент дисконтрирования = 163147215 * 0,482 =</v>
      </c>
      <c r="C463" s="212">
        <f>C99*H60</f>
        <v>78636957.62999998</v>
      </c>
    </row>
    <row r="464" spans="1:3" x14ac:dyDescent="0.25">
      <c r="A464" s="212"/>
      <c r="B464" s="218" t="str">
        <f>B$39&amp;" на "&amp;G61&amp;" шаге = "&amp;B$38&amp;" * Коэффициент дисконтрирования = "&amp;C100&amp;" * "&amp;H61&amp;" ="</f>
        <v>Дисконтрированные притоки на 5 шаге = Притоки * Коэффициент дисконтрирования = 209760705 * 0,402 =</v>
      </c>
      <c r="C464" s="212">
        <f>C100*H61</f>
        <v>84323803.409999996</v>
      </c>
    </row>
    <row r="465" spans="1:3" x14ac:dyDescent="0.25">
      <c r="A465" s="212"/>
      <c r="B465" s="218" t="str">
        <f>B$39&amp;" на "&amp;G62&amp;" шаге = "&amp;B$38&amp;" * Коэффициент дисконтрирования = "&amp;C101&amp;" * "&amp;H62&amp;" ="</f>
        <v>Дисконтрированные притоки на 6 шаге = Притоки * Коэффициент дисконтрирования = 233067450 * 0,335 =</v>
      </c>
      <c r="C465" s="212">
        <f>C101*H62</f>
        <v>78077595.75</v>
      </c>
    </row>
    <row r="466" spans="1:3" x14ac:dyDescent="0.25">
      <c r="A466" s="212"/>
      <c r="B466" s="218" t="str">
        <f>B$39&amp;" на "&amp;G63&amp;" шаге = "&amp;B$38&amp;" * Коэффициент дисконтрирования = "&amp;C102&amp;" * "&amp;H63&amp;" ="</f>
        <v>Дисконтрированные притоки на 7 шаге = Притоки * Коэффициент дисконтрирования = 233067450 * 0,279 =</v>
      </c>
      <c r="C466" s="212">
        <f>C102*H63</f>
        <v>65025818.549999997</v>
      </c>
    </row>
    <row r="467" spans="1:3" x14ac:dyDescent="0.25">
      <c r="A467" s="212"/>
      <c r="B467" s="218" t="str">
        <f>B$39&amp;" на "&amp;G64&amp;" шаге = "&amp;B$38&amp;" * Коэффициент дисконтрирования = "&amp;C103&amp;" * "&amp;H64&amp;" ="</f>
        <v>Дисконтрированные притоки на 8 шаге = Притоки * Коэффициент дисконтрирования = 233067450 * 0,233 =</v>
      </c>
      <c r="C467" s="212">
        <f>C103*H64</f>
        <v>54304715.849999994</v>
      </c>
    </row>
    <row r="468" spans="1:3" x14ac:dyDescent="0.25">
      <c r="A468" s="212"/>
      <c r="B468" s="218" t="str">
        <f>B$39&amp;" на "&amp;G65&amp;" шаге = "&amp;B$38&amp;" * Коэффициент дисконтрирования = "&amp;C104&amp;" * "&amp;H65&amp;" ="</f>
        <v>Дисконтрированные притоки на 9 шаге = Притоки * Коэффициент дисконтрирования = 233067450 * 0,194 =</v>
      </c>
      <c r="C468" s="212">
        <f>C104*H65</f>
        <v>45215085.299999997</v>
      </c>
    </row>
    <row r="469" spans="1:3" x14ac:dyDescent="0.25">
      <c r="A469" s="212"/>
      <c r="B469" s="218" t="str">
        <f>B$39&amp;" на "&amp;G66&amp;" шаге = "&amp;B$38&amp;" * Коэффициент дисконтрирования = "&amp;C105&amp;" * "&amp;H66&amp;" ="</f>
        <v>Дисконтрированные притоки на 10 шаге = Притоки * Коэффициент дисконтрирования = 233067450 * 0,162 =</v>
      </c>
      <c r="C469" s="212">
        <f>C105*H66</f>
        <v>37756926.899999999</v>
      </c>
    </row>
    <row r="470" spans="1:3" ht="15.75" thickBot="1" x14ac:dyDescent="0.3">
      <c r="A470" s="212"/>
      <c r="B470" s="218" t="s">
        <v>436</v>
      </c>
      <c r="C470" s="212">
        <f>SUM(C459:C469)</f>
        <v>529669086.86999995</v>
      </c>
    </row>
    <row r="471" spans="1:3" ht="15.75" thickBot="1" x14ac:dyDescent="0.3">
      <c r="A471" s="212"/>
      <c r="B471" s="221" t="s">
        <v>394</v>
      </c>
      <c r="C471" s="212"/>
    </row>
    <row r="472" spans="1:3" x14ac:dyDescent="0.25">
      <c r="A472" s="212"/>
      <c r="B472" s="219" t="str">
        <f>B$41&amp;" на "&amp;G56&amp;"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72" s="201">
        <f>C238-D$23-C290-D$30</f>
        <v>87599403</v>
      </c>
    </row>
    <row r="473" spans="1:3" x14ac:dyDescent="0.25">
      <c r="A473" s="212"/>
      <c r="B473" s="219" t="str">
        <f>B$41&amp;" на "&amp;G57&amp;"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73" s="201">
        <f>C239-E$23-C291-E$30</f>
        <v>6396300</v>
      </c>
    </row>
    <row r="474" spans="1:3" x14ac:dyDescent="0.25">
      <c r="A474" s="212"/>
      <c r="B474" s="219" t="str">
        <f>B$41&amp;" на "&amp;G58&amp;"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74" s="201">
        <f>C240-F$23-C292-F$30</f>
        <v>-15534154.628648981</v>
      </c>
    </row>
    <row r="475" spans="1:3" x14ac:dyDescent="0.25">
      <c r="A475" s="212"/>
      <c r="B475" s="219" t="str">
        <f>B$41&amp;" на "&amp;G59&amp;"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75" s="201">
        <f t="shared" ref="C475:C482" si="56">C241-F$23-C293-F$30</f>
        <v>3236885.657080817</v>
      </c>
    </row>
    <row r="476" spans="1:3" x14ac:dyDescent="0.25">
      <c r="A476" s="212"/>
      <c r="B476" s="219" t="str">
        <f>B$41&amp;" на "&amp;G60&amp;"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76" s="201">
        <f t="shared" si="56"/>
        <v>28665035.657080822</v>
      </c>
    </row>
    <row r="477" spans="1:3" x14ac:dyDescent="0.25">
      <c r="A477" s="212"/>
      <c r="B477" s="219" t="str">
        <f>B$41&amp;" на "&amp;G61&amp;"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77" s="201">
        <f t="shared" si="56"/>
        <v>45617135.657080829</v>
      </c>
    </row>
    <row r="478" spans="1:3" x14ac:dyDescent="0.25">
      <c r="A478" s="212"/>
      <c r="B478" s="219" t="str">
        <f>B$41&amp;" на "&amp;G62&amp;"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78" s="201">
        <f t="shared" si="56"/>
        <v>54093185.657080829</v>
      </c>
    </row>
    <row r="479" spans="1:3" x14ac:dyDescent="0.25">
      <c r="A479" s="212"/>
      <c r="B479" s="219" t="str">
        <f>B$41&amp;" на "&amp;G63&amp;"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79" s="201">
        <f t="shared" si="56"/>
        <v>54093185.657080829</v>
      </c>
    </row>
    <row r="480" spans="1:3" x14ac:dyDescent="0.25">
      <c r="A480" s="212"/>
      <c r="B480" s="219" t="str">
        <f>B$41&amp;" на "&amp;G64&amp;"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80" s="201">
        <f t="shared" si="56"/>
        <v>54093185.657080829</v>
      </c>
    </row>
    <row r="481" spans="1:3" x14ac:dyDescent="0.25">
      <c r="A481" s="212"/>
      <c r="B481" s="219" t="str">
        <f>B$41&amp;" на "&amp;G65&amp;"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81" s="201">
        <f t="shared" si="56"/>
        <v>54093185.657080829</v>
      </c>
    </row>
    <row r="482" spans="1:3" x14ac:dyDescent="0.25">
      <c r="A482" s="212"/>
      <c r="B482" s="219" t="str">
        <f>B$41&amp;" на "&amp;G66&amp;"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82" s="201">
        <f t="shared" si="56"/>
        <v>54093185.657080829</v>
      </c>
    </row>
    <row r="483" spans="1:3" ht="15.75" thickBot="1" x14ac:dyDescent="0.3">
      <c r="A483" s="212"/>
      <c r="B483" s="219"/>
      <c r="C483" s="212"/>
    </row>
    <row r="484" spans="1:3" ht="15.75" thickBot="1" x14ac:dyDescent="0.3">
      <c r="A484" s="212"/>
      <c r="B484" s="220" t="s">
        <v>395</v>
      </c>
      <c r="C484" s="212"/>
    </row>
    <row r="485" spans="1:3" x14ac:dyDescent="0.25">
      <c r="A485" s="212"/>
      <c r="B485" s="219" t="str">
        <f>B$41&amp;" на "&amp;G56&amp;" шаге = "&amp;B$17&amp;" - "&amp;B$23&amp;" - "&amp;B$26&amp;" - "&amp;B$30&amp;" ="</f>
        <v>Оттоки на 0 шаге = Итого переменных издержек - итого постоянных издержек - налог на прибыль - инвестиции =</v>
      </c>
      <c r="C485" s="201">
        <f>C251-D$23-C303-D$30</f>
        <v>87599403</v>
      </c>
    </row>
    <row r="486" spans="1:3" x14ac:dyDescent="0.25">
      <c r="A486" s="212"/>
      <c r="B486" s="219" t="str">
        <f>B$41&amp;" на "&amp;G57&amp;" шаге = "&amp;B$17&amp;" - "&amp;B$23&amp;" - "&amp;B$26&amp;" - "&amp;B$30&amp;" ="</f>
        <v>Оттоки на 1 шаге = Итого переменных издержек - итого постоянных издержек - налог на прибыль - инвестиции =</v>
      </c>
      <c r="C486" s="201">
        <f>C252-E$23-C304-E$30</f>
        <v>6396300</v>
      </c>
    </row>
    <row r="487" spans="1:3" x14ac:dyDescent="0.25">
      <c r="A487" s="212"/>
      <c r="B487" s="219" t="str">
        <f>B$41&amp;" на "&amp;G58&amp;" шаге = "&amp;B$17&amp;" - "&amp;B$23&amp;" - "&amp;B$26&amp;" - "&amp;B$30&amp;" ="</f>
        <v>Оттоки на 2 шаге = Итого переменных издержек - итого постоянных издержек - налог на прибыль - инвестиции =</v>
      </c>
      <c r="C487" s="201">
        <f>C253-F$23-C305-F$30</f>
        <v>-15534154.628648981</v>
      </c>
    </row>
    <row r="488" spans="1:3" x14ac:dyDescent="0.25">
      <c r="A488" s="212"/>
      <c r="B488" s="219" t="str">
        <f>B$41&amp;" на "&amp;G59&amp;" шаге = "&amp;B$17&amp;" - "&amp;B$23&amp;" - "&amp;B$26&amp;" - "&amp;B$30&amp;" ="</f>
        <v>Оттоки на 3 шаге = Итого переменных издержек - итого постоянных издержек - налог на прибыль - инвестиции =</v>
      </c>
      <c r="C488" s="201">
        <f t="shared" ref="C488:C495" si="57">C254-F$23-C306-F$30</f>
        <v>7732495.3713510185</v>
      </c>
    </row>
    <row r="489" spans="1:3" x14ac:dyDescent="0.25">
      <c r="A489" s="212"/>
      <c r="B489" s="219" t="str">
        <f>B$41&amp;" на "&amp;G60&amp;" шаге = "&amp;B$17&amp;" - "&amp;B$23&amp;" - "&amp;B$26&amp;" - "&amp;B$30&amp;" ="</f>
        <v>Оттоки на 4 шаге = Итого переменных издержек - итого постоянных издержек - налог на прибыль - инвестиции =</v>
      </c>
      <c r="C489" s="201">
        <f t="shared" si="57"/>
        <v>39861413.157080822</v>
      </c>
    </row>
    <row r="490" spans="1:3" x14ac:dyDescent="0.25">
      <c r="A490" s="212"/>
      <c r="B490" s="219" t="str">
        <f>B$41&amp;" на "&amp;G61&amp;" шаге = "&amp;B$17&amp;" - "&amp;B$23&amp;" - "&amp;B$26&amp;" - "&amp;B$30&amp;" ="</f>
        <v>Оттоки на 5 шаге = Итого переменных издержек - итого постоянных издержек - налог на прибыль - инвестиции =</v>
      </c>
      <c r="C490" s="201">
        <f t="shared" si="57"/>
        <v>60012478.157080829</v>
      </c>
    </row>
    <row r="491" spans="1:3" x14ac:dyDescent="0.25">
      <c r="A491" s="212"/>
      <c r="B491" s="219" t="str">
        <f>B$41&amp;" на "&amp;G62&amp;" шаге = "&amp;B$17&amp;" - "&amp;B$23&amp;" - "&amp;B$26&amp;" - "&amp;B$30&amp;" ="</f>
        <v>Оттоки на 6 шаге = Итого переменных издержек - итого постоянных издержек - налог на прибыль - инвестиции =</v>
      </c>
      <c r="C491" s="201">
        <f t="shared" si="57"/>
        <v>70088010.657080829</v>
      </c>
    </row>
    <row r="492" spans="1:3" x14ac:dyDescent="0.25">
      <c r="A492" s="212"/>
      <c r="B492" s="219" t="str">
        <f>B$41&amp;" на "&amp;G63&amp;" шаге = "&amp;B$17&amp;" - "&amp;B$23&amp;" - "&amp;B$26&amp;" - "&amp;B$30&amp;" ="</f>
        <v>Оттоки на 7 шаге = Итого переменных издержек - итого постоянных издержек - налог на прибыль - инвестиции =</v>
      </c>
      <c r="C492" s="201">
        <f t="shared" si="57"/>
        <v>70088010.657080829</v>
      </c>
    </row>
    <row r="493" spans="1:3" x14ac:dyDescent="0.25">
      <c r="A493" s="212"/>
      <c r="B493" s="219" t="str">
        <f>B$41&amp;" на "&amp;G64&amp;" шаге = "&amp;B$17&amp;" - "&amp;B$23&amp;" - "&amp;B$26&amp;" - "&amp;B$30&amp;" ="</f>
        <v>Оттоки на 8 шаге = Итого переменных издержек - итого постоянных издержек - налог на прибыль - инвестиции =</v>
      </c>
      <c r="C493" s="201">
        <f t="shared" si="57"/>
        <v>70088010.657080829</v>
      </c>
    </row>
    <row r="494" spans="1:3" x14ac:dyDescent="0.25">
      <c r="A494" s="212"/>
      <c r="B494" s="219" t="str">
        <f>B$41&amp;" на "&amp;G65&amp;" шаге = "&amp;B$17&amp;" - "&amp;B$23&amp;" - "&amp;B$26&amp;" - "&amp;B$30&amp;" ="</f>
        <v>Оттоки на 9 шаге = Итого переменных издержек - итого постоянных издержек - налог на прибыль - инвестиции =</v>
      </c>
      <c r="C494" s="201">
        <f t="shared" si="57"/>
        <v>70088010.657080829</v>
      </c>
    </row>
    <row r="495" spans="1:3" x14ac:dyDescent="0.25">
      <c r="A495" s="212"/>
      <c r="B495" s="219" t="str">
        <f>B$41&amp;" на "&amp;G66&amp;" шаге = "&amp;B$17&amp;" - "&amp;B$23&amp;" - "&amp;B$26&amp;" - "&amp;B$30&amp;" ="</f>
        <v>Оттоки на 10 шаге = Итого переменных издержек - итого постоянных издержек - налог на прибыль - инвестиции =</v>
      </c>
      <c r="C495" s="201">
        <f t="shared" si="57"/>
        <v>70088010.657080829</v>
      </c>
    </row>
    <row r="496" spans="1:3" ht="15.75" thickBot="1" x14ac:dyDescent="0.3">
      <c r="A496" s="212"/>
      <c r="B496" s="219"/>
      <c r="C496" s="212"/>
    </row>
    <row r="497" spans="1:3" ht="15.75" thickBot="1" x14ac:dyDescent="0.3">
      <c r="A497" s="212"/>
      <c r="B497" s="221" t="s">
        <v>394</v>
      </c>
      <c r="C497" s="212"/>
    </row>
    <row r="498" spans="1:3" x14ac:dyDescent="0.25">
      <c r="A498" s="212"/>
      <c r="B498" s="219" t="str">
        <f>B$42&amp;" на "&amp;G56&amp;" шаге = Оттоки * Коэффициент дисконтирования = "&amp;ROUND(C485,2)&amp;" * "&amp;H56&amp;" ="</f>
        <v>Дисконтрированные оттоки на 0 шаге = Оттоки * Коэффициент дисконтирования = 87599403 * 1 =</v>
      </c>
      <c r="C498" s="201">
        <f>C472*H56</f>
        <v>87599403</v>
      </c>
    </row>
    <row r="499" spans="1:3" x14ac:dyDescent="0.25">
      <c r="A499" s="212"/>
      <c r="B499" s="219" t="str">
        <f>B$42&amp;" на "&amp;G57&amp;" шаге = Оттоки * Коэффициент дисконтирования = "&amp;ROUND(C486,2)&amp;" * "&amp;H57&amp;" ="</f>
        <v>Дисконтрированные оттоки на 1 шаге = Оттоки * Коэффициент дисконтирования = 6396300 * 0,833 =</v>
      </c>
      <c r="C499" s="201">
        <f>C473*H57</f>
        <v>5328117.8999999994</v>
      </c>
    </row>
    <row r="500" spans="1:3" x14ac:dyDescent="0.25">
      <c r="A500" s="212"/>
      <c r="B500" s="219" t="str">
        <f>B$42&amp;" на "&amp;G58&amp;" шаге = Оттоки * Коэффициент дисконтирования = "&amp;ROUND(C487,2)&amp;" * "&amp;H58&amp;" ="</f>
        <v>Дисконтрированные оттоки на 2 шаге = Оттоки * Коэффициент дисконтирования = -15534154,63 * 0,694 =</v>
      </c>
      <c r="C500" s="201">
        <f>C474*H58</f>
        <v>-10780703.312282393</v>
      </c>
    </row>
    <row r="501" spans="1:3" x14ac:dyDescent="0.25">
      <c r="A501" s="212"/>
      <c r="B501" s="219" t="str">
        <f>B$42&amp;" на "&amp;G59&amp;" шаге = Оттоки * Коэффициент дисконтирования = "&amp;ROUND(C488,2)&amp;" * "&amp;H59&amp;" ="</f>
        <v>Дисконтрированные оттоки на 3 шаге = Оттоки * Коэффициент дисконтирования = 7732495,37 * 0,579 =</v>
      </c>
      <c r="C501" s="201">
        <f>C475*H59</f>
        <v>1874156.7954497929</v>
      </c>
    </row>
    <row r="502" spans="1:3" x14ac:dyDescent="0.25">
      <c r="A502" s="212"/>
      <c r="B502" s="219" t="str">
        <f>B$42&amp;" на "&amp;G60&amp;" шаге = Оттоки * Коэффициент дисконтирования = "&amp;ROUND(C489,2)&amp;" * "&amp;H60&amp;" ="</f>
        <v>Дисконтрированные оттоки на 4 шаге = Оттоки * Коэффициент дисконтирования = 39861413,16 * 0,482 =</v>
      </c>
      <c r="C502" s="201">
        <f>C476*H60</f>
        <v>13816547.186712956</v>
      </c>
    </row>
    <row r="503" spans="1:3" x14ac:dyDescent="0.25">
      <c r="A503" s="212"/>
      <c r="B503" s="219" t="str">
        <f>B$42&amp;" на "&amp;G61&amp;" шаге = Оттоки * Коэффициент дисконтирования = "&amp;ROUND(C490,2)&amp;" * "&amp;H61&amp;" ="</f>
        <v>Дисконтрированные оттоки на 5 шаге = Оттоки * Коэффициент дисконтирования = 60012478,16 * 0,402 =</v>
      </c>
      <c r="C503" s="201">
        <f>C477*H61</f>
        <v>18338088.534146495</v>
      </c>
    </row>
    <row r="504" spans="1:3" x14ac:dyDescent="0.25">
      <c r="A504" s="212"/>
      <c r="B504" s="219" t="str">
        <f>B$42&amp;" на "&amp;G62&amp;" шаге = Оттоки * Коэффициент дисконтирования = "&amp;ROUND(C491,2)&amp;" * "&amp;H62&amp;" ="</f>
        <v>Дисконтрированные оттоки на 6 шаге = Оттоки * Коэффициент дисконтирования = 70088010,66 * 0,335 =</v>
      </c>
      <c r="C504" s="201">
        <f>C478*H62</f>
        <v>18121217.195122078</v>
      </c>
    </row>
    <row r="505" spans="1:3" x14ac:dyDescent="0.25">
      <c r="A505" s="212"/>
      <c r="B505" s="219" t="str">
        <f>B$42&amp;" на "&amp;G63&amp;" шаге = Оттоки * Коэффициент дисконтирования = "&amp;ROUND(C492,2)&amp;" * "&amp;H63&amp;" ="</f>
        <v>Дисконтрированные оттоки на 7 шаге = Оттоки * Коэффициент дисконтирования = 70088010,66 * 0,279 =</v>
      </c>
      <c r="C505" s="201">
        <f>C479*H63</f>
        <v>15091998.798325554</v>
      </c>
    </row>
    <row r="506" spans="1:3" x14ac:dyDescent="0.25">
      <c r="A506" s="212"/>
      <c r="B506" s="219" t="str">
        <f>B$42&amp;" на "&amp;G64&amp;" шаге = Оттоки * Коэффициент дисконтирования = "&amp;ROUND(C493,2)&amp;" * "&amp;H64&amp;" ="</f>
        <v>Дисконтрированные оттоки на 8 шаге = Оттоки * Коэффициент дисконтирования = 70088010,66 * 0,233 =</v>
      </c>
      <c r="C506" s="201">
        <f>C480*H64</f>
        <v>12603712.258099834</v>
      </c>
    </row>
    <row r="507" spans="1:3" x14ac:dyDescent="0.25">
      <c r="A507" s="212"/>
      <c r="B507" s="219" t="str">
        <f>B$42&amp;" на "&amp;G65&amp;" шаге = Оттоки * Коэффициент дисконтирования = "&amp;ROUND(C494,2)&amp;" * "&amp;H65&amp;" ="</f>
        <v>Дисконтрированные оттоки на 9 шаге = Оттоки * Коэффициент дисконтирования = 70088010,66 * 0,194 =</v>
      </c>
      <c r="C507" s="201">
        <f>C481*H65</f>
        <v>10494078.017473681</v>
      </c>
    </row>
    <row r="508" spans="1:3" x14ac:dyDescent="0.25">
      <c r="A508" s="212"/>
      <c r="B508" s="219" t="str">
        <f>B$42&amp;" на "&amp;G66&amp;" шаге = Оттоки * Коэффициент дисконтирования = "&amp;ROUND(C495,2)&amp;" * "&amp;H66&amp;" ="</f>
        <v>Дисконтрированные оттоки на 10 шаге = Оттоки * Коэффициент дисконтирования = 70088010,66 * 0,162 =</v>
      </c>
      <c r="C508" s="201">
        <f>C482*H66</f>
        <v>8763096.0764470939</v>
      </c>
    </row>
    <row r="509" spans="1:3" ht="15.75" thickBot="1" x14ac:dyDescent="0.3">
      <c r="A509" s="212"/>
      <c r="B509" s="219" t="str">
        <f>B43&amp;" = "</f>
        <v xml:space="preserve">Сумма дисконтрированных оттоков = </v>
      </c>
      <c r="C509" s="201">
        <f>SUM(C498:C508)</f>
        <v>181249712.44949505</v>
      </c>
    </row>
    <row r="510" spans="1:3" ht="15.75" thickBot="1" x14ac:dyDescent="0.3">
      <c r="A510" s="212"/>
      <c r="B510" s="220" t="s">
        <v>395</v>
      </c>
      <c r="C510" s="212"/>
    </row>
    <row r="511" spans="1:3" x14ac:dyDescent="0.25">
      <c r="A511" s="212"/>
      <c r="B511" s="219" t="str">
        <f>B$42&amp;" на "&amp;G56&amp;" шаге = Оттоки * Коэффициент дисконтирования = "&amp;ROUND(C498,2)&amp;" * "&amp;H56&amp;" ="</f>
        <v>Дисконтрированные оттоки на 0 шаге = Оттоки * Коэффициент дисконтирования = 87599403 * 1 =</v>
      </c>
      <c r="C511" s="201">
        <f>C485*H56</f>
        <v>87599403</v>
      </c>
    </row>
    <row r="512" spans="1:3" x14ac:dyDescent="0.25">
      <c r="A512" s="212"/>
      <c r="B512" s="219" t="str">
        <f>B$42&amp;" на "&amp;G57&amp;" шаге = Оттоки * Коэффициент дисконтирования = "&amp;ROUND(C499,2)&amp;" * "&amp;H57&amp;" ="</f>
        <v>Дисконтрированные оттоки на 1 шаге = Оттоки * Коэффициент дисконтирования = 5328117,9 * 0,833 =</v>
      </c>
      <c r="C512" s="201">
        <f>C486*H57</f>
        <v>5328117.8999999994</v>
      </c>
    </row>
    <row r="513" spans="1:3" x14ac:dyDescent="0.25">
      <c r="A513" s="212"/>
      <c r="B513" s="219" t="str">
        <f>B$42&amp;" на "&amp;G58&amp;" шаге = Оттоки * Коэффициент дисконтирования = "&amp;ROUND(C500,2)&amp;" * "&amp;H58&amp;" ="</f>
        <v>Дисконтрированные оттоки на 2 шаге = Оттоки * Коэффициент дисконтирования = -10780703,31 * 0,694 =</v>
      </c>
      <c r="C513" s="201">
        <f>C487*H58</f>
        <v>-10780703.312282393</v>
      </c>
    </row>
    <row r="514" spans="1:3" x14ac:dyDescent="0.25">
      <c r="A514" s="212"/>
      <c r="B514" s="219" t="str">
        <f>B$42&amp;" на "&amp;G59&amp;" шаге = Оттоки * Коэффициент дисконтирования = "&amp;ROUND(C501,2)&amp;" * "&amp;H59&amp;" ="</f>
        <v>Дисконтрированные оттоки на 3 шаге = Оттоки * Коэффициент дисконтирования = 1874156,8 * 0,579 =</v>
      </c>
      <c r="C514" s="201">
        <f>C488*H59</f>
        <v>4477114.8200122397</v>
      </c>
    </row>
    <row r="515" spans="1:3" x14ac:dyDescent="0.25">
      <c r="A515" s="212"/>
      <c r="B515" s="219" t="str">
        <f>B$42&amp;" на "&amp;G60&amp;" шаге = Оттоки * Коэффициент дисконтирования = "&amp;ROUND(C502,2)&amp;" * "&amp;H60&amp;" ="</f>
        <v>Дисконтрированные оттоки на 4 шаге = Оттоки * Коэффициент дисконтирования = 13816547,19 * 0,482 =</v>
      </c>
      <c r="C515" s="201">
        <f>C489*H60</f>
        <v>19213201.141712956</v>
      </c>
    </row>
    <row r="516" spans="1:3" x14ac:dyDescent="0.25">
      <c r="A516" s="212"/>
      <c r="B516" s="219" t="str">
        <f>B$42&amp;" на "&amp;G61&amp;" шаге = Оттоки * Коэффициент дисконтирования = "&amp;ROUND(C503,2)&amp;" * "&amp;H61&amp;" ="</f>
        <v>Дисконтрированные оттоки на 5 шаге = Оттоки * Коэффициент дисконтирования = 18338088,53 * 0,402 =</v>
      </c>
      <c r="C516" s="201">
        <f>C490*H61</f>
        <v>24125016.219146494</v>
      </c>
    </row>
    <row r="517" spans="1:3" x14ac:dyDescent="0.25">
      <c r="A517" s="212"/>
      <c r="B517" s="219" t="str">
        <f>B$42&amp;" на "&amp;G62&amp;" шаге = Оттоки * Коэффициент дисконтирования = "&amp;ROUND(C504,2)&amp;" * "&amp;H62&amp;" ="</f>
        <v>Дисконтрированные оттоки на 6 шаге = Оттоки * Коэффициент дисконтирования = 18121217,2 * 0,335 =</v>
      </c>
      <c r="C517" s="201">
        <f>C491*H62</f>
        <v>23479483.570122078</v>
      </c>
    </row>
    <row r="518" spans="1:3" x14ac:dyDescent="0.25">
      <c r="A518" s="212"/>
      <c r="B518" s="219" t="str">
        <f>B$42&amp;" на "&amp;G63&amp;" шаге = Оттоки * Коэффициент дисконтирования = "&amp;ROUND(C505,2)&amp;" * "&amp;H63&amp;" ="</f>
        <v>Дисконтрированные оттоки на 7 шаге = Оттоки * Коэффициент дисконтирования = 15091998,8 * 0,279 =</v>
      </c>
      <c r="C518" s="201">
        <f>C492*H63</f>
        <v>19554554.973325554</v>
      </c>
    </row>
    <row r="519" spans="1:3" x14ac:dyDescent="0.25">
      <c r="A519" s="212"/>
      <c r="B519" s="219" t="str">
        <f>B$42&amp;" на "&amp;G64&amp;" шаге = Оттоки * Коэффициент дисконтирования = "&amp;ROUND(C506,2)&amp;" * "&amp;H64&amp;" ="</f>
        <v>Дисконтрированные оттоки на 8 шаге = Оттоки * Коэффициент дисконтирования = 12603712,26 * 0,233 =</v>
      </c>
      <c r="C519" s="201">
        <f>C493*H64</f>
        <v>16330506.483099835</v>
      </c>
    </row>
    <row r="520" spans="1:3" x14ac:dyDescent="0.25">
      <c r="A520" s="212"/>
      <c r="B520" s="219" t="str">
        <f>B$42&amp;" на "&amp;G65&amp;" шаге = Оттоки * Коэффициент дисконтирования = "&amp;ROUND(C507,2)&amp;" * "&amp;H65&amp;" ="</f>
        <v>Дисконтрированные оттоки на 9 шаге = Оттоки * Коэффициент дисконтирования = 10494078,02 * 0,194 =</v>
      </c>
      <c r="C520" s="201">
        <f>C494*H65</f>
        <v>13597074.067473682</v>
      </c>
    </row>
    <row r="521" spans="1:3" x14ac:dyDescent="0.25">
      <c r="A521" s="212"/>
      <c r="B521" s="219" t="str">
        <f>B$42&amp;" на "&amp;G66&amp;" шаге = Оттоки * Коэффициент дисконтирования = "&amp;ROUND(C508,2)&amp;" * "&amp;H66&amp;" ="</f>
        <v>Дисконтрированные оттоки на 10 шаге = Оттоки * Коэффициент дисконтирования = 8763096,08 * 0,162 =</v>
      </c>
      <c r="C521" s="201">
        <f>C495*H66</f>
        <v>11354257.726447094</v>
      </c>
    </row>
    <row r="522" spans="1:3" x14ac:dyDescent="0.25">
      <c r="A522" s="212"/>
      <c r="B522" s="219" t="str">
        <f>B43&amp;" = "</f>
        <v xml:space="preserve">Сумма дисконтрированных оттоков = </v>
      </c>
      <c r="C522" s="201">
        <f>SUM(C511:C521)</f>
        <v>214278026.58905756</v>
      </c>
    </row>
    <row r="523" spans="1:3" x14ac:dyDescent="0.25">
      <c r="A523" s="212"/>
      <c r="B523" s="219"/>
      <c r="C523" s="212"/>
    </row>
    <row r="524" spans="1:3" x14ac:dyDescent="0.25">
      <c r="A524" s="212"/>
      <c r="B524" s="218" t="str">
        <f>B$44&amp;" на "&amp;G56&amp;" шаге = "&amp;B$30&amp;" * Коэффициент дисконтирования ="</f>
        <v>Диспонтрикрованные инвестиции на 0 шаге = инвестиции * Коэффициент дисконтирования =</v>
      </c>
      <c r="C524" s="201">
        <f>D44</f>
        <v>-87599403</v>
      </c>
    </row>
    <row r="525" spans="1:3" x14ac:dyDescent="0.25">
      <c r="A525" s="212"/>
      <c r="B525" s="218" t="str">
        <f>B$44&amp;" на "&amp;G57&amp;" шаге = "&amp;B$30&amp;" * Коэффициент дисконтирования ="</f>
        <v>Диспонтрикрованные инвестиции на 1 шаге = инвестиции * Коэффициент дисконтирования =</v>
      </c>
      <c r="C525" s="201">
        <f>E44</f>
        <v>-5328117.8999999994</v>
      </c>
    </row>
  </sheetData>
  <mergeCells count="79">
    <mergeCell ref="A1:A3"/>
    <mergeCell ref="B1:B3"/>
    <mergeCell ref="C1:C3"/>
    <mergeCell ref="D1:Y1"/>
    <mergeCell ref="D2:N2"/>
    <mergeCell ref="O2:Y2"/>
    <mergeCell ref="A48:B48"/>
    <mergeCell ref="D40:N40"/>
    <mergeCell ref="O40:Y40"/>
    <mergeCell ref="D43:N43"/>
    <mergeCell ref="O43:Y43"/>
    <mergeCell ref="A47:B47"/>
    <mergeCell ref="A46:B46"/>
    <mergeCell ref="A161:B161"/>
    <mergeCell ref="A162:B162"/>
    <mergeCell ref="A163:B163"/>
    <mergeCell ref="A164:B164"/>
    <mergeCell ref="A165:B165"/>
    <mergeCell ref="A175:B175"/>
    <mergeCell ref="A176:B176"/>
    <mergeCell ref="A177:B177"/>
    <mergeCell ref="A166:B166"/>
    <mergeCell ref="A167:B167"/>
    <mergeCell ref="A168:B168"/>
    <mergeCell ref="A169:B169"/>
    <mergeCell ref="A170:B170"/>
    <mergeCell ref="A200:B200"/>
    <mergeCell ref="A201:B201"/>
    <mergeCell ref="A190:B190"/>
    <mergeCell ref="A191:B191"/>
    <mergeCell ref="A192:B192"/>
    <mergeCell ref="A193:B193"/>
    <mergeCell ref="A194:B194"/>
    <mergeCell ref="A207:B207"/>
    <mergeCell ref="A208:B208"/>
    <mergeCell ref="A209:B209"/>
    <mergeCell ref="A213:B213"/>
    <mergeCell ref="A202:B202"/>
    <mergeCell ref="A203:B203"/>
    <mergeCell ref="A204:B204"/>
    <mergeCell ref="A205:B205"/>
    <mergeCell ref="A206:B206"/>
    <mergeCell ref="A212:B212"/>
    <mergeCell ref="A234:B234"/>
    <mergeCell ref="A235:B235"/>
    <mergeCell ref="A226:B226"/>
    <mergeCell ref="A227:B227"/>
    <mergeCell ref="A228:B228"/>
    <mergeCell ref="A229:B229"/>
    <mergeCell ref="A230:B230"/>
    <mergeCell ref="A225:B225"/>
    <mergeCell ref="A231:B231"/>
    <mergeCell ref="A232:B232"/>
    <mergeCell ref="A233:B233"/>
    <mergeCell ref="A219:B219"/>
    <mergeCell ref="A220:B220"/>
    <mergeCell ref="A221:B221"/>
    <mergeCell ref="A222:B222"/>
    <mergeCell ref="A214:B214"/>
    <mergeCell ref="A215:B215"/>
    <mergeCell ref="A216:B216"/>
    <mergeCell ref="A217:B217"/>
    <mergeCell ref="A218:B218"/>
    <mergeCell ref="A160:B160"/>
    <mergeCell ref="A173:B173"/>
    <mergeCell ref="A186:B186"/>
    <mergeCell ref="A199:B199"/>
    <mergeCell ref="A195:B195"/>
    <mergeCell ref="A196:B196"/>
    <mergeCell ref="A183:B183"/>
    <mergeCell ref="A187:B187"/>
    <mergeCell ref="A188:B188"/>
    <mergeCell ref="A189:B189"/>
    <mergeCell ref="A178:B178"/>
    <mergeCell ref="A179:B179"/>
    <mergeCell ref="A180:B180"/>
    <mergeCell ref="A181:B181"/>
    <mergeCell ref="A182:B182"/>
    <mergeCell ref="A174:B174"/>
  </mergeCells>
  <printOptions horizontalCentered="1" verticalCentered="1" gridLines="1"/>
  <pageMargins left="0.19685039370078741" right="0.70866141732283472" top="0.19685039370078741" bottom="0.19685039370078741" header="0.19685039370078741" footer="0.19685039370078741"/>
  <pageSetup paperSize="9" scale="80" pageOrder="overThenDown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1</vt:i4>
      </vt:variant>
    </vt:vector>
  </HeadingPairs>
  <TitlesOfParts>
    <vt:vector size="9" baseType="lpstr">
      <vt:lpstr>666</vt:lpstr>
      <vt:lpstr>Расчеты для 19</vt:lpstr>
      <vt:lpstr>Расчеты для 18</vt:lpstr>
      <vt:lpstr>Расчеты для 16</vt:lpstr>
      <vt:lpstr>21</vt:lpstr>
      <vt:lpstr>24</vt:lpstr>
      <vt:lpstr>23</vt:lpstr>
      <vt:lpstr>22</vt:lpstr>
      <vt:lpstr>'666'!Извлечь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2023-11-17T09:08:34Z</dcterms:modified>
</cp:coreProperties>
</file>