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51" sheetId="15" r:id="rId1"/>
  </sheets>
  <definedNames>
    <definedName name="_xlnm._FilterDatabase" localSheetId="0" hidden="1">'651'!$C$2:$C$9</definedName>
    <definedName name="_xlnm.Extract" localSheetId="0">'651'!$A$248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5" l="1"/>
  <c r="D60" i="15"/>
  <c r="D247" i="15" l="1"/>
  <c r="D246" i="15"/>
  <c r="G246" i="15" l="1"/>
  <c r="G247" i="15"/>
  <c r="F246" i="15"/>
  <c r="F247" i="15"/>
  <c r="E246" i="15"/>
  <c r="E247" i="15"/>
  <c r="C249" i="15"/>
  <c r="C250" i="15"/>
  <c r="C251" i="15"/>
  <c r="C252" i="15"/>
  <c r="C253" i="15"/>
  <c r="B253" i="15"/>
  <c r="B252" i="15"/>
  <c r="B251" i="15"/>
  <c r="B250" i="15"/>
  <c r="B249" i="15"/>
  <c r="A247" i="15"/>
  <c r="B247" i="15"/>
  <c r="C247" i="15"/>
  <c r="A248" i="15"/>
  <c r="B248" i="15"/>
  <c r="C248" i="15"/>
  <c r="B246" i="15"/>
  <c r="C246" i="15"/>
  <c r="A246" i="15"/>
  <c r="A276" i="15" l="1"/>
  <c r="D276" i="15"/>
  <c r="C269" i="15" l="1"/>
  <c r="E354" i="15" s="1"/>
  <c r="D354" i="15" s="1"/>
  <c r="A310" i="15"/>
  <c r="A325" i="15"/>
  <c r="A319" i="15"/>
  <c r="A294" i="15"/>
  <c r="A293" i="15"/>
  <c r="A292" i="15"/>
  <c r="A291" i="15"/>
  <c r="AE10" i="15"/>
  <c r="AF9" i="15"/>
  <c r="AF10" i="15"/>
  <c r="AE8" i="15"/>
  <c r="AE9" i="15"/>
  <c r="AE6" i="15"/>
  <c r="AF4" i="15"/>
  <c r="AF3" i="15"/>
  <c r="AE3" i="15"/>
  <c r="AF8" i="15"/>
  <c r="AF7" i="15"/>
  <c r="AE7" i="15"/>
  <c r="AF6" i="15"/>
  <c r="AF5" i="15"/>
  <c r="AE5" i="15"/>
  <c r="AE4" i="15"/>
  <c r="A283" i="15"/>
  <c r="D277" i="15"/>
  <c r="A277" i="15"/>
  <c r="AE11" i="15" l="1"/>
  <c r="D283" i="15" s="1"/>
  <c r="AF11" i="15"/>
  <c r="D310" i="15" s="1"/>
  <c r="D251" i="15"/>
  <c r="D250" i="15" l="1"/>
  <c r="E250" i="15" s="1"/>
  <c r="C298" i="15"/>
  <c r="D341" i="15"/>
  <c r="A269" i="15"/>
  <c r="F250" i="15" l="1"/>
  <c r="G250" i="15" s="1"/>
  <c r="D249" i="15" l="1"/>
  <c r="D252" i="15"/>
  <c r="D253" i="15"/>
  <c r="A228" i="15"/>
  <c r="B254" i="15" l="1"/>
  <c r="D248" i="15"/>
  <c r="D254" i="15" s="1"/>
  <c r="E253" i="15"/>
  <c r="F253" i="15"/>
  <c r="E252" i="15"/>
  <c r="F252" i="15"/>
  <c r="E251" i="15"/>
  <c r="F251" i="15"/>
  <c r="F249" i="15"/>
  <c r="E249" i="15"/>
  <c r="E210" i="15"/>
  <c r="E211" i="15"/>
  <c r="E212" i="15"/>
  <c r="E213" i="15"/>
  <c r="E214" i="15"/>
  <c r="E215" i="15"/>
  <c r="E209" i="15"/>
  <c r="C210" i="15"/>
  <c r="C211" i="15"/>
  <c r="C212" i="15"/>
  <c r="C213" i="15"/>
  <c r="C214" i="15"/>
  <c r="C215" i="15"/>
  <c r="C209" i="15"/>
  <c r="D200" i="15"/>
  <c r="D201" i="15"/>
  <c r="D202" i="15"/>
  <c r="D203" i="15"/>
  <c r="D204" i="15"/>
  <c r="D205" i="15"/>
  <c r="D206" i="15"/>
  <c r="D199" i="15"/>
  <c r="B200" i="15"/>
  <c r="B201" i="15"/>
  <c r="B202" i="15"/>
  <c r="B203" i="15"/>
  <c r="B204" i="15"/>
  <c r="B205" i="15"/>
  <c r="B206" i="15"/>
  <c r="B199" i="15"/>
  <c r="D153" i="15"/>
  <c r="D275" i="15" l="1"/>
  <c r="A275" i="15"/>
  <c r="G253" i="15"/>
  <c r="G251" i="15"/>
  <c r="G252" i="15"/>
  <c r="G249" i="15"/>
  <c r="F248" i="15"/>
  <c r="F254" i="15" s="1"/>
  <c r="E248" i="15"/>
  <c r="E254" i="15" s="1"/>
  <c r="A154" i="15"/>
  <c r="D154" i="15"/>
  <c r="D209" i="15" s="1"/>
  <c r="E48" i="15"/>
  <c r="C292" i="15" l="1"/>
  <c r="G248" i="15"/>
  <c r="G254" i="15" s="1"/>
  <c r="C256" i="15" s="1"/>
  <c r="A109" i="15"/>
  <c r="A105" i="15"/>
  <c r="A112" i="15"/>
  <c r="A108" i="15"/>
  <c r="A111" i="15"/>
  <c r="A107" i="15"/>
  <c r="A110" i="15"/>
  <c r="A106" i="15"/>
  <c r="E203" i="15"/>
  <c r="E199" i="15"/>
  <c r="E200" i="15"/>
  <c r="E204" i="15"/>
  <c r="E201" i="15"/>
  <c r="E205" i="15"/>
  <c r="E202" i="15"/>
  <c r="E206" i="15"/>
  <c r="D106" i="15"/>
  <c r="A114" i="15" s="1"/>
  <c r="D110" i="15"/>
  <c r="A118" i="15" s="1"/>
  <c r="D107" i="15"/>
  <c r="A115" i="15" s="1"/>
  <c r="D111" i="15"/>
  <c r="A119" i="15" s="1"/>
  <c r="D109" i="15"/>
  <c r="A117" i="15" s="1"/>
  <c r="D108" i="15"/>
  <c r="A116" i="15" s="1"/>
  <c r="D112" i="15"/>
  <c r="A120" i="15" s="1"/>
  <c r="D105" i="15"/>
  <c r="A113" i="15" s="1"/>
  <c r="E46" i="15"/>
  <c r="C45" i="15"/>
  <c r="A274" i="15" l="1"/>
  <c r="D274" i="15"/>
  <c r="C291" i="15" s="1"/>
  <c r="D257" i="15"/>
  <c r="A273" i="15" s="1"/>
  <c r="A278" i="15"/>
  <c r="A279" i="15"/>
  <c r="D278" i="15"/>
  <c r="D279" i="15"/>
  <c r="A238" i="15"/>
  <c r="C238" i="15"/>
  <c r="A256" i="15"/>
  <c r="C49" i="15"/>
  <c r="A157" i="15" s="1"/>
  <c r="A46" i="15"/>
  <c r="A49" i="15"/>
  <c r="A51" i="15"/>
  <c r="A50" i="15"/>
  <c r="D119" i="15"/>
  <c r="D127" i="15" s="1"/>
  <c r="F205" i="15"/>
  <c r="D120" i="15"/>
  <c r="F206" i="15"/>
  <c r="D115" i="15"/>
  <c r="D123" i="15" s="1"/>
  <c r="F201" i="15"/>
  <c r="D116" i="15"/>
  <c r="F202" i="15"/>
  <c r="D118" i="15"/>
  <c r="F204" i="15"/>
  <c r="D113" i="15"/>
  <c r="F199" i="15"/>
  <c r="D117" i="15"/>
  <c r="D125" i="15" s="1"/>
  <c r="F203" i="15"/>
  <c r="D114" i="15"/>
  <c r="F200" i="15"/>
  <c r="C51" i="15"/>
  <c r="A159" i="15" s="1"/>
  <c r="C46" i="15"/>
  <c r="C50" i="15"/>
  <c r="A158" i="15" s="1"/>
  <c r="D273" i="15" l="1"/>
  <c r="C289" i="15" s="1"/>
  <c r="B211" i="15"/>
  <c r="D280" i="15"/>
  <c r="C293" i="15" s="1"/>
  <c r="C263" i="15"/>
  <c r="A257" i="15"/>
  <c r="C264" i="15"/>
  <c r="G200" i="15"/>
  <c r="A122" i="15"/>
  <c r="G199" i="15"/>
  <c r="A121" i="15"/>
  <c r="G202" i="15"/>
  <c r="A124" i="15"/>
  <c r="G206" i="15"/>
  <c r="A128" i="15"/>
  <c r="D122" i="15"/>
  <c r="A130" i="15" s="1"/>
  <c r="B207" i="15"/>
  <c r="D102" i="15"/>
  <c r="A55" i="15"/>
  <c r="A52" i="15"/>
  <c r="A102" i="15"/>
  <c r="A48" i="15"/>
  <c r="C55" i="15"/>
  <c r="A190" i="15" s="1"/>
  <c r="A47" i="15"/>
  <c r="D121" i="15"/>
  <c r="A129" i="15" s="1"/>
  <c r="G204" i="15"/>
  <c r="A126" i="15"/>
  <c r="G201" i="15"/>
  <c r="A131" i="15"/>
  <c r="A123" i="15"/>
  <c r="G205" i="15"/>
  <c r="A135" i="15"/>
  <c r="A127" i="15"/>
  <c r="G203" i="15"/>
  <c r="A133" i="15"/>
  <c r="A125" i="15"/>
  <c r="D124" i="15"/>
  <c r="H202" i="15" s="1"/>
  <c r="D158" i="15"/>
  <c r="D165" i="15" s="1"/>
  <c r="B212" i="15"/>
  <c r="D135" i="15"/>
  <c r="D143" i="15" s="1"/>
  <c r="H205" i="15"/>
  <c r="D133" i="15"/>
  <c r="H203" i="15"/>
  <c r="D131" i="15"/>
  <c r="D139" i="15" s="1"/>
  <c r="H201" i="15"/>
  <c r="D126" i="15"/>
  <c r="A134" i="15" s="1"/>
  <c r="D128" i="15"/>
  <c r="A136" i="15" s="1"/>
  <c r="D130" i="15"/>
  <c r="D138" i="15" s="1"/>
  <c r="D159" i="15"/>
  <c r="B213" i="15"/>
  <c r="B60" i="15"/>
  <c r="C47" i="15"/>
  <c r="C52" i="15"/>
  <c r="A160" i="15" s="1"/>
  <c r="C48" i="15"/>
  <c r="D157" i="15"/>
  <c r="C53" i="15"/>
  <c r="A161" i="15" s="1"/>
  <c r="H200" i="15" l="1"/>
  <c r="H199" i="15"/>
  <c r="G207" i="15"/>
  <c r="D129" i="15"/>
  <c r="D137" i="15" s="1"/>
  <c r="J199" i="15" s="1"/>
  <c r="D132" i="15"/>
  <c r="D140" i="15" s="1"/>
  <c r="J202" i="15" s="1"/>
  <c r="A132" i="15"/>
  <c r="I203" i="15"/>
  <c r="A141" i="15"/>
  <c r="A166" i="15"/>
  <c r="I200" i="15"/>
  <c r="A146" i="15"/>
  <c r="A138" i="15"/>
  <c r="D104" i="15"/>
  <c r="A104" i="15"/>
  <c r="I201" i="15"/>
  <c r="A147" i="15"/>
  <c r="A139" i="15"/>
  <c r="I205" i="15"/>
  <c r="A151" i="15"/>
  <c r="A143" i="15"/>
  <c r="D156" i="15"/>
  <c r="G210" i="15" s="1"/>
  <c r="A156" i="15"/>
  <c r="A172" i="15"/>
  <c r="A165" i="15"/>
  <c r="B209" i="15"/>
  <c r="A155" i="15"/>
  <c r="D155" i="15"/>
  <c r="G209" i="15" s="1"/>
  <c r="A164" i="15"/>
  <c r="A140" i="15"/>
  <c r="G211" i="15"/>
  <c r="G212" i="15"/>
  <c r="D172" i="15"/>
  <c r="G213" i="15"/>
  <c r="D136" i="15"/>
  <c r="H206" i="15"/>
  <c r="B210" i="15"/>
  <c r="D134" i="15"/>
  <c r="H204" i="15"/>
  <c r="B62" i="15"/>
  <c r="E62" i="15" s="1"/>
  <c r="B217" i="15"/>
  <c r="C151" i="15"/>
  <c r="K205" i="15" s="1"/>
  <c r="J205" i="15"/>
  <c r="C147" i="15"/>
  <c r="K201" i="15" s="1"/>
  <c r="A222" i="15" s="1"/>
  <c r="J201" i="15"/>
  <c r="D166" i="15"/>
  <c r="D173" i="15" s="1"/>
  <c r="D160" i="15"/>
  <c r="B214" i="15"/>
  <c r="D141" i="15"/>
  <c r="A149" i="15" s="1"/>
  <c r="D161" i="15"/>
  <c r="B215" i="15"/>
  <c r="H212" i="15"/>
  <c r="C146" i="15"/>
  <c r="K200" i="15" s="1"/>
  <c r="J200" i="15"/>
  <c r="E60" i="15"/>
  <c r="C54" i="15"/>
  <c r="D164" i="15"/>
  <c r="H211" i="15" s="1"/>
  <c r="D62" i="15"/>
  <c r="A137" i="15" l="1"/>
  <c r="A145" i="15"/>
  <c r="C145" i="15"/>
  <c r="K199" i="15" s="1"/>
  <c r="I199" i="15"/>
  <c r="A148" i="15"/>
  <c r="D284" i="15"/>
  <c r="A284" i="15"/>
  <c r="D163" i="15"/>
  <c r="D170" i="15" s="1"/>
  <c r="I202" i="15"/>
  <c r="C148" i="15"/>
  <c r="K202" i="15" s="1"/>
  <c r="H207" i="15"/>
  <c r="A142" i="15"/>
  <c r="A144" i="15"/>
  <c r="A179" i="15"/>
  <c r="A162" i="15"/>
  <c r="A167" i="15"/>
  <c r="D190" i="15"/>
  <c r="D191" i="15" s="1"/>
  <c r="H217" i="15" s="1"/>
  <c r="A226" i="15"/>
  <c r="A168" i="15"/>
  <c r="A180" i="15"/>
  <c r="D171" i="15"/>
  <c r="I211" i="15" s="1"/>
  <c r="A171" i="15"/>
  <c r="A163" i="15"/>
  <c r="A170" i="15"/>
  <c r="A173" i="15"/>
  <c r="G214" i="15"/>
  <c r="D167" i="15"/>
  <c r="D174" i="15" s="1"/>
  <c r="D181" i="15" s="1"/>
  <c r="G215" i="15"/>
  <c r="D168" i="15"/>
  <c r="H215" i="15" s="1"/>
  <c r="D179" i="15"/>
  <c r="D186" i="15" s="1"/>
  <c r="K212" i="15" s="1"/>
  <c r="I212" i="15"/>
  <c r="I204" i="15"/>
  <c r="D142" i="15"/>
  <c r="A150" i="15" s="1"/>
  <c r="I206" i="15"/>
  <c r="D144" i="15"/>
  <c r="A152" i="15" s="1"/>
  <c r="B61" i="15"/>
  <c r="B63" i="15" s="1"/>
  <c r="B216" i="15"/>
  <c r="H213" i="15"/>
  <c r="C149" i="15"/>
  <c r="K203" i="15" s="1"/>
  <c r="J203" i="15"/>
  <c r="D162" i="15"/>
  <c r="A169" i="15" s="1"/>
  <c r="D178" i="15"/>
  <c r="J211" i="15" s="1"/>
  <c r="A326" i="15" l="1"/>
  <c r="A321" i="15"/>
  <c r="D326" i="15"/>
  <c r="D337" i="15" s="1"/>
  <c r="D327" i="15"/>
  <c r="D338" i="15" s="1"/>
  <c r="A327" i="15"/>
  <c r="D321" i="15"/>
  <c r="A282" i="15"/>
  <c r="D282" i="15"/>
  <c r="C296" i="15" s="1"/>
  <c r="A221" i="15"/>
  <c r="E61" i="15"/>
  <c r="E63" i="15" s="1"/>
  <c r="H210" i="15"/>
  <c r="A285" i="15"/>
  <c r="D285" i="15"/>
  <c r="C295" i="15" s="1"/>
  <c r="J212" i="15"/>
  <c r="A174" i="15"/>
  <c r="A186" i="15"/>
  <c r="I207" i="15"/>
  <c r="B218" i="15"/>
  <c r="A227" i="15" s="1"/>
  <c r="A225" i="15"/>
  <c r="A188" i="15"/>
  <c r="A181" i="15"/>
  <c r="A192" i="15"/>
  <c r="A191" i="15"/>
  <c r="C62" i="15"/>
  <c r="D101" i="15"/>
  <c r="A101" i="15"/>
  <c r="G217" i="15"/>
  <c r="D192" i="15"/>
  <c r="A178" i="15"/>
  <c r="A185" i="15"/>
  <c r="A177" i="15"/>
  <c r="A175" i="15"/>
  <c r="D177" i="15"/>
  <c r="J210" i="15" s="1"/>
  <c r="I210" i="15"/>
  <c r="H209" i="15"/>
  <c r="D169" i="15"/>
  <c r="D176" i="15" s="1"/>
  <c r="H214" i="15"/>
  <c r="I214" i="15"/>
  <c r="D175" i="15"/>
  <c r="D185" i="15"/>
  <c r="K211" i="15" s="1"/>
  <c r="A224" i="15" s="1"/>
  <c r="D188" i="15"/>
  <c r="K214" i="15" s="1"/>
  <c r="J214" i="15"/>
  <c r="C61" i="15"/>
  <c r="I213" i="15"/>
  <c r="D180" i="15"/>
  <c r="A187" i="15" s="1"/>
  <c r="C152" i="15"/>
  <c r="K206" i="15" s="1"/>
  <c r="J206" i="15"/>
  <c r="D184" i="15"/>
  <c r="K210" i="15" s="1"/>
  <c r="A223" i="15" s="1"/>
  <c r="D61" i="15"/>
  <c r="D63" i="15" s="1"/>
  <c r="C150" i="15"/>
  <c r="K204" i="15" s="1"/>
  <c r="J204" i="15"/>
  <c r="D355" i="15" l="1"/>
  <c r="A270" i="15"/>
  <c r="A346" i="15"/>
  <c r="A328" i="15"/>
  <c r="D348" i="15"/>
  <c r="A348" i="15"/>
  <c r="D328" i="15"/>
  <c r="D339" i="15" s="1"/>
  <c r="D270" i="15"/>
  <c r="E355" i="15" s="1"/>
  <c r="D346" i="15"/>
  <c r="A239" i="15"/>
  <c r="C239" i="15"/>
  <c r="A240" i="15" s="1"/>
  <c r="C63" i="15"/>
  <c r="A182" i="15"/>
  <c r="A193" i="15"/>
  <c r="K207" i="15"/>
  <c r="D193" i="15"/>
  <c r="A194" i="15" s="1"/>
  <c r="A184" i="15"/>
  <c r="A176" i="15"/>
  <c r="A183" i="15"/>
  <c r="D103" i="15"/>
  <c r="A103" i="15"/>
  <c r="J207" i="15"/>
  <c r="I217" i="15"/>
  <c r="I215" i="15"/>
  <c r="D182" i="15"/>
  <c r="J215" i="15" s="1"/>
  <c r="I209" i="15"/>
  <c r="D183" i="15"/>
  <c r="K209" i="15" s="1"/>
  <c r="J209" i="15"/>
  <c r="D187" i="15"/>
  <c r="K213" i="15" s="1"/>
  <c r="J213" i="15"/>
  <c r="G216" i="15"/>
  <c r="G218" i="15" s="1"/>
  <c r="B233" i="15" l="1"/>
  <c r="A272" i="15"/>
  <c r="D272" i="15"/>
  <c r="D357" i="15" s="1"/>
  <c r="E357" i="15" s="1"/>
  <c r="D356" i="15"/>
  <c r="A271" i="15"/>
  <c r="D271" i="15"/>
  <c r="E356" i="15" s="1"/>
  <c r="D347" i="15"/>
  <c r="E361" i="15" s="1"/>
  <c r="A347" i="15"/>
  <c r="D361" i="15"/>
  <c r="D349" i="15"/>
  <c r="E362" i="15" s="1"/>
  <c r="D362" i="15"/>
  <c r="A349" i="15"/>
  <c r="C240" i="15"/>
  <c r="J217" i="15"/>
  <c r="D194" i="15"/>
  <c r="K217" i="15" s="1"/>
  <c r="A189" i="15"/>
  <c r="D189" i="15"/>
  <c r="K215" i="15" s="1"/>
  <c r="K216" i="15" s="1"/>
  <c r="D222" i="15"/>
  <c r="C233" i="15"/>
  <c r="D226" i="15" s="1"/>
  <c r="H216" i="15"/>
  <c r="H218" i="15" s="1"/>
  <c r="A281" i="15" l="1"/>
  <c r="D318" i="15"/>
  <c r="A316" i="15"/>
  <c r="A318" i="15"/>
  <c r="A317" i="15"/>
  <c r="D317" i="15"/>
  <c r="D319" i="15" s="1"/>
  <c r="D316" i="15"/>
  <c r="B235" i="15"/>
  <c r="D224" i="15" s="1"/>
  <c r="A313" i="15"/>
  <c r="D313" i="15"/>
  <c r="B234" i="15"/>
  <c r="C234" i="15" s="1"/>
  <c r="D227" i="15" s="1"/>
  <c r="D281" i="15"/>
  <c r="C294" i="15" s="1"/>
  <c r="C297" i="15" s="1"/>
  <c r="A241" i="15"/>
  <c r="C241" i="15"/>
  <c r="I216" i="15"/>
  <c r="I218" i="15" s="1"/>
  <c r="C235" i="15" l="1"/>
  <c r="D228" i="15" s="1"/>
  <c r="D223" i="15"/>
  <c r="D258" i="15"/>
  <c r="D323" i="15" s="1"/>
  <c r="A322" i="15"/>
  <c r="A315" i="15"/>
  <c r="D322" i="15"/>
  <c r="D325" i="15" s="1"/>
  <c r="D336" i="15" s="1"/>
  <c r="D315" i="15"/>
  <c r="D334" i="15" s="1"/>
  <c r="D320" i="15"/>
  <c r="A320" i="15"/>
  <c r="D332" i="15"/>
  <c r="D314" i="15"/>
  <c r="B311" i="15"/>
  <c r="A311" i="15"/>
  <c r="A314" i="15"/>
  <c r="A258" i="15"/>
  <c r="C262" i="15"/>
  <c r="J216" i="15"/>
  <c r="J218" i="15" s="1"/>
  <c r="C265" i="15" l="1"/>
  <c r="A323" i="15"/>
  <c r="A324" i="15"/>
  <c r="D324" i="15"/>
  <c r="D335" i="15" s="1"/>
  <c r="A312" i="15"/>
  <c r="C299" i="15"/>
  <c r="D358" i="15" s="1"/>
  <c r="B312" i="15"/>
  <c r="C300" i="15" s="1"/>
  <c r="E358" i="15" s="1"/>
  <c r="D333" i="15"/>
  <c r="C266" i="15"/>
  <c r="K218" i="15"/>
  <c r="D340" i="15" l="1"/>
  <c r="D342" i="15" s="1"/>
  <c r="D343" i="15" s="1"/>
  <c r="E359" i="15" s="1"/>
  <c r="A350" i="15"/>
  <c r="B232" i="15"/>
  <c r="D221" i="15" s="1"/>
  <c r="E350" i="15" l="1"/>
  <c r="D359" i="15"/>
  <c r="D360" i="15" s="1"/>
  <c r="D363" i="15" s="1"/>
  <c r="D364" i="15" s="1"/>
  <c r="E364" i="15" s="1"/>
  <c r="E360" i="15"/>
  <c r="C232" i="15"/>
  <c r="D225" i="15" s="1"/>
  <c r="E363" i="15" l="1"/>
  <c r="D365" i="15"/>
  <c r="E365" i="15" l="1"/>
  <c r="F355" i="15" l="1"/>
  <c r="F356" i="15"/>
  <c r="F357" i="15"/>
  <c r="F361" i="15"/>
  <c r="F365" i="15"/>
  <c r="F362" i="15"/>
  <c r="F354" i="15"/>
  <c r="F358" i="15"/>
  <c r="F359" i="15"/>
  <c r="F364" i="15"/>
  <c r="F360" i="15"/>
  <c r="F363" i="15"/>
</calcChain>
</file>

<file path=xl/sharedStrings.xml><?xml version="1.0" encoding="utf-8"?>
<sst xmlns="http://schemas.openxmlformats.org/spreadsheetml/2006/main" count="218" uniqueCount="182">
  <si>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</si>
  <si>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</si>
  <si>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</si>
  <si>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</si>
  <si>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№ операции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</si>
  <si>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</si>
  <si>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</si>
  <si>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</si>
  <si>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</si>
  <si>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Токарная</t>
  </si>
  <si>
    <t>Протяжная</t>
  </si>
  <si>
    <t>Агрегатная</t>
  </si>
  <si>
    <t>Фрезерная</t>
  </si>
  <si>
    <t>Шлифовальная</t>
  </si>
  <si>
    <t>Агрегатный</t>
  </si>
  <si>
    <t>Токарно-револьверный 1Д325П</t>
  </si>
  <si>
    <t>Горизонтально-протяжный 7В510</t>
  </si>
  <si>
    <t>Вертикально-фрезерный ВФ-130</t>
  </si>
  <si>
    <t>Внутришлифовальная 3К228А</t>
  </si>
  <si>
    <t>Материал детали - сталь 40X</t>
  </si>
  <si>
    <t>Работа оборудования в две смены</t>
  </si>
  <si>
    <t>Показатель</t>
  </si>
  <si>
    <t>Доля заемного капитала в инвестициях</t>
  </si>
  <si>
    <t>Стоимость земных средств</t>
  </si>
  <si>
    <t>Класс инвестиций</t>
  </si>
  <si>
    <t>Период освоения инвестиций</t>
  </si>
  <si>
    <t>%</t>
  </si>
  <si>
    <t>Единица измерения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</si>
  <si>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</si>
  <si>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</si>
  <si>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</si>
  <si>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</si>
  <si>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</si>
  <si>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</si>
  <si>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</si>
  <si>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</si>
  <si>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</si>
  <si>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</si>
  <si>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</si>
  <si>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</si>
  <si>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</si>
  <si>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</si>
  <si>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</si>
  <si>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</si>
  <si>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</si>
  <si>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</si>
  <si>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</si>
  <si>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</si>
  <si>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</si>
  <si>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</si>
  <si>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</si>
  <si>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</si>
  <si>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</si>
  <si>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</si>
  <si>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</si>
  <si>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</si>
  <si>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</si>
  <si>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</si>
  <si>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</si>
  <si>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</si>
  <si>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</si>
  <si>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</si>
  <si>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</si>
  <si>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</si>
  <si>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</si>
  <si>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</si>
  <si>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</si>
  <si>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</si>
  <si>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</si>
  <si>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</si>
  <si>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</si>
  <si>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</si>
  <si>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</si>
  <si>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</si>
  <si>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</si>
  <si>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</si>
  <si>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</si>
  <si>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</si>
  <si>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</si>
  <si>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</si>
  <si>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</si>
  <si>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</si>
  <si>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</si>
  <si>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Расчеты для таблицы 5</t>
  </si>
  <si>
    <t>Районный коэффициент =</t>
  </si>
  <si>
    <t>Часовая тарифная ставка =</t>
  </si>
  <si>
    <t>Номинальный фонд времени работы рабочего за год = (365 - 115) * 8 - 6 =</t>
  </si>
  <si>
    <t>Таблица 6</t>
  </si>
  <si>
    <t>Таблица 5</t>
  </si>
  <si>
    <t>Формулы для таблицы 6</t>
  </si>
  <si>
    <t>1 рабочего</t>
  </si>
  <si>
    <t>2 рабочего</t>
  </si>
  <si>
    <t>3 рабочего</t>
  </si>
  <si>
    <t>4 рабочего</t>
  </si>
  <si>
    <t>5 рабочего</t>
  </si>
  <si>
    <t>6 рабочего</t>
  </si>
  <si>
    <t>7 рабочего</t>
  </si>
  <si>
    <t>8 рабочего</t>
  </si>
  <si>
    <t>контроллеров 1</t>
  </si>
  <si>
    <t>раздатчиков инструмента 2</t>
  </si>
  <si>
    <t>слесарей-ремонтников 3</t>
  </si>
  <si>
    <t>дежурных электромонтеров 4</t>
  </si>
  <si>
    <t>дежурных ремонтных слесарей 5</t>
  </si>
  <si>
    <t>уборщиц 6</t>
  </si>
  <si>
    <t>наладчиков 7</t>
  </si>
  <si>
    <t>Расчеты для таблицы 6</t>
  </si>
  <si>
    <t>Расчеты для таблицы 8</t>
  </si>
  <si>
    <t>Формулы</t>
  </si>
  <si>
    <t>S удельная 1 станка =</t>
  </si>
  <si>
    <t>S удельная =</t>
  </si>
  <si>
    <t>Ц м2 =</t>
  </si>
  <si>
    <t>Цена т. руб. за единицу</t>
  </si>
  <si>
    <t>Сумма (2 * 3) т. руб.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</si>
  <si>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</si>
  <si>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</si>
  <si>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</si>
  <si>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7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</si>
  <si>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</si>
  <si>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</si>
  <si>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</si>
  <si>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</si>
  <si>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</si>
  <si>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</si>
  <si>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</si>
  <si>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Ктз =</t>
  </si>
  <si>
    <t>Расчеты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</si>
  <si>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</si>
  <si>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</si>
  <si>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</si>
  <si>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</si>
  <si>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</si>
  <si>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</si>
  <si>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</si>
  <si>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</si>
  <si>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</si>
  <si>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</si>
  <si>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</si>
  <si>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</si>
  <si>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</si>
  <si>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</si>
  <si>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</si>
  <si>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</si>
  <si>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</si>
  <si>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</si>
  <si>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</si>
  <si>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</si>
  <si>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</si>
  <si>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</si>
  <si>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</si>
  <si>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</si>
  <si>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</si>
  <si>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</si>
  <si>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</si>
  <si>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</si>
  <si>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</si>
  <si>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</si>
  <si>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</si>
  <si>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</si>
  <si>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</si>
  <si>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</si>
  <si>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</si>
  <si>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</si>
  <si>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</si>
  <si>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</si>
  <si>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</si>
  <si>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</si>
  <si>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</si>
  <si>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</si>
  <si>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</si>
  <si>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</si>
  <si>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</si>
  <si>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</si>
  <si>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</si>
  <si>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</si>
  <si>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</si>
  <si>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</si>
  <si>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Все ок</t>
  </si>
  <si>
    <t>Масса заготовки - 11,2 кг.</t>
  </si>
  <si>
    <t>Масса детали - 10,04 кг.</t>
  </si>
  <si>
    <t>Цена 1 кг. материала - 473,7 руб.</t>
  </si>
  <si>
    <t>Цена 1 кг. стружки - 11,23 руб.</t>
  </si>
  <si>
    <t>Годовая производственная программа - 315 000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</si>
</sst>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2"/>
      <color theme="0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0" xfId="1" applyFont="1" applyAlignment="1">
      <alignment wrapText="1"/>
    </xf>
    <xf numFmtId="43" fontId="1" fillId="0" borderId="0" xfId="2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43" fontId="1" fillId="0" borderId="10" xfId="2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4" fillId="3" borderId="56" xfId="0" applyNumberFormat="1" applyFont="1" applyFill="1" applyBorder="1" applyAlignment="1">
      <alignment horizontal="center" vertical="center"/>
    </xf>
    <xf numFmtId="43" fontId="4" fillId="3" borderId="53" xfId="0" applyNumberFormat="1" applyFont="1" applyFill="1" applyBorder="1" applyAlignment="1">
      <alignment horizontal="center" vertical="center"/>
    </xf>
    <xf numFmtId="43" fontId="4" fillId="3" borderId="21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3" fontId="1" fillId="0" borderId="0" xfId="2" applyFont="1" applyAlignment="1">
      <alignment vertical="center" wrapText="1"/>
    </xf>
    <xf numFmtId="43" fontId="1" fillId="0" borderId="26" xfId="0" applyNumberFormat="1" applyFont="1" applyBorder="1" applyAlignment="1">
      <alignment horizontal="center" vertical="center"/>
    </xf>
    <xf numFmtId="43" fontId="1" fillId="0" borderId="1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6" xfId="2" applyFont="1" applyBorder="1" applyAlignment="1">
      <alignment horizontal="center" vertical="center" wrapText="1"/>
    </xf>
    <xf numFmtId="43" fontId="1" fillId="0" borderId="23" xfId="2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vertical="center"/>
    </xf>
    <xf numFmtId="43" fontId="1" fillId="0" borderId="5" xfId="2" applyFont="1" applyBorder="1" applyAlignment="1">
      <alignment horizontal="center" vertical="center" wrapText="1"/>
    </xf>
    <xf numFmtId="43" fontId="1" fillId="0" borderId="8" xfId="2" applyFont="1" applyBorder="1" applyAlignment="1">
      <alignment horizontal="center" vertical="center" wrapText="1"/>
    </xf>
    <xf numFmtId="43" fontId="1" fillId="0" borderId="60" xfId="2" applyFont="1" applyBorder="1" applyAlignment="1">
      <alignment horizontal="center" vertical="center" wrapText="1"/>
    </xf>
    <xf numFmtId="43" fontId="1" fillId="0" borderId="29" xfId="0" applyNumberFormat="1" applyFont="1" applyBorder="1" applyAlignment="1">
      <alignment vertical="center"/>
    </xf>
    <xf numFmtId="43" fontId="1" fillId="0" borderId="61" xfId="2" applyFont="1" applyBorder="1" applyAlignment="1">
      <alignment horizontal="center" vertical="center" wrapText="1"/>
    </xf>
    <xf numFmtId="43" fontId="1" fillId="0" borderId="62" xfId="0" applyNumberFormat="1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7184906" cy="410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75</xdr:row>
      <xdr:rowOff>38100</xdr:rowOff>
    </xdr:from>
    <xdr:to>
      <xdr:col>1</xdr:col>
      <xdr:colOff>1317037</xdr:colOff>
      <xdr:row>97</xdr:row>
      <xdr:rowOff>192463</xdr:rowOff>
    </xdr:to>
    <xdr:grpSp>
      <xdr:nvGrpSpPr>
        <xdr:cNvPr id="3" name="Группа 2"/>
        <xdr:cNvGrpSpPr/>
      </xdr:nvGrpSpPr>
      <xdr:grpSpPr>
        <a:xfrm>
          <a:off x="123825" y="18786088"/>
          <a:ext cx="3864858" cy="5520887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176388</xdr:colOff>
      <xdr:row>220</xdr:row>
      <xdr:rowOff>82314</xdr:rowOff>
    </xdr:from>
    <xdr:to>
      <xdr:col>5</xdr:col>
      <xdr:colOff>703220</xdr:colOff>
      <xdr:row>230</xdr:row>
      <xdr:rowOff>70255</xdr:rowOff>
    </xdr:to>
    <xdr:grpSp>
      <xdr:nvGrpSpPr>
        <xdr:cNvPr id="26" name="Группа 25"/>
        <xdr:cNvGrpSpPr/>
      </xdr:nvGrpSpPr>
      <xdr:grpSpPr>
        <a:xfrm>
          <a:off x="10653888" y="54711674"/>
          <a:ext cx="3941893" cy="2438886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5</xdr:col>
      <xdr:colOff>235185</xdr:colOff>
      <xdr:row>237</xdr:row>
      <xdr:rowOff>47038</xdr:rowOff>
    </xdr:from>
    <xdr:to>
      <xdr:col>6</xdr:col>
      <xdr:colOff>1356645</xdr:colOff>
      <xdr:row>242</xdr:row>
      <xdr:rowOff>90266</xdr:rowOff>
    </xdr:to>
    <xdr:grpSp>
      <xdr:nvGrpSpPr>
        <xdr:cNvPr id="35" name="Группа 34"/>
        <xdr:cNvGrpSpPr/>
      </xdr:nvGrpSpPr>
      <xdr:grpSpPr>
        <a:xfrm>
          <a:off x="14127746" y="59113654"/>
          <a:ext cx="3223929" cy="1262892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6</xdr:col>
      <xdr:colOff>129353</xdr:colOff>
      <xdr:row>268</xdr:row>
      <xdr:rowOff>180539</xdr:rowOff>
    </xdr:from>
    <xdr:to>
      <xdr:col>10</xdr:col>
      <xdr:colOff>801240</xdr:colOff>
      <xdr:row>327</xdr:row>
      <xdr:rowOff>112040</xdr:rowOff>
    </xdr:to>
    <xdr:grpSp>
      <xdr:nvGrpSpPr>
        <xdr:cNvPr id="40" name="Группа 39"/>
        <xdr:cNvGrpSpPr/>
      </xdr:nvGrpSpPr>
      <xdr:grpSpPr>
        <a:xfrm>
          <a:off x="16124383" y="67029777"/>
          <a:ext cx="8071186" cy="15461897"/>
          <a:chOff x="9559087" y="60613089"/>
          <a:chExt cx="7831202" cy="14254279"/>
        </a:xfrm>
      </xdr:grpSpPr>
      <xdr:grpSp>
        <xdr:nvGrpSpPr>
          <xdr:cNvPr id="41" name="Группа 40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51" name="Группа 5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∗𝑆∗(1−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^𝑛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64" name="Рисунок 6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65" name="Рисунок 6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66" name="Рисунок 6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67" name="Рисунок 66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68" name="Рисунок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69" name="Рисунок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70" name="Рисунок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71" name="Рисунок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72" name="Рисунок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44" name="Рисунок 4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45" name="Рисунок 4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46" name="Рисунок 4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7"/>
  <sheetViews>
    <sheetView tabSelected="1" topLeftCell="A54" zoomScale="82" zoomScaleNormal="82" workbookViewId="0">
      <selection activeCell="C61" sqref="C61"/>
    </sheetView>
  </sheetViews>
  <sheetFormatPr defaultRowHeight="19.5" x14ac:dyDescent="0.25"/>
  <cols>
    <col min="1" max="1" width="40.140625" style="73" bestFit="1" customWidth="1"/>
    <col min="2" max="2" width="29.7109375" style="60" bestFit="1" customWidth="1"/>
    <col min="3" max="3" width="52.28515625" style="60" bestFit="1" customWidth="1"/>
    <col min="4" max="4" width="35" style="54" bestFit="1" customWidth="1"/>
    <col min="5" max="5" width="51.28515625" style="45" bestFit="1" customWidth="1"/>
    <col min="6" max="6" width="31.5703125" style="60" bestFit="1" customWidth="1"/>
    <col min="7" max="7" width="51.85546875" style="60" bestFit="1" customWidth="1"/>
    <col min="8" max="8" width="18.42578125" style="60" bestFit="1" customWidth="1"/>
    <col min="9" max="9" width="25.7109375" style="45" bestFit="1" customWidth="1"/>
    <col min="10" max="10" width="14.85546875" style="60" bestFit="1" customWidth="1"/>
    <col min="11" max="11" width="15.42578125" style="60" bestFit="1" customWidth="1"/>
    <col min="12" max="25" width="9.140625" style="60"/>
    <col min="26" max="26" width="13.42578125" style="60" bestFit="1" customWidth="1"/>
    <col min="27" max="27" width="39.42578125" style="60" bestFit="1" customWidth="1"/>
    <col min="28" max="30" width="9.140625" style="60"/>
    <col min="31" max="32" width="13.140625" style="60" bestFit="1" customWidth="1"/>
    <col min="33" max="16384" width="9.140625" style="60"/>
  </cols>
  <sheetData>
    <row r="1" spans="1:32" ht="39.75" thickBot="1" x14ac:dyDescent="0.3">
      <c r="A1" s="1" t="s">
        <v>4</v>
      </c>
      <c r="B1" s="61" t="s">
        <v>0</v>
      </c>
      <c r="C1" s="61" t="s">
        <v>1</v>
      </c>
      <c r="D1" s="1" t="s">
        <v>5</v>
      </c>
      <c r="E1" s="1" t="s">
        <v>6</v>
      </c>
      <c r="F1" s="61" t="s">
        <v>7</v>
      </c>
      <c r="G1" s="61" t="s">
        <v>3</v>
      </c>
      <c r="H1" s="61" t="s">
        <v>2</v>
      </c>
      <c r="I1" s="1" t="s">
        <v>8</v>
      </c>
    </row>
    <row r="2" spans="1:32" ht="20.25" thickBot="1" x14ac:dyDescent="0.3">
      <c r="A2" s="4">
        <v>1</v>
      </c>
      <c r="B2" s="62" t="s">
        <v>9</v>
      </c>
      <c r="C2" s="62" t="s">
        <v>15</v>
      </c>
      <c r="D2" s="56">
        <v>2</v>
      </c>
      <c r="E2" s="48">
        <v>183</v>
      </c>
      <c r="F2" s="128">
        <v>0.57999999999999996</v>
      </c>
      <c r="G2" s="62">
        <v>29</v>
      </c>
      <c r="H2" s="63">
        <v>7.5</v>
      </c>
      <c r="I2" s="48">
        <v>26</v>
      </c>
      <c r="Z2" s="60" t="s">
        <v>90</v>
      </c>
      <c r="AA2" s="60" t="s">
        <v>98</v>
      </c>
    </row>
    <row r="3" spans="1:32" ht="20.25" thickBot="1" x14ac:dyDescent="0.3">
      <c r="A3" s="5">
        <v>2</v>
      </c>
      <c r="B3" s="64" t="s">
        <v>9</v>
      </c>
      <c r="C3" s="62" t="s">
        <v>15</v>
      </c>
      <c r="D3" s="3">
        <v>3</v>
      </c>
      <c r="E3" s="3">
        <v>283</v>
      </c>
      <c r="F3" s="127">
        <v>2.36</v>
      </c>
      <c r="G3" s="64">
        <v>40</v>
      </c>
      <c r="H3" s="63">
        <v>5.5</v>
      </c>
      <c r="I3" s="48">
        <v>26</v>
      </c>
      <c r="Z3" s="60" t="s">
        <v>91</v>
      </c>
      <c r="AA3" s="60" t="s">
        <v>99</v>
      </c>
      <c r="AE3" s="78">
        <f>I2*D2</f>
        <v>52</v>
      </c>
      <c r="AF3" s="78">
        <f>G2*D2</f>
        <v>58</v>
      </c>
    </row>
    <row r="4" spans="1:32" x14ac:dyDescent="0.25">
      <c r="A4" s="5">
        <v>3</v>
      </c>
      <c r="B4" s="64" t="s">
        <v>9</v>
      </c>
      <c r="C4" s="62" t="s">
        <v>15</v>
      </c>
      <c r="D4" s="3">
        <v>2</v>
      </c>
      <c r="E4" s="3">
        <v>83</v>
      </c>
      <c r="F4" s="127">
        <v>0.76</v>
      </c>
      <c r="G4" s="64">
        <v>38</v>
      </c>
      <c r="H4" s="63">
        <v>15.5</v>
      </c>
      <c r="I4" s="48">
        <v>26</v>
      </c>
      <c r="Z4" s="60" t="s">
        <v>92</v>
      </c>
      <c r="AA4" s="60" t="s">
        <v>100</v>
      </c>
      <c r="AE4" s="78">
        <f t="shared" ref="AE4:AE9" si="0">I3*D3</f>
        <v>78</v>
      </c>
      <c r="AF4" s="78">
        <f>G3*D3</f>
        <v>120</v>
      </c>
    </row>
    <row r="5" spans="1:32" x14ac:dyDescent="0.25">
      <c r="A5" s="5">
        <v>4</v>
      </c>
      <c r="B5" s="64" t="s">
        <v>10</v>
      </c>
      <c r="C5" s="64" t="s">
        <v>16</v>
      </c>
      <c r="D5" s="3">
        <v>4</v>
      </c>
      <c r="E5" s="3">
        <v>387</v>
      </c>
      <c r="F5" s="127">
        <v>0.42599999999999999</v>
      </c>
      <c r="G5" s="64">
        <v>21</v>
      </c>
      <c r="H5" s="64">
        <v>18</v>
      </c>
      <c r="I5" s="3">
        <v>46</v>
      </c>
      <c r="Z5" s="60" t="s">
        <v>93</v>
      </c>
      <c r="AA5" s="60" t="s">
        <v>101</v>
      </c>
      <c r="AE5" s="78">
        <f t="shared" si="0"/>
        <v>52</v>
      </c>
      <c r="AF5" s="78">
        <f t="shared" ref="AF5:AF10" si="1">G4*D4</f>
        <v>76</v>
      </c>
    </row>
    <row r="6" spans="1:32" x14ac:dyDescent="0.25">
      <c r="A6" s="5">
        <v>5</v>
      </c>
      <c r="B6" s="64" t="s">
        <v>11</v>
      </c>
      <c r="C6" s="64" t="s">
        <v>14</v>
      </c>
      <c r="D6" s="3">
        <v>8</v>
      </c>
      <c r="E6" s="3">
        <v>292</v>
      </c>
      <c r="F6" s="127">
        <v>0.51500000000000001</v>
      </c>
      <c r="G6" s="64">
        <v>26</v>
      </c>
      <c r="H6" s="64">
        <v>18</v>
      </c>
      <c r="I6" s="3">
        <v>20</v>
      </c>
      <c r="Z6" s="60" t="s">
        <v>94</v>
      </c>
      <c r="AA6" s="60" t="s">
        <v>102</v>
      </c>
      <c r="AE6" s="78">
        <f>I5*D5</f>
        <v>184</v>
      </c>
      <c r="AF6" s="78">
        <f t="shared" si="1"/>
        <v>84</v>
      </c>
    </row>
    <row r="7" spans="1:32" x14ac:dyDescent="0.25">
      <c r="A7" s="5">
        <v>6</v>
      </c>
      <c r="B7" s="64" t="s">
        <v>12</v>
      </c>
      <c r="C7" s="64" t="s">
        <v>17</v>
      </c>
      <c r="D7" s="3">
        <v>3</v>
      </c>
      <c r="E7" s="3">
        <v>445</v>
      </c>
      <c r="F7" s="127">
        <v>1.766</v>
      </c>
      <c r="G7" s="63">
        <v>44.5</v>
      </c>
      <c r="H7" s="64">
        <v>24</v>
      </c>
      <c r="I7" s="3">
        <v>13</v>
      </c>
      <c r="Z7" s="60" t="s">
        <v>95</v>
      </c>
      <c r="AA7" s="60" t="s">
        <v>103</v>
      </c>
      <c r="AE7" s="78">
        <f t="shared" si="0"/>
        <v>160</v>
      </c>
      <c r="AF7" s="78">
        <f t="shared" si="1"/>
        <v>208</v>
      </c>
    </row>
    <row r="8" spans="1:32" x14ac:dyDescent="0.25">
      <c r="A8" s="5">
        <v>7</v>
      </c>
      <c r="B8" s="64" t="s">
        <v>11</v>
      </c>
      <c r="C8" s="64" t="s">
        <v>14</v>
      </c>
      <c r="D8" s="3">
        <v>4</v>
      </c>
      <c r="E8" s="3">
        <v>774</v>
      </c>
      <c r="F8" s="127">
        <v>0.71</v>
      </c>
      <c r="G8" s="64">
        <v>36</v>
      </c>
      <c r="H8" s="64">
        <v>18</v>
      </c>
      <c r="I8" s="3">
        <v>20</v>
      </c>
      <c r="Z8" s="60" t="s">
        <v>96</v>
      </c>
      <c r="AA8" s="60" t="s">
        <v>104</v>
      </c>
      <c r="AE8" s="78">
        <f t="shared" si="0"/>
        <v>39</v>
      </c>
      <c r="AF8" s="78">
        <f t="shared" si="1"/>
        <v>133.5</v>
      </c>
    </row>
    <row r="9" spans="1:32" ht="20.25" thickBot="1" x14ac:dyDescent="0.3">
      <c r="A9" s="51">
        <v>8</v>
      </c>
      <c r="B9" s="65" t="s">
        <v>13</v>
      </c>
      <c r="C9" s="65" t="s">
        <v>18</v>
      </c>
      <c r="D9" s="57">
        <v>2</v>
      </c>
      <c r="E9" s="49">
        <v>578</v>
      </c>
      <c r="F9" s="129">
        <v>2.4</v>
      </c>
      <c r="G9" s="65">
        <v>40</v>
      </c>
      <c r="H9" s="65">
        <v>10</v>
      </c>
      <c r="I9" s="49">
        <v>30</v>
      </c>
      <c r="Z9" s="60" t="s">
        <v>97</v>
      </c>
      <c r="AE9" s="78">
        <f t="shared" si="0"/>
        <v>80</v>
      </c>
      <c r="AF9" s="78">
        <f t="shared" si="1"/>
        <v>144</v>
      </c>
    </row>
    <row r="10" spans="1:32" x14ac:dyDescent="0.25">
      <c r="A10" s="45"/>
      <c r="AE10" s="78">
        <f>I9*D9</f>
        <v>60</v>
      </c>
      <c r="AF10" s="78">
        <f t="shared" si="1"/>
        <v>80</v>
      </c>
    </row>
    <row r="11" spans="1:32" ht="19.5" customHeight="1" x14ac:dyDescent="0.25">
      <c r="A11" s="134" t="s">
        <v>181</v>
      </c>
      <c r="B11" s="134"/>
      <c r="C11" s="77"/>
      <c r="D11" s="77"/>
      <c r="E11" s="77"/>
      <c r="AE11" s="79">
        <f>SUM(AE3:AE10)</f>
        <v>705</v>
      </c>
      <c r="AF11" s="79">
        <f>SUM(AF3:AF10)</f>
        <v>903.5</v>
      </c>
    </row>
    <row r="12" spans="1:32" x14ac:dyDescent="0.25">
      <c r="A12" s="77" t="s">
        <v>19</v>
      </c>
      <c r="B12" s="77"/>
      <c r="C12" s="77"/>
    </row>
    <row r="13" spans="1:32" x14ac:dyDescent="0.25">
      <c r="A13" s="77" t="s">
        <v>177</v>
      </c>
      <c r="B13" s="77">
        <v>11.2</v>
      </c>
      <c r="C13" s="77"/>
    </row>
    <row r="14" spans="1:32" x14ac:dyDescent="0.25">
      <c r="A14" s="77" t="s">
        <v>178</v>
      </c>
      <c r="B14" s="77">
        <v>10.039999999999999</v>
      </c>
      <c r="C14" s="77"/>
    </row>
    <row r="15" spans="1:32" x14ac:dyDescent="0.25">
      <c r="A15" s="77" t="s">
        <v>179</v>
      </c>
      <c r="B15" s="77">
        <v>473.7</v>
      </c>
      <c r="C15" s="77"/>
    </row>
    <row r="16" spans="1:32" x14ac:dyDescent="0.25">
      <c r="A16" s="77" t="s">
        <v>180</v>
      </c>
      <c r="B16" s="77">
        <v>11.23</v>
      </c>
      <c r="C16" s="77"/>
    </row>
    <row r="17" spans="1:5" x14ac:dyDescent="0.25">
      <c r="A17" s="77" t="s">
        <v>20</v>
      </c>
      <c r="B17" s="77"/>
      <c r="C17" s="77"/>
    </row>
    <row r="18" spans="1:5" ht="20.25" thickBot="1" x14ac:dyDescent="0.3">
      <c r="A18" s="45"/>
    </row>
    <row r="19" spans="1:5" ht="20.25" thickBot="1" x14ac:dyDescent="0.3">
      <c r="A19" s="137" t="s">
        <v>21</v>
      </c>
      <c r="B19" s="138"/>
      <c r="C19" s="138"/>
      <c r="D19" s="1" t="s">
        <v>27</v>
      </c>
      <c r="E19" s="1" t="s">
        <v>28</v>
      </c>
    </row>
    <row r="20" spans="1:5" x14ac:dyDescent="0.25">
      <c r="A20" s="139" t="s">
        <v>22</v>
      </c>
      <c r="B20" s="140"/>
      <c r="C20" s="141"/>
      <c r="D20" s="2" t="s">
        <v>26</v>
      </c>
      <c r="E20" s="2">
        <v>40</v>
      </c>
    </row>
    <row r="21" spans="1:5" x14ac:dyDescent="0.25">
      <c r="A21" s="142" t="s">
        <v>23</v>
      </c>
      <c r="B21" s="143"/>
      <c r="C21" s="144"/>
      <c r="D21" s="3" t="s">
        <v>26</v>
      </c>
      <c r="E21" s="3">
        <v>12</v>
      </c>
    </row>
    <row r="22" spans="1:5" x14ac:dyDescent="0.25">
      <c r="A22" s="142" t="s">
        <v>24</v>
      </c>
      <c r="B22" s="143"/>
      <c r="C22" s="144"/>
      <c r="D22" s="3"/>
      <c r="E22" s="3">
        <v>6</v>
      </c>
    </row>
    <row r="23" spans="1:5" ht="20.25" thickBot="1" x14ac:dyDescent="0.3">
      <c r="A23" s="131" t="s">
        <v>25</v>
      </c>
      <c r="B23" s="132"/>
      <c r="C23" s="133"/>
      <c r="D23" s="57"/>
      <c r="E23" s="49">
        <v>5</v>
      </c>
    </row>
    <row r="24" spans="1:5" x14ac:dyDescent="0.25">
      <c r="A24" s="45"/>
    </row>
    <row r="25" spans="1:5" x14ac:dyDescent="0.25">
      <c r="A25" s="45"/>
    </row>
    <row r="26" spans="1:5" x14ac:dyDescent="0.25">
      <c r="A26" s="134" t="s">
        <v>77</v>
      </c>
      <c r="B26" s="134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9" x14ac:dyDescent="0.25">
      <c r="A33" s="45"/>
    </row>
    <row r="34" spans="1:9" x14ac:dyDescent="0.25">
      <c r="A34" s="45"/>
    </row>
    <row r="35" spans="1:9" x14ac:dyDescent="0.25">
      <c r="A35" s="45"/>
    </row>
    <row r="36" spans="1:9" x14ac:dyDescent="0.25">
      <c r="A36" s="45"/>
    </row>
    <row r="37" spans="1:9" x14ac:dyDescent="0.25">
      <c r="A37" s="45"/>
    </row>
    <row r="38" spans="1:9" x14ac:dyDescent="0.25">
      <c r="A38" s="45"/>
    </row>
    <row r="39" spans="1:9" x14ac:dyDescent="0.25">
      <c r="A39" s="45"/>
    </row>
    <row r="40" spans="1:9" x14ac:dyDescent="0.25">
      <c r="A40" s="45"/>
    </row>
    <row r="41" spans="1:9" x14ac:dyDescent="0.25">
      <c r="A41" s="45"/>
    </row>
    <row r="42" spans="1:9" x14ac:dyDescent="0.25">
      <c r="A42" s="45"/>
    </row>
    <row r="43" spans="1:9" x14ac:dyDescent="0.25">
      <c r="A43" s="45"/>
    </row>
    <row r="44" spans="1:9" x14ac:dyDescent="0.25">
      <c r="A44" s="134" t="s">
        <v>78</v>
      </c>
      <c r="B44" s="134"/>
      <c r="D44" s="54" t="s">
        <v>82</v>
      </c>
    </row>
    <row r="45" spans="1:9" x14ac:dyDescent="0.4">
      <c r="A45" s="134" t="s">
        <v>29</v>
      </c>
      <c r="B45" s="134"/>
      <c r="C45" s="45">
        <f>ROUND(SUM(D2:D9),2)</f>
        <v>28</v>
      </c>
      <c r="D45" s="6" t="s">
        <v>31</v>
      </c>
      <c r="E45" s="6">
        <v>2</v>
      </c>
      <c r="H45" s="45"/>
      <c r="I45" s="60"/>
    </row>
    <row r="46" spans="1:9" x14ac:dyDescent="0.4">
      <c r="A46" s="134" t="str">
        <f>"R списочное = (1 + "&amp;E49&amp;") * "&amp;E45&amp;" * "&amp;C45&amp;" ="</f>
        <v>R списочное = (1 + 0,11) * 2 * 28 =</v>
      </c>
      <c r="B46" s="134"/>
      <c r="C46" s="45">
        <f>ROUND((1+E49)*E45*C45,0)</f>
        <v>62</v>
      </c>
      <c r="D46" s="6" t="s">
        <v>30</v>
      </c>
      <c r="E46" s="20">
        <f>IF(E47&gt;100000,7%,5%)</f>
        <v>7.0000000000000007E-2</v>
      </c>
      <c r="H46" s="45"/>
      <c r="I46" s="60"/>
    </row>
    <row r="47" spans="1:9" x14ac:dyDescent="0.4">
      <c r="A47" s="134" t="str">
        <f>"R контроллеров = "&amp;C46&amp;" * "&amp;E46&amp;" ="</f>
        <v>R контроллеров = 62 * 0,07 =</v>
      </c>
      <c r="B47" s="134"/>
      <c r="C47" s="45">
        <f>ROUND(C46*E46,2)</f>
        <v>4.34</v>
      </c>
      <c r="D47" s="6" t="s">
        <v>45</v>
      </c>
      <c r="E47" s="21">
        <v>315000</v>
      </c>
      <c r="H47" s="45"/>
      <c r="I47" s="60"/>
    </row>
    <row r="48" spans="1:9" x14ac:dyDescent="0.4">
      <c r="A48" s="134" t="str">
        <f>"R раздатчиков инструментов = "&amp;C46&amp;"/33 ="</f>
        <v>R раздатчиков инструментов = 62/33 =</v>
      </c>
      <c r="B48" s="134"/>
      <c r="C48" s="45">
        <f>ROUND(C46/33,2)</f>
        <v>1.88</v>
      </c>
      <c r="D48" s="6" t="s">
        <v>85</v>
      </c>
      <c r="E48" s="22">
        <f>IF(E47&gt;100000,102.61,124.36)</f>
        <v>102.61</v>
      </c>
      <c r="H48" s="45"/>
      <c r="I48" s="60"/>
    </row>
    <row r="49" spans="1:9" ht="19.5" customHeight="1" x14ac:dyDescent="0.4">
      <c r="A49" s="134" t="str">
        <f>"R слесарей ремонтников = 10% * "&amp;C45&amp;" * "&amp;E45&amp;" ="</f>
        <v>R слесарей ремонтников = 10% * 28 * 2 =</v>
      </c>
      <c r="B49" s="134"/>
      <c r="C49" s="45">
        <f>ROUND(10%*C45*E45,2)</f>
        <v>5.6</v>
      </c>
      <c r="D49" s="6" t="s">
        <v>47</v>
      </c>
      <c r="E49" s="6">
        <v>0.11</v>
      </c>
      <c r="H49" s="45"/>
      <c r="I49" s="60"/>
    </row>
    <row r="50" spans="1:9" x14ac:dyDescent="0.4">
      <c r="A50" s="134" t="str">
        <f>"R дежурный э/м = ("&amp;C45&amp;" * "&amp;E45&amp;")/100 ="</f>
        <v>R дежурный э/м = (28 * 2)/100 =</v>
      </c>
      <c r="B50" s="134"/>
      <c r="C50" s="45">
        <f>ROUND(($C$45*$E$45)/100,2)</f>
        <v>0.56000000000000005</v>
      </c>
      <c r="D50" s="6" t="s">
        <v>84</v>
      </c>
      <c r="E50" s="6">
        <v>1.1499999999999999</v>
      </c>
      <c r="H50" s="45"/>
      <c r="I50" s="60"/>
    </row>
    <row r="51" spans="1:9" x14ac:dyDescent="0.25">
      <c r="A51" s="134" t="str">
        <f>"R дежурный рем. слесарей = ("&amp;C45&amp;" * "&amp;E45&amp;")/25 ="</f>
        <v>R дежурный рем. слесарей = (28 * 2)/25 =</v>
      </c>
      <c r="B51" s="134"/>
      <c r="C51" s="45">
        <f>ROUND(($C$45*$E$45)/25,2)</f>
        <v>2.2400000000000002</v>
      </c>
    </row>
    <row r="52" spans="1:9" x14ac:dyDescent="0.25">
      <c r="A52" s="134" t="str">
        <f>"R уборщиц = 2% * "&amp;C46&amp;" ="</f>
        <v>R уборщиц = 2% * 62 =</v>
      </c>
      <c r="B52" s="134"/>
      <c r="C52" s="45">
        <f>ROUND(2%*C46,2)</f>
        <v>1.24</v>
      </c>
    </row>
    <row r="53" spans="1:9" x14ac:dyDescent="0.25">
      <c r="A53" s="134" t="s">
        <v>32</v>
      </c>
      <c r="B53" s="134"/>
      <c r="C53" s="45">
        <f>ROUND(C49,2)</f>
        <v>5.6</v>
      </c>
    </row>
    <row r="54" spans="1:9" x14ac:dyDescent="0.25">
      <c r="A54" s="134" t="s">
        <v>33</v>
      </c>
      <c r="B54" s="134"/>
      <c r="C54" s="45">
        <f>ROUND(SUM(C47:C53),2)</f>
        <v>21.46</v>
      </c>
    </row>
    <row r="55" spans="1:9" x14ac:dyDescent="0.25">
      <c r="A55" s="134" t="str">
        <f>"R рсс = "&amp;C46&amp;"/20 ="</f>
        <v>R рсс = 62/20 =</v>
      </c>
      <c r="B55" s="134"/>
      <c r="C55" s="45">
        <f>ROUND(C46/20,2)</f>
        <v>3.1</v>
      </c>
    </row>
    <row r="56" spans="1:9" ht="20.25" thickBot="1" x14ac:dyDescent="0.3">
      <c r="A56" s="145" t="s">
        <v>79</v>
      </c>
      <c r="B56" s="145"/>
    </row>
    <row r="57" spans="1:9" ht="20.25" thickBot="1" x14ac:dyDescent="0.3">
      <c r="A57" s="137" t="s">
        <v>35</v>
      </c>
      <c r="B57" s="138"/>
      <c r="C57" s="138"/>
      <c r="D57" s="138"/>
      <c r="E57" s="146"/>
    </row>
    <row r="58" spans="1:9" ht="20.25" thickBot="1" x14ac:dyDescent="0.3">
      <c r="A58" s="135" t="s">
        <v>36</v>
      </c>
      <c r="B58" s="147" t="s">
        <v>34</v>
      </c>
      <c r="C58" s="135" t="s">
        <v>37</v>
      </c>
      <c r="D58" s="149" t="s">
        <v>38</v>
      </c>
      <c r="E58" s="150"/>
    </row>
    <row r="59" spans="1:9" ht="20.25" thickBot="1" x14ac:dyDescent="0.3">
      <c r="A59" s="136"/>
      <c r="B59" s="148"/>
      <c r="C59" s="136"/>
      <c r="D59" s="55" t="s">
        <v>39</v>
      </c>
      <c r="E59" s="1" t="s">
        <v>40</v>
      </c>
    </row>
    <row r="60" spans="1:9" ht="20.25" thickBot="1" x14ac:dyDescent="0.3">
      <c r="A60" s="48" t="s">
        <v>41</v>
      </c>
      <c r="B60" s="50">
        <f>C46</f>
        <v>62</v>
      </c>
      <c r="C60" s="9">
        <f>ROUND(((B60/B$63)*100),2)</f>
        <v>71.63</v>
      </c>
      <c r="D60" s="58">
        <f>($B60/2)</f>
        <v>31</v>
      </c>
      <c r="E60" s="52">
        <f>($B60/2)</f>
        <v>31</v>
      </c>
    </row>
    <row r="61" spans="1:9" ht="20.25" thickBot="1" x14ac:dyDescent="0.3">
      <c r="A61" s="3" t="s">
        <v>42</v>
      </c>
      <c r="B61" s="11">
        <f>C54</f>
        <v>21.46</v>
      </c>
      <c r="C61" s="9">
        <f t="shared" ref="C61:C62" si="2">ROUND(((B61/B$63)*100),2)</f>
        <v>24.79</v>
      </c>
      <c r="D61" s="59">
        <f>ROUND(($B61/2),2)</f>
        <v>10.73</v>
      </c>
      <c r="E61" s="53">
        <f>ROUND(($B61/2),2)</f>
        <v>10.73</v>
      </c>
    </row>
    <row r="62" spans="1:9" ht="20.25" thickBot="1" x14ac:dyDescent="0.3">
      <c r="A62" s="10" t="s">
        <v>43</v>
      </c>
      <c r="B62" s="11">
        <f>C55</f>
        <v>3.1</v>
      </c>
      <c r="C62" s="9">
        <f t="shared" si="2"/>
        <v>3.58</v>
      </c>
      <c r="D62" s="59">
        <f>ROUND(($B62/2),2)</f>
        <v>1.55</v>
      </c>
      <c r="E62" s="53">
        <f>ROUND(($B62/2),2)</f>
        <v>1.55</v>
      </c>
    </row>
    <row r="63" spans="1:9" ht="20.25" thickBot="1" x14ac:dyDescent="0.3">
      <c r="A63" s="1" t="s">
        <v>44</v>
      </c>
      <c r="B63" s="46">
        <f>SUM(B60:B62)</f>
        <v>86.56</v>
      </c>
      <c r="C63" s="1">
        <f>SUM(C60:C62)</f>
        <v>99.999999999999986</v>
      </c>
      <c r="D63" s="55">
        <f>SUM(D60:D62)</f>
        <v>43.28</v>
      </c>
      <c r="E63" s="47">
        <f>SUM(E60:E62)</f>
        <v>43.28</v>
      </c>
    </row>
    <row r="64" spans="1:9" x14ac:dyDescent="0.25">
      <c r="A64" s="45"/>
    </row>
    <row r="65" spans="1:3" ht="20.25" thickBot="1" x14ac:dyDescent="0.3">
      <c r="A65" s="45" t="s">
        <v>80</v>
      </c>
    </row>
    <row r="66" spans="1:3" ht="20.25" thickBot="1" x14ac:dyDescent="0.3">
      <c r="A66" s="61" t="s">
        <v>69</v>
      </c>
      <c r="B66" s="66" t="s">
        <v>70</v>
      </c>
      <c r="C66" s="66" t="s">
        <v>46</v>
      </c>
    </row>
    <row r="67" spans="1:3" x14ac:dyDescent="0.25">
      <c r="A67" s="2" t="s">
        <v>60</v>
      </c>
      <c r="B67" s="67">
        <v>3</v>
      </c>
      <c r="C67" s="67">
        <v>88.51</v>
      </c>
    </row>
    <row r="68" spans="1:3" x14ac:dyDescent="0.25">
      <c r="A68" s="3" t="s">
        <v>61</v>
      </c>
      <c r="B68" s="68">
        <v>2</v>
      </c>
      <c r="C68" s="68">
        <v>80.400000000000006</v>
      </c>
    </row>
    <row r="69" spans="1:3" x14ac:dyDescent="0.25">
      <c r="A69" s="3" t="s">
        <v>62</v>
      </c>
      <c r="B69" s="68">
        <v>5</v>
      </c>
      <c r="C69" s="68">
        <v>113.59</v>
      </c>
    </row>
    <row r="70" spans="1:3" x14ac:dyDescent="0.25">
      <c r="A70" s="3" t="s">
        <v>63</v>
      </c>
      <c r="B70" s="68">
        <v>4</v>
      </c>
      <c r="C70" s="68">
        <v>99.58</v>
      </c>
    </row>
    <row r="71" spans="1:3" x14ac:dyDescent="0.25">
      <c r="A71" s="3" t="s">
        <v>64</v>
      </c>
      <c r="B71" s="68">
        <v>4</v>
      </c>
      <c r="C71" s="68">
        <v>99.58</v>
      </c>
    </row>
    <row r="72" spans="1:3" x14ac:dyDescent="0.25">
      <c r="A72" s="3" t="s">
        <v>65</v>
      </c>
      <c r="B72" s="68">
        <v>1</v>
      </c>
      <c r="C72" s="68">
        <v>73.760000000000005</v>
      </c>
    </row>
    <row r="73" spans="1:3" ht="20.25" thickBot="1" x14ac:dyDescent="0.3">
      <c r="A73" s="49" t="s">
        <v>66</v>
      </c>
      <c r="B73" s="69">
        <v>6</v>
      </c>
      <c r="C73" s="69">
        <v>132.77000000000001</v>
      </c>
    </row>
    <row r="74" spans="1:3" x14ac:dyDescent="0.25">
      <c r="A74" s="45"/>
    </row>
    <row r="75" spans="1:3" x14ac:dyDescent="0.25">
      <c r="A75" s="134" t="s">
        <v>81</v>
      </c>
      <c r="B75" s="134"/>
    </row>
    <row r="76" spans="1:3" x14ac:dyDescent="0.25">
      <c r="A76" s="45"/>
    </row>
    <row r="77" spans="1:3" x14ac:dyDescent="0.25">
      <c r="A77" s="45"/>
    </row>
    <row r="78" spans="1:3" x14ac:dyDescent="0.25">
      <c r="A78" s="45"/>
    </row>
    <row r="79" spans="1:3" x14ac:dyDescent="0.25">
      <c r="A79" s="45"/>
    </row>
    <row r="80" spans="1:3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4" x14ac:dyDescent="0.25">
      <c r="A97" s="45"/>
    </row>
    <row r="98" spans="1:4" x14ac:dyDescent="0.25">
      <c r="A98" s="45"/>
    </row>
    <row r="99" spans="1:4" x14ac:dyDescent="0.25">
      <c r="A99" s="45"/>
    </row>
    <row r="100" spans="1:4" x14ac:dyDescent="0.25">
      <c r="A100" s="134" t="s">
        <v>83</v>
      </c>
      <c r="B100" s="134"/>
    </row>
    <row r="101" spans="1:4" x14ac:dyDescent="0.4">
      <c r="A101" s="130" t="str">
        <f xml:space="preserve"> "Год. выработка на 1 работающего = "&amp;E47&amp;"/"&amp;B63&amp;" ="</f>
        <v>Год. выработка на 1 работающего = 315000/86,56 =</v>
      </c>
      <c r="B101" s="130"/>
      <c r="C101" s="130"/>
      <c r="D101" s="88">
        <f>ROUND(E$47/B63,0)</f>
        <v>3639</v>
      </c>
    </row>
    <row r="102" spans="1:4" x14ac:dyDescent="0.4">
      <c r="A102" s="130" t="str">
        <f>"Год. выработка на 1 рабочего = "&amp;E47&amp;"/"&amp;C46&amp;" ="</f>
        <v>Год. выработка на 1 рабочего = 315000/62 =</v>
      </c>
      <c r="B102" s="130"/>
      <c r="C102" s="130"/>
      <c r="D102" s="88">
        <f>ROUND(E$47/C46,0)</f>
        <v>5081</v>
      </c>
    </row>
    <row r="103" spans="1:4" x14ac:dyDescent="0.4">
      <c r="A103" s="130" t="str">
        <f>"Мес. выработка на 1 работающего = "&amp;D101&amp;"/12 ="</f>
        <v>Мес. выработка на 1 работающего = 3639/12 =</v>
      </c>
      <c r="B103" s="130"/>
      <c r="C103" s="130"/>
      <c r="D103" s="88">
        <f>ROUND(D101/12,0)</f>
        <v>303</v>
      </c>
    </row>
    <row r="104" spans="1:4" x14ac:dyDescent="0.4">
      <c r="A104" s="130" t="str">
        <f>"Мес. выработка на 1 рабочего = "&amp;D102&amp;"/12 ="</f>
        <v>Мес. выработка на 1 рабочего = 5081/12 =</v>
      </c>
      <c r="B104" s="130"/>
      <c r="C104" s="130"/>
      <c r="D104" s="88">
        <f>ROUND(D102/12,0)</f>
        <v>423</v>
      </c>
    </row>
    <row r="105" spans="1:4" x14ac:dyDescent="0.4">
      <c r="A105" s="130" t="str">
        <f t="shared" ref="A105:A112" si="3">"Сдельная расценка "&amp;Z2&amp;" = ("&amp;F2&amp;" * "&amp;E$48&amp;")/60 ="</f>
        <v>Сдельная расценка 1 рабочего = (0,58 * 102,61)/60 =</v>
      </c>
      <c r="B105" s="130"/>
      <c r="C105" s="130"/>
      <c r="D105" s="88">
        <f t="shared" ref="D105:D112" si="4">ROUND((F2*E$48)/60,2)</f>
        <v>0.99</v>
      </c>
    </row>
    <row r="106" spans="1:4" x14ac:dyDescent="0.4">
      <c r="A106" s="130" t="str">
        <f t="shared" si="3"/>
        <v>Сдельная расценка 2 рабочего = (2,36 * 102,61)/60 =</v>
      </c>
      <c r="B106" s="130"/>
      <c r="C106" s="130"/>
      <c r="D106" s="88">
        <f t="shared" si="4"/>
        <v>4.04</v>
      </c>
    </row>
    <row r="107" spans="1:4" x14ac:dyDescent="0.4">
      <c r="A107" s="130" t="str">
        <f t="shared" si="3"/>
        <v>Сдельная расценка 3 рабочего = (0,76 * 102,61)/60 =</v>
      </c>
      <c r="B107" s="130"/>
      <c r="C107" s="130"/>
      <c r="D107" s="88">
        <f t="shared" si="4"/>
        <v>1.3</v>
      </c>
    </row>
    <row r="108" spans="1:4" x14ac:dyDescent="0.4">
      <c r="A108" s="130" t="str">
        <f t="shared" si="3"/>
        <v>Сдельная расценка 4 рабочего = (0,426 * 102,61)/60 =</v>
      </c>
      <c r="B108" s="130"/>
      <c r="C108" s="130"/>
      <c r="D108" s="88">
        <f t="shared" si="4"/>
        <v>0.73</v>
      </c>
    </row>
    <row r="109" spans="1:4" x14ac:dyDescent="0.4">
      <c r="A109" s="130" t="str">
        <f t="shared" si="3"/>
        <v>Сдельная расценка 5 рабочего = (0,515 * 102,61)/60 =</v>
      </c>
      <c r="B109" s="130"/>
      <c r="C109" s="130"/>
      <c r="D109" s="88">
        <f t="shared" si="4"/>
        <v>0.88</v>
      </c>
    </row>
    <row r="110" spans="1:4" x14ac:dyDescent="0.4">
      <c r="A110" s="130" t="str">
        <f t="shared" si="3"/>
        <v>Сдельная расценка 6 рабочего = (1,766 * 102,61)/60 =</v>
      </c>
      <c r="B110" s="130"/>
      <c r="C110" s="130"/>
      <c r="D110" s="88">
        <f t="shared" si="4"/>
        <v>3.02</v>
      </c>
    </row>
    <row r="111" spans="1:4" x14ac:dyDescent="0.4">
      <c r="A111" s="130" t="str">
        <f t="shared" si="3"/>
        <v>Сдельная расценка 7 рабочего = (0,71 * 102,61)/60 =</v>
      </c>
      <c r="B111" s="130"/>
      <c r="C111" s="130"/>
      <c r="D111" s="88">
        <f t="shared" si="4"/>
        <v>1.21</v>
      </c>
    </row>
    <row r="112" spans="1:4" x14ac:dyDescent="0.4">
      <c r="A112" s="130" t="str">
        <f t="shared" si="3"/>
        <v>Сдельная расценка 8 рабочего = (2,4 * 102,61)/60 =</v>
      </c>
      <c r="B112" s="130"/>
      <c r="C112" s="130"/>
      <c r="D112" s="88">
        <f t="shared" si="4"/>
        <v>4.0999999999999996</v>
      </c>
    </row>
    <row r="113" spans="1:4" x14ac:dyDescent="0.4">
      <c r="A113" s="130" t="str">
        <f t="shared" ref="A113:A120" si="5">"прямая ЗП "&amp;Z2&amp;" = "&amp;E$47&amp;" * "&amp;D105&amp;" ="</f>
        <v>прямая ЗП 1 рабочего = 315000 * 0,99 =</v>
      </c>
      <c r="B113" s="130"/>
      <c r="C113" s="130"/>
      <c r="D113" s="88">
        <f t="shared" ref="D113:D120" si="6">ROUND(E$47*D105,2)</f>
        <v>311850</v>
      </c>
    </row>
    <row r="114" spans="1:4" x14ac:dyDescent="0.4">
      <c r="A114" s="130" t="str">
        <f t="shared" si="5"/>
        <v>прямая ЗП 2 рабочего = 315000 * 4,04 =</v>
      </c>
      <c r="B114" s="130"/>
      <c r="C114" s="130"/>
      <c r="D114" s="88">
        <f t="shared" si="6"/>
        <v>1272600</v>
      </c>
    </row>
    <row r="115" spans="1:4" x14ac:dyDescent="0.4">
      <c r="A115" s="130" t="str">
        <f t="shared" si="5"/>
        <v>прямая ЗП 3 рабочего = 315000 * 1,3 =</v>
      </c>
      <c r="B115" s="130"/>
      <c r="C115" s="130"/>
      <c r="D115" s="88">
        <f t="shared" si="6"/>
        <v>409500</v>
      </c>
    </row>
    <row r="116" spans="1:4" x14ac:dyDescent="0.4">
      <c r="A116" s="130" t="str">
        <f t="shared" si="5"/>
        <v>прямая ЗП 4 рабочего = 315000 * 0,73 =</v>
      </c>
      <c r="B116" s="130"/>
      <c r="C116" s="130"/>
      <c r="D116" s="88">
        <f t="shared" si="6"/>
        <v>229950</v>
      </c>
    </row>
    <row r="117" spans="1:4" x14ac:dyDescent="0.4">
      <c r="A117" s="130" t="str">
        <f t="shared" si="5"/>
        <v>прямая ЗП 5 рабочего = 315000 * 0,88 =</v>
      </c>
      <c r="B117" s="130"/>
      <c r="C117" s="130"/>
      <c r="D117" s="88">
        <f t="shared" si="6"/>
        <v>277200</v>
      </c>
    </row>
    <row r="118" spans="1:4" x14ac:dyDescent="0.4">
      <c r="A118" s="130" t="str">
        <f t="shared" si="5"/>
        <v>прямая ЗП 6 рабочего = 315000 * 3,02 =</v>
      </c>
      <c r="B118" s="130"/>
      <c r="C118" s="130"/>
      <c r="D118" s="88">
        <f t="shared" si="6"/>
        <v>951300</v>
      </c>
    </row>
    <row r="119" spans="1:4" x14ac:dyDescent="0.4">
      <c r="A119" s="130" t="str">
        <f t="shared" si="5"/>
        <v>прямая ЗП 7 рабочего = 315000 * 1,21 =</v>
      </c>
      <c r="B119" s="130"/>
      <c r="C119" s="130"/>
      <c r="D119" s="88">
        <f t="shared" si="6"/>
        <v>381150</v>
      </c>
    </row>
    <row r="120" spans="1:4" x14ac:dyDescent="0.4">
      <c r="A120" s="130" t="str">
        <f t="shared" si="5"/>
        <v>прямая ЗП 8 рабочего = 315000 * 4,1 =</v>
      </c>
      <c r="B120" s="130"/>
      <c r="C120" s="130"/>
      <c r="D120" s="88">
        <f t="shared" si="6"/>
        <v>1291500</v>
      </c>
    </row>
    <row r="121" spans="1:4" x14ac:dyDescent="0.4">
      <c r="A121" s="130" t="str">
        <f>"Сумма премии "&amp;Z2&amp;" = 50% * "&amp;D113&amp;" ="</f>
        <v>Сумма премии 1 рабочего = 50% * 311850 =</v>
      </c>
      <c r="B121" s="130"/>
      <c r="C121" s="130"/>
      <c r="D121" s="88">
        <f>ROUND(50%*D113,2)</f>
        <v>155925</v>
      </c>
    </row>
    <row r="122" spans="1:4" x14ac:dyDescent="0.4">
      <c r="A122" s="130" t="str">
        <f t="shared" ref="A122:A128" si="7">"Сумма премии "&amp;Z3&amp;" = 50% * "&amp;D114&amp;" ="</f>
        <v>Сумма премии 2 рабочего = 50% * 1272600 =</v>
      </c>
      <c r="B122" s="130"/>
      <c r="C122" s="130"/>
      <c r="D122" s="88">
        <f t="shared" ref="D122:D128" si="8">ROUND(50%*D114,2)</f>
        <v>636300</v>
      </c>
    </row>
    <row r="123" spans="1:4" x14ac:dyDescent="0.4">
      <c r="A123" s="130" t="str">
        <f t="shared" si="7"/>
        <v>Сумма премии 3 рабочего = 50% * 409500 =</v>
      </c>
      <c r="B123" s="130"/>
      <c r="C123" s="130"/>
      <c r="D123" s="88">
        <f t="shared" si="8"/>
        <v>204750</v>
      </c>
    </row>
    <row r="124" spans="1:4" x14ac:dyDescent="0.4">
      <c r="A124" s="130" t="str">
        <f t="shared" si="7"/>
        <v>Сумма премии 4 рабочего = 50% * 229950 =</v>
      </c>
      <c r="B124" s="130"/>
      <c r="C124" s="130"/>
      <c r="D124" s="88">
        <f t="shared" si="8"/>
        <v>114975</v>
      </c>
    </row>
    <row r="125" spans="1:4" x14ac:dyDescent="0.4">
      <c r="A125" s="130" t="str">
        <f t="shared" si="7"/>
        <v>Сумма премии 5 рабочего = 50% * 277200 =</v>
      </c>
      <c r="B125" s="130"/>
      <c r="C125" s="130"/>
      <c r="D125" s="88">
        <f t="shared" si="8"/>
        <v>138600</v>
      </c>
    </row>
    <row r="126" spans="1:4" x14ac:dyDescent="0.4">
      <c r="A126" s="130" t="str">
        <f t="shared" si="7"/>
        <v>Сумма премии 6 рабочего = 50% * 951300 =</v>
      </c>
      <c r="B126" s="130"/>
      <c r="C126" s="130"/>
      <c r="D126" s="88">
        <f t="shared" si="8"/>
        <v>475650</v>
      </c>
    </row>
    <row r="127" spans="1:4" x14ac:dyDescent="0.4">
      <c r="A127" s="130" t="str">
        <f t="shared" si="7"/>
        <v>Сумма премии 7 рабочего = 50% * 381150 =</v>
      </c>
      <c r="B127" s="130"/>
      <c r="C127" s="130"/>
      <c r="D127" s="88">
        <f t="shared" si="8"/>
        <v>190575</v>
      </c>
    </row>
    <row r="128" spans="1:4" x14ac:dyDescent="0.4">
      <c r="A128" s="130" t="str">
        <f t="shared" si="7"/>
        <v>Сумма премии 8 рабочего = 50% * 1291500 =</v>
      </c>
      <c r="B128" s="130"/>
      <c r="C128" s="130"/>
      <c r="D128" s="88">
        <f t="shared" si="8"/>
        <v>645750</v>
      </c>
    </row>
    <row r="129" spans="1:4" x14ac:dyDescent="0.4">
      <c r="A129" s="130" t="str">
        <f t="shared" ref="A129:A136" si="9">"Основная з.п. "&amp;Z2&amp;" = ("&amp;D113&amp;" + "&amp;D121&amp;") * "&amp;E$50&amp;" ="</f>
        <v>Основная з.п. 1 рабочего = (311850 + 155925) * 1,15 =</v>
      </c>
      <c r="B129" s="130"/>
      <c r="C129" s="130"/>
      <c r="D129" s="88">
        <f t="shared" ref="D129:D136" si="10">ROUND((D113+D121)*E$50,2)</f>
        <v>537941.25</v>
      </c>
    </row>
    <row r="130" spans="1:4" x14ac:dyDescent="0.4">
      <c r="A130" s="130" t="str">
        <f t="shared" si="9"/>
        <v>Основная з.п. 2 рабочего = (1272600 + 636300) * 1,15 =</v>
      </c>
      <c r="B130" s="130"/>
      <c r="C130" s="130"/>
      <c r="D130" s="88">
        <f t="shared" si="10"/>
        <v>2195235</v>
      </c>
    </row>
    <row r="131" spans="1:4" x14ac:dyDescent="0.4">
      <c r="A131" s="130" t="str">
        <f t="shared" si="9"/>
        <v>Основная з.п. 3 рабочего = (409500 + 204750) * 1,15 =</v>
      </c>
      <c r="B131" s="130"/>
      <c r="C131" s="130"/>
      <c r="D131" s="88">
        <f t="shared" si="10"/>
        <v>706387.5</v>
      </c>
    </row>
    <row r="132" spans="1:4" x14ac:dyDescent="0.4">
      <c r="A132" s="130" t="str">
        <f t="shared" si="9"/>
        <v>Основная з.п. 4 рабочего = (229950 + 114975) * 1,15 =</v>
      </c>
      <c r="B132" s="130"/>
      <c r="C132" s="130"/>
      <c r="D132" s="88">
        <f t="shared" si="10"/>
        <v>396663.75</v>
      </c>
    </row>
    <row r="133" spans="1:4" x14ac:dyDescent="0.4">
      <c r="A133" s="130" t="str">
        <f t="shared" si="9"/>
        <v>Основная з.п. 5 рабочего = (277200 + 138600) * 1,15 =</v>
      </c>
      <c r="B133" s="130"/>
      <c r="C133" s="130"/>
      <c r="D133" s="88">
        <f t="shared" si="10"/>
        <v>478170</v>
      </c>
    </row>
    <row r="134" spans="1:4" x14ac:dyDescent="0.4">
      <c r="A134" s="130" t="str">
        <f t="shared" si="9"/>
        <v>Основная з.п. 6 рабочего = (951300 + 475650) * 1,15 =</v>
      </c>
      <c r="B134" s="130"/>
      <c r="C134" s="130"/>
      <c r="D134" s="88">
        <f t="shared" si="10"/>
        <v>1640992.5</v>
      </c>
    </row>
    <row r="135" spans="1:4" x14ac:dyDescent="0.4">
      <c r="A135" s="130" t="str">
        <f t="shared" si="9"/>
        <v>Основная з.п. 7 рабочего = (381150 + 190575) * 1,15 =</v>
      </c>
      <c r="B135" s="130"/>
      <c r="C135" s="130"/>
      <c r="D135" s="88">
        <f t="shared" si="10"/>
        <v>657483.75</v>
      </c>
    </row>
    <row r="136" spans="1:4" x14ac:dyDescent="0.4">
      <c r="A136" s="130" t="str">
        <f t="shared" si="9"/>
        <v>Основная з.п. 8 рабочего = (1291500 + 645750) * 1,15 =</v>
      </c>
      <c r="B136" s="130"/>
      <c r="C136" s="130"/>
      <c r="D136" s="88">
        <f t="shared" si="10"/>
        <v>2227837.5</v>
      </c>
    </row>
    <row r="137" spans="1:4" x14ac:dyDescent="0.4">
      <c r="A137" s="130" t="str">
        <f>"Доп. з.п. "&amp;Z2&amp;" = 20% * "&amp;D129&amp;" ="</f>
        <v>Доп. з.п. 1 рабочего = 20% * 537941,25 =</v>
      </c>
      <c r="B137" s="130"/>
      <c r="C137" s="130"/>
      <c r="D137" s="88">
        <f>ROUND(20%*D129,2)</f>
        <v>107588.25</v>
      </c>
    </row>
    <row r="138" spans="1:4" x14ac:dyDescent="0.4">
      <c r="A138" s="130" t="str">
        <f t="shared" ref="A138:A144" si="11">"Доп. з.п. "&amp;Z3&amp;" = 20% * "&amp;D130&amp;" ="</f>
        <v>Доп. з.п. 2 рабочего = 20% * 2195235 =</v>
      </c>
      <c r="B138" s="130"/>
      <c r="C138" s="130"/>
      <c r="D138" s="88">
        <f t="shared" ref="D138:D144" si="12">ROUND(20%*D130,2)</f>
        <v>439047</v>
      </c>
    </row>
    <row r="139" spans="1:4" x14ac:dyDescent="0.4">
      <c r="A139" s="130" t="str">
        <f t="shared" si="11"/>
        <v>Доп. з.п. 3 рабочего = 20% * 706387,5 =</v>
      </c>
      <c r="B139" s="130"/>
      <c r="C139" s="130"/>
      <c r="D139" s="88">
        <f t="shared" si="12"/>
        <v>141277.5</v>
      </c>
    </row>
    <row r="140" spans="1:4" x14ac:dyDescent="0.4">
      <c r="A140" s="130" t="str">
        <f t="shared" si="11"/>
        <v>Доп. з.п. 4 рабочего = 20% * 396663,75 =</v>
      </c>
      <c r="B140" s="130"/>
      <c r="C140" s="130"/>
      <c r="D140" s="88">
        <f t="shared" si="12"/>
        <v>79332.75</v>
      </c>
    </row>
    <row r="141" spans="1:4" x14ac:dyDescent="0.4">
      <c r="A141" s="130" t="str">
        <f t="shared" si="11"/>
        <v>Доп. з.п. 5 рабочего = 20% * 478170 =</v>
      </c>
      <c r="B141" s="130"/>
      <c r="C141" s="130"/>
      <c r="D141" s="88">
        <f t="shared" si="12"/>
        <v>95634</v>
      </c>
    </row>
    <row r="142" spans="1:4" x14ac:dyDescent="0.4">
      <c r="A142" s="130" t="str">
        <f t="shared" si="11"/>
        <v>Доп. з.п. 6 рабочего = 20% * 1640992,5 =</v>
      </c>
      <c r="B142" s="130"/>
      <c r="C142" s="130"/>
      <c r="D142" s="88">
        <f t="shared" si="12"/>
        <v>328198.5</v>
      </c>
    </row>
    <row r="143" spans="1:4" x14ac:dyDescent="0.4">
      <c r="A143" s="130" t="str">
        <f t="shared" si="11"/>
        <v>Доп. з.п. 7 рабочего = 20% * 657483,75 =</v>
      </c>
      <c r="B143" s="130"/>
      <c r="C143" s="130"/>
      <c r="D143" s="88">
        <f t="shared" si="12"/>
        <v>131496.75</v>
      </c>
    </row>
    <row r="144" spans="1:4" x14ac:dyDescent="0.4">
      <c r="A144" s="130" t="str">
        <f t="shared" si="11"/>
        <v>Доп. з.п. 8 рабочего = 20% * 2227837,5 =</v>
      </c>
      <c r="B144" s="130"/>
      <c r="C144" s="130"/>
      <c r="D144" s="88">
        <f t="shared" si="12"/>
        <v>445567.5</v>
      </c>
    </row>
    <row r="145" spans="1:9" x14ac:dyDescent="0.4">
      <c r="A145" s="130" t="str">
        <f>"ФЗП "&amp;Z2&amp;" = "&amp;D129&amp;" + "&amp;D137&amp;" ="</f>
        <v>ФЗП 1 рабочего = 537941,25 + 107588,25 =</v>
      </c>
      <c r="B145" s="130"/>
      <c r="C145" s="78">
        <f xml:space="preserve"> ROUND(D129+D137,2)</f>
        <v>645529.5</v>
      </c>
    </row>
    <row r="146" spans="1:9" x14ac:dyDescent="0.4">
      <c r="A146" s="130" t="str">
        <f t="shared" ref="A146:A152" si="13">"ФЗП "&amp;Z3&amp;" = "&amp;D130&amp;" + "&amp;D138&amp;" ="</f>
        <v>ФЗП 2 рабочего = 2195235 + 439047 =</v>
      </c>
      <c r="B146" s="130"/>
      <c r="C146" s="78">
        <f t="shared" ref="C146:C152" si="14" xml:space="preserve"> ROUND(D130+D138,2)</f>
        <v>2634282</v>
      </c>
    </row>
    <row r="147" spans="1:9" x14ac:dyDescent="0.4">
      <c r="A147" s="130" t="str">
        <f t="shared" si="13"/>
        <v>ФЗП 3 рабочего = 706387,5 + 141277,5 =</v>
      </c>
      <c r="B147" s="130"/>
      <c r="C147" s="78">
        <f t="shared" si="14"/>
        <v>847665</v>
      </c>
    </row>
    <row r="148" spans="1:9" x14ac:dyDescent="0.4">
      <c r="A148" s="130" t="str">
        <f t="shared" si="13"/>
        <v>ФЗП 4 рабочего = 396663,75 + 79332,75 =</v>
      </c>
      <c r="B148" s="130"/>
      <c r="C148" s="78">
        <f t="shared" si="14"/>
        <v>475996.5</v>
      </c>
    </row>
    <row r="149" spans="1:9" x14ac:dyDescent="0.4">
      <c r="A149" s="130" t="str">
        <f t="shared" si="13"/>
        <v>ФЗП 5 рабочего = 478170 + 95634 =</v>
      </c>
      <c r="B149" s="130"/>
      <c r="C149" s="78">
        <f t="shared" si="14"/>
        <v>573804</v>
      </c>
    </row>
    <row r="150" spans="1:9" x14ac:dyDescent="0.4">
      <c r="A150" s="130" t="str">
        <f t="shared" si="13"/>
        <v>ФЗП 6 рабочего = 1640992,5 + 328198,5 =</v>
      </c>
      <c r="B150" s="130"/>
      <c r="C150" s="78">
        <f t="shared" si="14"/>
        <v>1969191</v>
      </c>
    </row>
    <row r="151" spans="1:9" x14ac:dyDescent="0.4">
      <c r="A151" s="130" t="str">
        <f t="shared" si="13"/>
        <v>ФЗП 7 рабочего = 657483,75 + 131496,75 =</v>
      </c>
      <c r="B151" s="130"/>
      <c r="C151" s="78">
        <f t="shared" si="14"/>
        <v>788980.5</v>
      </c>
    </row>
    <row r="152" spans="1:9" x14ac:dyDescent="0.4">
      <c r="A152" s="130" t="str">
        <f t="shared" si="13"/>
        <v>ФЗП 8 рабочего = 2227837,5 + 445567,5 =</v>
      </c>
      <c r="B152" s="130"/>
      <c r="C152" s="78">
        <f t="shared" si="14"/>
        <v>2673405</v>
      </c>
    </row>
    <row r="153" spans="1:9" x14ac:dyDescent="0.4">
      <c r="A153" s="130" t="s">
        <v>86</v>
      </c>
      <c r="B153" s="130"/>
      <c r="C153" s="130"/>
      <c r="D153" s="21">
        <f>ROUND((365-115)*8-6,2)</f>
        <v>1994</v>
      </c>
      <c r="E153" s="60"/>
      <c r="G153" s="45"/>
      <c r="I153" s="60"/>
    </row>
    <row r="154" spans="1:9" x14ac:dyDescent="0.4">
      <c r="A154" s="130" t="str">
        <f>"Эффективный фонд времени работы рабочего в течение года = "&amp;D153&amp;" * (1 - "&amp;E49&amp;") ="</f>
        <v>Эффективный фонд времени работы рабочего в течение года = 1994 * (1 - 0,11) =</v>
      </c>
      <c r="B154" s="130"/>
      <c r="C154" s="130"/>
      <c r="D154" s="21">
        <f>ROUND(D153*(1-E49),0)</f>
        <v>1775</v>
      </c>
      <c r="E154" s="60"/>
      <c r="G154" s="45"/>
      <c r="I154" s="60"/>
    </row>
    <row r="155" spans="1:9" x14ac:dyDescent="0.4">
      <c r="A155" s="130" t="str">
        <f t="shared" ref="A155:A161" si="15">"Прямая з.п. всп. р. "&amp;AA2&amp;" = "&amp;D$154&amp;" * "&amp;C67&amp;" * "&amp;C47&amp;" ="</f>
        <v>Прямая з.п. всп. р. контроллеров 1 = 1775 * 88,51 * 4,34 =</v>
      </c>
      <c r="B155" s="130"/>
      <c r="C155" s="130"/>
      <c r="D155" s="21">
        <f t="shared" ref="D155:D161" si="16">ROUND(D$154*C67*C47,2)</f>
        <v>681836.79</v>
      </c>
    </row>
    <row r="156" spans="1:9" x14ac:dyDescent="0.4">
      <c r="A156" s="130" t="str">
        <f t="shared" si="15"/>
        <v>Прямая з.п. всп. р. раздатчиков инструмента 2 = 1775 * 80,4 * 1,88 =</v>
      </c>
      <c r="B156" s="130"/>
      <c r="C156" s="130"/>
      <c r="D156" s="21">
        <f t="shared" si="16"/>
        <v>268294.8</v>
      </c>
    </row>
    <row r="157" spans="1:9" x14ac:dyDescent="0.4">
      <c r="A157" s="130" t="str">
        <f t="shared" si="15"/>
        <v>Прямая з.п. всп. р. слесарей-ремонтников 3 = 1775 * 113,59 * 5,6 =</v>
      </c>
      <c r="B157" s="130"/>
      <c r="C157" s="130"/>
      <c r="D157" s="21">
        <f t="shared" si="16"/>
        <v>1129084.6000000001</v>
      </c>
    </row>
    <row r="158" spans="1:9" x14ac:dyDescent="0.4">
      <c r="A158" s="130" t="str">
        <f t="shared" si="15"/>
        <v>Прямая з.п. всп. р. дежурных электромонтеров 4 = 1775 * 99,58 * 0,56 =</v>
      </c>
      <c r="B158" s="130"/>
      <c r="C158" s="130"/>
      <c r="D158" s="21">
        <f t="shared" si="16"/>
        <v>98982.52</v>
      </c>
    </row>
    <row r="159" spans="1:9" x14ac:dyDescent="0.4">
      <c r="A159" s="130" t="str">
        <f t="shared" si="15"/>
        <v>Прямая з.п. всп. р. дежурных ремонтных слесарей 5 = 1775 * 99,58 * 2,24 =</v>
      </c>
      <c r="B159" s="130"/>
      <c r="C159" s="130"/>
      <c r="D159" s="21">
        <f t="shared" si="16"/>
        <v>395930.08</v>
      </c>
    </row>
    <row r="160" spans="1:9" x14ac:dyDescent="0.4">
      <c r="A160" s="130" t="str">
        <f t="shared" si="15"/>
        <v>Прямая з.п. всп. р. уборщиц 6 = 1775 * 73,76 * 1,24 =</v>
      </c>
      <c r="B160" s="130"/>
      <c r="C160" s="130"/>
      <c r="D160" s="21">
        <f t="shared" si="16"/>
        <v>162345.76</v>
      </c>
    </row>
    <row r="161" spans="1:4" x14ac:dyDescent="0.4">
      <c r="A161" s="130" t="str">
        <f t="shared" si="15"/>
        <v>Прямая з.п. всп. р. наладчиков 7 = 1775 * 132,77 * 5,6 =</v>
      </c>
      <c r="B161" s="130"/>
      <c r="C161" s="130"/>
      <c r="D161" s="21">
        <f t="shared" si="16"/>
        <v>1319733.8</v>
      </c>
    </row>
    <row r="162" spans="1:4" x14ac:dyDescent="0.4">
      <c r="A162" s="130" t="str">
        <f>"Сумма премии всп. р. "&amp;AA2&amp;" = 40% * "&amp;D155&amp;" ="</f>
        <v>Сумма премии всп. р. контроллеров 1 = 40% * 681836,79 =</v>
      </c>
      <c r="B162" s="130"/>
      <c r="C162" s="130"/>
      <c r="D162" s="21">
        <f>ROUND(40%*D155,2)</f>
        <v>272734.71999999997</v>
      </c>
    </row>
    <row r="163" spans="1:4" x14ac:dyDescent="0.4">
      <c r="A163" s="130" t="str">
        <f t="shared" ref="A163:A168" si="17">"Сумма премии всп. р. "&amp;AA3&amp;" = 40% * "&amp;D156&amp;" ="</f>
        <v>Сумма премии всп. р. раздатчиков инструмента 2 = 40% * 268294,8 =</v>
      </c>
      <c r="B163" s="130"/>
      <c r="C163" s="130"/>
      <c r="D163" s="21">
        <f t="shared" ref="D163:D168" si="18">ROUND(40%*D156,2)</f>
        <v>107317.92</v>
      </c>
    </row>
    <row r="164" spans="1:4" x14ac:dyDescent="0.4">
      <c r="A164" s="130" t="str">
        <f t="shared" si="17"/>
        <v>Сумма премии всп. р. слесарей-ремонтников 3 = 40% * 1129084,6 =</v>
      </c>
      <c r="B164" s="130"/>
      <c r="C164" s="130"/>
      <c r="D164" s="21">
        <f t="shared" si="18"/>
        <v>451633.84</v>
      </c>
    </row>
    <row r="165" spans="1:4" x14ac:dyDescent="0.4">
      <c r="A165" s="130" t="str">
        <f t="shared" si="17"/>
        <v>Сумма премии всп. р. дежурных электромонтеров 4 = 40% * 98982,52 =</v>
      </c>
      <c r="B165" s="130"/>
      <c r="C165" s="130"/>
      <c r="D165" s="21">
        <f t="shared" si="18"/>
        <v>39593.01</v>
      </c>
    </row>
    <row r="166" spans="1:4" x14ac:dyDescent="0.4">
      <c r="A166" s="130" t="str">
        <f t="shared" si="17"/>
        <v>Сумма премии всп. р. дежурных ремонтных слесарей 5 = 40% * 395930,08 =</v>
      </c>
      <c r="B166" s="130"/>
      <c r="C166" s="130"/>
      <c r="D166" s="21">
        <f t="shared" si="18"/>
        <v>158372.03</v>
      </c>
    </row>
    <row r="167" spans="1:4" x14ac:dyDescent="0.4">
      <c r="A167" s="130" t="str">
        <f t="shared" si="17"/>
        <v>Сумма премии всп. р. уборщиц 6 = 40% * 162345,76 =</v>
      </c>
      <c r="B167" s="130"/>
      <c r="C167" s="130"/>
      <c r="D167" s="21">
        <f t="shared" si="18"/>
        <v>64938.3</v>
      </c>
    </row>
    <row r="168" spans="1:4" x14ac:dyDescent="0.4">
      <c r="A168" s="130" t="str">
        <f t="shared" si="17"/>
        <v>Сумма премии всп. р. наладчиков 7 = 40% * 1319733,8 =</v>
      </c>
      <c r="B168" s="130"/>
      <c r="C168" s="130"/>
      <c r="D168" s="21">
        <f t="shared" si="18"/>
        <v>527893.52</v>
      </c>
    </row>
    <row r="169" spans="1:4" x14ac:dyDescent="0.4">
      <c r="A169" s="130" t="str">
        <f t="shared" ref="A169:A175" si="19">"Основная з.п. всп. р. "&amp;AA2&amp;" = ("&amp;D155&amp;" + "&amp;D162&amp;") * "&amp;E$50&amp;" ="</f>
        <v>Основная з.п. всп. р. контроллеров 1 = (681836,79 + 272734,72) * 1,15 =</v>
      </c>
      <c r="B169" s="130"/>
      <c r="C169" s="130"/>
      <c r="D169" s="21">
        <f t="shared" ref="D169:D175" si="20">ROUND((D155+D162)*E$50,2)</f>
        <v>1097757.24</v>
      </c>
    </row>
    <row r="170" spans="1:4" x14ac:dyDescent="0.4">
      <c r="A170" s="130" t="str">
        <f t="shared" si="19"/>
        <v>Основная з.п. всп. р. раздатчиков инструмента 2 = (268294,8 + 107317,92) * 1,15 =</v>
      </c>
      <c r="B170" s="130"/>
      <c r="C170" s="130"/>
      <c r="D170" s="21">
        <f t="shared" si="20"/>
        <v>431954.63</v>
      </c>
    </row>
    <row r="171" spans="1:4" x14ac:dyDescent="0.4">
      <c r="A171" s="130" t="str">
        <f t="shared" si="19"/>
        <v>Основная з.п. всп. р. слесарей-ремонтников 3 = (1129084,6 + 451633,84) * 1,15 =</v>
      </c>
      <c r="B171" s="130"/>
      <c r="C171" s="130"/>
      <c r="D171" s="21">
        <f t="shared" si="20"/>
        <v>1817826.21</v>
      </c>
    </row>
    <row r="172" spans="1:4" x14ac:dyDescent="0.4">
      <c r="A172" s="130" t="str">
        <f t="shared" si="19"/>
        <v>Основная з.п. всп. р. дежурных электромонтеров 4 = (98982,52 + 39593,01) * 1,15 =</v>
      </c>
      <c r="B172" s="130"/>
      <c r="C172" s="130"/>
      <c r="D172" s="21">
        <f t="shared" si="20"/>
        <v>159361.85999999999</v>
      </c>
    </row>
    <row r="173" spans="1:4" x14ac:dyDescent="0.4">
      <c r="A173" s="130" t="str">
        <f t="shared" si="19"/>
        <v>Основная з.п. всп. р. дежурных ремонтных слесарей 5 = (395930,08 + 158372,03) * 1,15 =</v>
      </c>
      <c r="B173" s="130"/>
      <c r="C173" s="130"/>
      <c r="D173" s="21">
        <f t="shared" si="20"/>
        <v>637447.43000000005</v>
      </c>
    </row>
    <row r="174" spans="1:4" x14ac:dyDescent="0.4">
      <c r="A174" s="130" t="str">
        <f t="shared" si="19"/>
        <v>Основная з.п. всп. р. уборщиц 6 = (162345,76 + 64938,3) * 1,15 =</v>
      </c>
      <c r="B174" s="130"/>
      <c r="C174" s="130"/>
      <c r="D174" s="21">
        <f t="shared" si="20"/>
        <v>261376.67</v>
      </c>
    </row>
    <row r="175" spans="1:4" x14ac:dyDescent="0.4">
      <c r="A175" s="130" t="str">
        <f t="shared" si="19"/>
        <v>Основная з.п. всп. р. наладчиков 7 = (1319733,8 + 527893,52) * 1,15 =</v>
      </c>
      <c r="B175" s="130"/>
      <c r="C175" s="130"/>
      <c r="D175" s="21">
        <f t="shared" si="20"/>
        <v>2124771.42</v>
      </c>
    </row>
    <row r="176" spans="1:4" x14ac:dyDescent="0.4">
      <c r="A176" s="130" t="str">
        <f>"Доп. з.п. всп. р. "&amp;AA2&amp;" = "&amp;D169&amp;" * 20% ="</f>
        <v>Доп. з.п. всп. р. контроллеров 1 = 1097757,24 * 20% =</v>
      </c>
      <c r="B176" s="130"/>
      <c r="C176" s="130"/>
      <c r="D176" s="21">
        <f>ROUND(D169*20%,2)</f>
        <v>219551.45</v>
      </c>
    </row>
    <row r="177" spans="1:4" x14ac:dyDescent="0.4">
      <c r="A177" s="130" t="str">
        <f t="shared" ref="A177:A182" si="21">"Доп. з.п. всп. р. "&amp;AA3&amp;" = "&amp;D170&amp;" * 20% ="</f>
        <v>Доп. з.п. всп. р. раздатчиков инструмента 2 = 431954,63 * 20% =</v>
      </c>
      <c r="B177" s="130"/>
      <c r="C177" s="130"/>
      <c r="D177" s="21">
        <f t="shared" ref="D177:D182" si="22">ROUND(D170*20%,2)</f>
        <v>86390.93</v>
      </c>
    </row>
    <row r="178" spans="1:4" x14ac:dyDescent="0.4">
      <c r="A178" s="130" t="str">
        <f t="shared" si="21"/>
        <v>Доп. з.п. всп. р. слесарей-ремонтников 3 = 1817826,21 * 20% =</v>
      </c>
      <c r="B178" s="130"/>
      <c r="C178" s="130"/>
      <c r="D178" s="21">
        <f t="shared" si="22"/>
        <v>363565.24</v>
      </c>
    </row>
    <row r="179" spans="1:4" x14ac:dyDescent="0.4">
      <c r="A179" s="130" t="str">
        <f t="shared" si="21"/>
        <v>Доп. з.п. всп. р. дежурных электромонтеров 4 = 159361,86 * 20% =</v>
      </c>
      <c r="B179" s="130"/>
      <c r="C179" s="130"/>
      <c r="D179" s="21">
        <f t="shared" si="22"/>
        <v>31872.37</v>
      </c>
    </row>
    <row r="180" spans="1:4" x14ac:dyDescent="0.4">
      <c r="A180" s="130" t="str">
        <f t="shared" si="21"/>
        <v>Доп. з.п. всп. р. дежурных ремонтных слесарей 5 = 637447,43 * 20% =</v>
      </c>
      <c r="B180" s="130"/>
      <c r="C180" s="130"/>
      <c r="D180" s="21">
        <f t="shared" si="22"/>
        <v>127489.49</v>
      </c>
    </row>
    <row r="181" spans="1:4" x14ac:dyDescent="0.4">
      <c r="A181" s="130" t="str">
        <f t="shared" si="21"/>
        <v>Доп. з.п. всп. р. уборщиц 6 = 261376,67 * 20% =</v>
      </c>
      <c r="B181" s="130"/>
      <c r="C181" s="130"/>
      <c r="D181" s="21">
        <f t="shared" si="22"/>
        <v>52275.33</v>
      </c>
    </row>
    <row r="182" spans="1:4" x14ac:dyDescent="0.4">
      <c r="A182" s="130" t="str">
        <f t="shared" si="21"/>
        <v>Доп. з.п. всп. р. наладчиков 7 = 2124771,42 * 20% =</v>
      </c>
      <c r="B182" s="130"/>
      <c r="C182" s="130"/>
      <c r="D182" s="21">
        <f t="shared" si="22"/>
        <v>424954.28</v>
      </c>
    </row>
    <row r="183" spans="1:4" x14ac:dyDescent="0.4">
      <c r="A183" s="130" t="str">
        <f>"ФЗП всп. р. "&amp;AA2&amp;" = "&amp;D169&amp;" + "&amp;D176&amp;" ="</f>
        <v>ФЗП всп. р. контроллеров 1 = 1097757,24 + 219551,45 =</v>
      </c>
      <c r="B183" s="130"/>
      <c r="C183" s="130"/>
      <c r="D183" s="21">
        <f>ROUND(D169+D176,2)</f>
        <v>1317308.69</v>
      </c>
    </row>
    <row r="184" spans="1:4" x14ac:dyDescent="0.4">
      <c r="A184" s="130" t="str">
        <f t="shared" ref="A184:A189" si="23">"ФЗП всп. р. "&amp;AA3&amp;" = "&amp;D170&amp;" + "&amp;D177&amp;" ="</f>
        <v>ФЗП всп. р. раздатчиков инструмента 2 = 431954,63 + 86390,93 =</v>
      </c>
      <c r="B184" s="130"/>
      <c r="C184" s="130"/>
      <c r="D184" s="21">
        <f t="shared" ref="D184:D189" si="24">ROUND(D170+D177,2)</f>
        <v>518345.56</v>
      </c>
    </row>
    <row r="185" spans="1:4" x14ac:dyDescent="0.4">
      <c r="A185" s="130" t="str">
        <f t="shared" si="23"/>
        <v>ФЗП всп. р. слесарей-ремонтников 3 = 1817826,21 + 363565,24 =</v>
      </c>
      <c r="B185" s="130"/>
      <c r="C185" s="130"/>
      <c r="D185" s="21">
        <f t="shared" si="24"/>
        <v>2181391.4500000002</v>
      </c>
    </row>
    <row r="186" spans="1:4" x14ac:dyDescent="0.4">
      <c r="A186" s="130" t="str">
        <f t="shared" si="23"/>
        <v>ФЗП всп. р. дежурных электромонтеров 4 = 159361,86 + 31872,37 =</v>
      </c>
      <c r="B186" s="130"/>
      <c r="C186" s="130"/>
      <c r="D186" s="21">
        <f t="shared" si="24"/>
        <v>191234.23</v>
      </c>
    </row>
    <row r="187" spans="1:4" x14ac:dyDescent="0.4">
      <c r="A187" s="130" t="str">
        <f t="shared" si="23"/>
        <v>ФЗП всп. р. дежурных ремонтных слесарей 5 = 637447,43 + 127489,49 =</v>
      </c>
      <c r="B187" s="130"/>
      <c r="C187" s="130"/>
      <c r="D187" s="21">
        <f t="shared" si="24"/>
        <v>764936.92</v>
      </c>
    </row>
    <row r="188" spans="1:4" x14ac:dyDescent="0.4">
      <c r="A188" s="130" t="str">
        <f t="shared" si="23"/>
        <v>ФЗП всп. р. уборщиц 6 = 261376,67 + 52275,33 =</v>
      </c>
      <c r="B188" s="130"/>
      <c r="C188" s="130"/>
      <c r="D188" s="21">
        <f t="shared" si="24"/>
        <v>313652</v>
      </c>
    </row>
    <row r="189" spans="1:4" x14ac:dyDescent="0.4">
      <c r="A189" s="130" t="str">
        <f t="shared" si="23"/>
        <v>ФЗП всп. р. наладчиков 7 = 2124771,42 + 424954,28 =</v>
      </c>
      <c r="B189" s="130"/>
      <c r="C189" s="130"/>
      <c r="D189" s="21">
        <f t="shared" si="24"/>
        <v>2549725.7000000002</v>
      </c>
    </row>
    <row r="190" spans="1:4" x14ac:dyDescent="0.4">
      <c r="A190" s="130" t="str">
        <f>"Прямая з.п. Мастера = "&amp;E217&amp;" * 11 * "&amp;C55&amp;" ="</f>
        <v>Прямая з.п. Мастера = 40000 * 11 * 3,1 =</v>
      </c>
      <c r="B190" s="130"/>
      <c r="C190" s="130"/>
      <c r="D190" s="78">
        <f>ROUND(E217*11*B217,2)</f>
        <v>1364000</v>
      </c>
    </row>
    <row r="191" spans="1:4" x14ac:dyDescent="0.4">
      <c r="A191" s="130" t="str">
        <f>"Премия Мастера = "&amp;D190&amp;" * 60% ="</f>
        <v>Премия Мастера = 1364000 * 60% =</v>
      </c>
      <c r="B191" s="130"/>
      <c r="C191" s="130"/>
      <c r="D191" s="78">
        <f>ROUND(D190*60%,2)</f>
        <v>818400</v>
      </c>
    </row>
    <row r="192" spans="1:4" x14ac:dyDescent="0.4">
      <c r="A192" s="130" t="str">
        <f>"Основная з.п. Мастера = ("&amp;D190&amp;" + "&amp;D191&amp;") * "&amp;E50&amp;" ="</f>
        <v>Основная з.п. Мастера = (1364000 + 818400) * 1,15 =</v>
      </c>
      <c r="B192" s="130"/>
      <c r="C192" s="130"/>
      <c r="D192" s="78">
        <f>ROUND((D190+D191)*E50,2)</f>
        <v>2509760</v>
      </c>
    </row>
    <row r="193" spans="1:11" x14ac:dyDescent="0.4">
      <c r="A193" s="130" t="str">
        <f>"Доп. з.п. Мастера = "&amp;D192&amp;" * 20% ="</f>
        <v>Доп. з.п. Мастера = 2509760 * 20% =</v>
      </c>
      <c r="B193" s="130"/>
      <c r="C193" s="130"/>
      <c r="D193" s="78">
        <f>ROUND(D192*20%,2)</f>
        <v>501952</v>
      </c>
    </row>
    <row r="194" spans="1:11" x14ac:dyDescent="0.4">
      <c r="A194" s="130" t="str">
        <f>"ФЗП Мастера = "&amp;D192&amp;" + "&amp;D193&amp;" ="</f>
        <v>ФЗП Мастера = 2509760 + 501952 =</v>
      </c>
      <c r="B194" s="130"/>
      <c r="C194" s="130"/>
      <c r="D194" s="78">
        <f>ROUND(D192+D193,2)</f>
        <v>3011712</v>
      </c>
    </row>
    <row r="195" spans="1:11" x14ac:dyDescent="0.25">
      <c r="A195" s="45"/>
    </row>
    <row r="196" spans="1:11" ht="20.25" thickBot="1" x14ac:dyDescent="0.3">
      <c r="A196" s="45" t="s">
        <v>88</v>
      </c>
    </row>
    <row r="197" spans="1:11" ht="39.75" thickBot="1" x14ac:dyDescent="0.3">
      <c r="A197" s="9" t="s">
        <v>48</v>
      </c>
      <c r="B197" s="9" t="s">
        <v>49</v>
      </c>
      <c r="C197" s="9" t="s">
        <v>50</v>
      </c>
      <c r="D197" s="23" t="s">
        <v>51</v>
      </c>
      <c r="E197" s="9" t="s">
        <v>46</v>
      </c>
      <c r="F197" s="9" t="s">
        <v>52</v>
      </c>
      <c r="G197" s="9" t="s">
        <v>53</v>
      </c>
      <c r="H197" s="9" t="s">
        <v>54</v>
      </c>
      <c r="I197" s="9" t="s">
        <v>55</v>
      </c>
      <c r="J197" s="9" t="s">
        <v>56</v>
      </c>
      <c r="K197" s="9" t="s">
        <v>57</v>
      </c>
    </row>
    <row r="198" spans="1:11" ht="20.25" thickBot="1" x14ac:dyDescent="0.3">
      <c r="A198" s="154" t="s">
        <v>58</v>
      </c>
      <c r="B198" s="155"/>
      <c r="C198" s="155"/>
      <c r="D198" s="155"/>
      <c r="E198" s="155"/>
      <c r="F198" s="155"/>
      <c r="G198" s="155"/>
      <c r="H198" s="155"/>
      <c r="I198" s="155"/>
      <c r="J198" s="155"/>
      <c r="K198" s="150"/>
    </row>
    <row r="199" spans="1:11" ht="20.25" thickBot="1" x14ac:dyDescent="0.3">
      <c r="A199" s="16">
        <v>1</v>
      </c>
      <c r="B199" s="8">
        <f>D2</f>
        <v>2</v>
      </c>
      <c r="C199" s="8">
        <v>3</v>
      </c>
      <c r="D199" s="40">
        <f>F2</f>
        <v>0.57999999999999996</v>
      </c>
      <c r="E199" s="40">
        <f t="shared" ref="E199:E206" si="25">E$48</f>
        <v>102.61</v>
      </c>
      <c r="F199" s="41">
        <f>D105</f>
        <v>0.99</v>
      </c>
      <c r="G199" s="26">
        <f>ROUND($D113*$B199,2)</f>
        <v>623700</v>
      </c>
      <c r="H199" s="26">
        <f>ROUND($D121*$B199,2)</f>
        <v>311850</v>
      </c>
      <c r="I199" s="26">
        <f>ROUND($D129*$B199,2)</f>
        <v>1075882.5</v>
      </c>
      <c r="J199" s="26">
        <f>ROUND($D137*$B199,2)</f>
        <v>215176.5</v>
      </c>
      <c r="K199" s="26">
        <f>ROUND(C145*$B199,2)</f>
        <v>1291059</v>
      </c>
    </row>
    <row r="200" spans="1:11" ht="20.25" thickBot="1" x14ac:dyDescent="0.3">
      <c r="A200" s="3">
        <v>2</v>
      </c>
      <c r="B200" s="58">
        <f t="shared" ref="B200:B206" si="26">D3</f>
        <v>3</v>
      </c>
      <c r="C200" s="7">
        <v>3</v>
      </c>
      <c r="D200" s="40">
        <f t="shared" ref="D200:D206" si="27">F3</f>
        <v>2.36</v>
      </c>
      <c r="E200" s="40">
        <f t="shared" si="25"/>
        <v>102.61</v>
      </c>
      <c r="F200" s="41">
        <f t="shared" ref="F200:F206" si="28">D106</f>
        <v>4.04</v>
      </c>
      <c r="G200" s="26">
        <f t="shared" ref="G200:G206" si="29">ROUND($D114*$B200,2)</f>
        <v>3817800</v>
      </c>
      <c r="H200" s="26">
        <f t="shared" ref="H200:H206" si="30">ROUND($D122*$B200,2)</f>
        <v>1908900</v>
      </c>
      <c r="I200" s="26">
        <f t="shared" ref="I200:I206" si="31">ROUND($D130*$B200,2)</f>
        <v>6585705</v>
      </c>
      <c r="J200" s="26">
        <f t="shared" ref="J200:J205" si="32">ROUND($D138*$B200,2)</f>
        <v>1317141</v>
      </c>
      <c r="K200" s="26">
        <f t="shared" ref="K200:K206" si="33">ROUND(C146*$B200,2)</f>
        <v>7902846</v>
      </c>
    </row>
    <row r="201" spans="1:11" ht="20.25" thickBot="1" x14ac:dyDescent="0.3">
      <c r="A201" s="3">
        <v>3</v>
      </c>
      <c r="B201" s="58">
        <f t="shared" si="26"/>
        <v>2</v>
      </c>
      <c r="C201" s="7">
        <v>3</v>
      </c>
      <c r="D201" s="40">
        <f t="shared" si="27"/>
        <v>0.76</v>
      </c>
      <c r="E201" s="40">
        <f t="shared" si="25"/>
        <v>102.61</v>
      </c>
      <c r="F201" s="41">
        <f t="shared" si="28"/>
        <v>1.3</v>
      </c>
      <c r="G201" s="26">
        <f t="shared" si="29"/>
        <v>819000</v>
      </c>
      <c r="H201" s="26">
        <f t="shared" si="30"/>
        <v>409500</v>
      </c>
      <c r="I201" s="26">
        <f t="shared" si="31"/>
        <v>1412775</v>
      </c>
      <c r="J201" s="26">
        <f t="shared" si="32"/>
        <v>282555</v>
      </c>
      <c r="K201" s="26">
        <f t="shared" si="33"/>
        <v>1695330</v>
      </c>
    </row>
    <row r="202" spans="1:11" ht="20.25" thickBot="1" x14ac:dyDescent="0.3">
      <c r="A202" s="3">
        <v>4</v>
      </c>
      <c r="B202" s="58">
        <f t="shared" si="26"/>
        <v>4</v>
      </c>
      <c r="C202" s="7">
        <v>3</v>
      </c>
      <c r="D202" s="40">
        <f t="shared" si="27"/>
        <v>0.42599999999999999</v>
      </c>
      <c r="E202" s="40">
        <f t="shared" si="25"/>
        <v>102.61</v>
      </c>
      <c r="F202" s="41">
        <f t="shared" si="28"/>
        <v>0.73</v>
      </c>
      <c r="G202" s="26">
        <f t="shared" si="29"/>
        <v>919800</v>
      </c>
      <c r="H202" s="26">
        <f t="shared" si="30"/>
        <v>459900</v>
      </c>
      <c r="I202" s="26">
        <f t="shared" si="31"/>
        <v>1586655</v>
      </c>
      <c r="J202" s="26">
        <f t="shared" si="32"/>
        <v>317331</v>
      </c>
      <c r="K202" s="26">
        <f t="shared" si="33"/>
        <v>1903986</v>
      </c>
    </row>
    <row r="203" spans="1:11" ht="20.25" thickBot="1" x14ac:dyDescent="0.3">
      <c r="A203" s="3">
        <v>5</v>
      </c>
      <c r="B203" s="58">
        <f t="shared" si="26"/>
        <v>8</v>
      </c>
      <c r="C203" s="7">
        <v>3</v>
      </c>
      <c r="D203" s="40">
        <f t="shared" si="27"/>
        <v>0.51500000000000001</v>
      </c>
      <c r="E203" s="40">
        <f t="shared" si="25"/>
        <v>102.61</v>
      </c>
      <c r="F203" s="41">
        <f t="shared" si="28"/>
        <v>0.88</v>
      </c>
      <c r="G203" s="26">
        <f t="shared" si="29"/>
        <v>2217600</v>
      </c>
      <c r="H203" s="26">
        <f t="shared" si="30"/>
        <v>1108800</v>
      </c>
      <c r="I203" s="26">
        <f t="shared" si="31"/>
        <v>3825360</v>
      </c>
      <c r="J203" s="26">
        <f t="shared" si="32"/>
        <v>765072</v>
      </c>
      <c r="K203" s="26">
        <f t="shared" si="33"/>
        <v>4590432</v>
      </c>
    </row>
    <row r="204" spans="1:11" ht="20.25" thickBot="1" x14ac:dyDescent="0.3">
      <c r="A204" s="10">
        <v>6</v>
      </c>
      <c r="B204" s="58">
        <f t="shared" si="26"/>
        <v>3</v>
      </c>
      <c r="C204" s="27">
        <v>3</v>
      </c>
      <c r="D204" s="40">
        <f t="shared" si="27"/>
        <v>1.766</v>
      </c>
      <c r="E204" s="40">
        <f t="shared" si="25"/>
        <v>102.61</v>
      </c>
      <c r="F204" s="41">
        <f t="shared" si="28"/>
        <v>3.02</v>
      </c>
      <c r="G204" s="26">
        <f t="shared" si="29"/>
        <v>2853900</v>
      </c>
      <c r="H204" s="26">
        <f t="shared" si="30"/>
        <v>1426950</v>
      </c>
      <c r="I204" s="26">
        <f t="shared" si="31"/>
        <v>4922977.5</v>
      </c>
      <c r="J204" s="26">
        <f t="shared" si="32"/>
        <v>984595.5</v>
      </c>
      <c r="K204" s="26">
        <f t="shared" si="33"/>
        <v>5907573</v>
      </c>
    </row>
    <row r="205" spans="1:11" ht="20.25" thickBot="1" x14ac:dyDescent="0.3">
      <c r="A205" s="10">
        <v>7</v>
      </c>
      <c r="B205" s="58">
        <f t="shared" si="26"/>
        <v>4</v>
      </c>
      <c r="C205" s="27">
        <v>3</v>
      </c>
      <c r="D205" s="40">
        <f t="shared" si="27"/>
        <v>0.71</v>
      </c>
      <c r="E205" s="40">
        <f t="shared" si="25"/>
        <v>102.61</v>
      </c>
      <c r="F205" s="41">
        <f t="shared" si="28"/>
        <v>1.21</v>
      </c>
      <c r="G205" s="26">
        <f t="shared" si="29"/>
        <v>1524600</v>
      </c>
      <c r="H205" s="26">
        <f t="shared" si="30"/>
        <v>762300</v>
      </c>
      <c r="I205" s="26">
        <f t="shared" si="31"/>
        <v>2629935</v>
      </c>
      <c r="J205" s="26">
        <f t="shared" si="32"/>
        <v>525987</v>
      </c>
      <c r="K205" s="26">
        <f t="shared" si="33"/>
        <v>3155922</v>
      </c>
    </row>
    <row r="206" spans="1:11" ht="20.25" thickBot="1" x14ac:dyDescent="0.3">
      <c r="A206" s="10">
        <v>8</v>
      </c>
      <c r="B206" s="58">
        <f t="shared" si="26"/>
        <v>2</v>
      </c>
      <c r="C206" s="27">
        <v>3</v>
      </c>
      <c r="D206" s="40">
        <f t="shared" si="27"/>
        <v>2.4</v>
      </c>
      <c r="E206" s="40">
        <f t="shared" si="25"/>
        <v>102.61</v>
      </c>
      <c r="F206" s="41">
        <f t="shared" si="28"/>
        <v>4.0999999999999996</v>
      </c>
      <c r="G206" s="26">
        <f t="shared" si="29"/>
        <v>2583000</v>
      </c>
      <c r="H206" s="26">
        <f t="shared" si="30"/>
        <v>1291500</v>
      </c>
      <c r="I206" s="26">
        <f t="shared" si="31"/>
        <v>4455675</v>
      </c>
      <c r="J206" s="26">
        <f>ROUND($D144*$B206,2)</f>
        <v>891135</v>
      </c>
      <c r="K206" s="26">
        <f t="shared" si="33"/>
        <v>5346810</v>
      </c>
    </row>
    <row r="207" spans="1:11" ht="20.25" thickBot="1" x14ac:dyDescent="0.3">
      <c r="A207" s="1" t="s">
        <v>44</v>
      </c>
      <c r="B207" s="13">
        <f>C46</f>
        <v>62</v>
      </c>
      <c r="C207" s="38"/>
      <c r="D207" s="32"/>
      <c r="E207" s="32"/>
      <c r="F207" s="39"/>
      <c r="G207" s="15">
        <f>ROUND(SUM(G$199:G$206),2)</f>
        <v>15359400</v>
      </c>
      <c r="H207" s="15">
        <f>ROUND(SUM(H$199:H$206),2)</f>
        <v>7679700</v>
      </c>
      <c r="I207" s="15">
        <f>ROUND(SUM(I$199:I$206),2)</f>
        <v>26494965</v>
      </c>
      <c r="J207" s="15">
        <f>ROUND(SUM(J$199:J$206),2)</f>
        <v>5298993</v>
      </c>
      <c r="K207" s="103">
        <f>ROUND(SUM(K$199:K$206),2)</f>
        <v>31793958</v>
      </c>
    </row>
    <row r="208" spans="1:11" ht="20.25" thickBot="1" x14ac:dyDescent="0.3">
      <c r="A208" s="154" t="s">
        <v>59</v>
      </c>
      <c r="B208" s="155"/>
      <c r="C208" s="155"/>
      <c r="D208" s="155"/>
      <c r="E208" s="155"/>
      <c r="F208" s="155"/>
      <c r="G208" s="155"/>
      <c r="H208" s="155"/>
      <c r="I208" s="155"/>
      <c r="J208" s="155"/>
      <c r="K208" s="150"/>
    </row>
    <row r="209" spans="1:11" ht="20.25" thickBot="1" x14ac:dyDescent="0.3">
      <c r="A209" s="16" t="s">
        <v>60</v>
      </c>
      <c r="B209" s="8">
        <f>C47</f>
        <v>4.34</v>
      </c>
      <c r="C209" s="18">
        <f>B67</f>
        <v>3</v>
      </c>
      <c r="D209" s="151">
        <f>D154</f>
        <v>1775</v>
      </c>
      <c r="E209" s="8">
        <f>C67</f>
        <v>88.51</v>
      </c>
      <c r="F209" s="35"/>
      <c r="G209" s="25">
        <f>D155</f>
        <v>681836.79</v>
      </c>
      <c r="H209" s="26">
        <f>D162</f>
        <v>272734.71999999997</v>
      </c>
      <c r="I209" s="8">
        <f>D169</f>
        <v>1097757.24</v>
      </c>
      <c r="J209" s="8">
        <f>D176</f>
        <v>219551.45</v>
      </c>
      <c r="K209" s="8">
        <f>D183</f>
        <v>1317308.69</v>
      </c>
    </row>
    <row r="210" spans="1:11" ht="20.25" thickBot="1" x14ac:dyDescent="0.3">
      <c r="A210" s="3" t="s">
        <v>61</v>
      </c>
      <c r="B210" s="58">
        <f t="shared" ref="B210:B217" si="34">C48</f>
        <v>1.88</v>
      </c>
      <c r="C210" s="56">
        <f t="shared" ref="C210:C215" si="35">B68</f>
        <v>2</v>
      </c>
      <c r="D210" s="152"/>
      <c r="E210" s="58">
        <f t="shared" ref="E210:E215" si="36">C68</f>
        <v>80.400000000000006</v>
      </c>
      <c r="F210" s="36"/>
      <c r="G210" s="25">
        <f t="shared" ref="G210:G214" si="37">D156</f>
        <v>268294.8</v>
      </c>
      <c r="H210" s="26">
        <f t="shared" ref="H210:H215" si="38">D163</f>
        <v>107317.92</v>
      </c>
      <c r="I210" s="58">
        <f t="shared" ref="I210:I214" si="39">D170</f>
        <v>431954.63</v>
      </c>
      <c r="J210" s="58">
        <f t="shared" ref="J210:J215" si="40">D177</f>
        <v>86390.93</v>
      </c>
      <c r="K210" s="58">
        <f t="shared" ref="K210:K215" si="41">D184</f>
        <v>518345.56</v>
      </c>
    </row>
    <row r="211" spans="1:11" ht="20.25" thickBot="1" x14ac:dyDescent="0.3">
      <c r="A211" s="3" t="s">
        <v>62</v>
      </c>
      <c r="B211" s="58">
        <f t="shared" si="34"/>
        <v>5.6</v>
      </c>
      <c r="C211" s="56">
        <f t="shared" si="35"/>
        <v>5</v>
      </c>
      <c r="D211" s="152"/>
      <c r="E211" s="58">
        <f t="shared" si="36"/>
        <v>113.59</v>
      </c>
      <c r="F211" s="36"/>
      <c r="G211" s="25">
        <f t="shared" si="37"/>
        <v>1129084.6000000001</v>
      </c>
      <c r="H211" s="26">
        <f t="shared" si="38"/>
        <v>451633.84</v>
      </c>
      <c r="I211" s="58">
        <f t="shared" si="39"/>
        <v>1817826.21</v>
      </c>
      <c r="J211" s="58">
        <f t="shared" si="40"/>
        <v>363565.24</v>
      </c>
      <c r="K211" s="58">
        <f t="shared" si="41"/>
        <v>2181391.4500000002</v>
      </c>
    </row>
    <row r="212" spans="1:11" ht="20.25" thickBot="1" x14ac:dyDescent="0.3">
      <c r="A212" s="3" t="s">
        <v>63</v>
      </c>
      <c r="B212" s="58">
        <f t="shared" si="34"/>
        <v>0.56000000000000005</v>
      </c>
      <c r="C212" s="56">
        <f t="shared" si="35"/>
        <v>4</v>
      </c>
      <c r="D212" s="152"/>
      <c r="E212" s="58">
        <f t="shared" si="36"/>
        <v>99.58</v>
      </c>
      <c r="F212" s="36"/>
      <c r="G212" s="25">
        <f t="shared" si="37"/>
        <v>98982.52</v>
      </c>
      <c r="H212" s="26">
        <f t="shared" si="38"/>
        <v>39593.01</v>
      </c>
      <c r="I212" s="58">
        <f t="shared" si="39"/>
        <v>159361.85999999999</v>
      </c>
      <c r="J212" s="58">
        <f t="shared" si="40"/>
        <v>31872.37</v>
      </c>
      <c r="K212" s="58">
        <f t="shared" si="41"/>
        <v>191234.23</v>
      </c>
    </row>
    <row r="213" spans="1:11" ht="20.25" thickBot="1" x14ac:dyDescent="0.3">
      <c r="A213" s="3" t="s">
        <v>64</v>
      </c>
      <c r="B213" s="58">
        <f t="shared" si="34"/>
        <v>2.2400000000000002</v>
      </c>
      <c r="C213" s="56">
        <f t="shared" si="35"/>
        <v>4</v>
      </c>
      <c r="D213" s="152"/>
      <c r="E213" s="58">
        <f t="shared" si="36"/>
        <v>99.58</v>
      </c>
      <c r="F213" s="36"/>
      <c r="G213" s="25">
        <f t="shared" si="37"/>
        <v>395930.08</v>
      </c>
      <c r="H213" s="26">
        <f t="shared" si="38"/>
        <v>158372.03</v>
      </c>
      <c r="I213" s="58">
        <f t="shared" si="39"/>
        <v>637447.43000000005</v>
      </c>
      <c r="J213" s="58">
        <f t="shared" si="40"/>
        <v>127489.49</v>
      </c>
      <c r="K213" s="58">
        <f t="shared" si="41"/>
        <v>764936.92</v>
      </c>
    </row>
    <row r="214" spans="1:11" ht="20.25" thickBot="1" x14ac:dyDescent="0.3">
      <c r="A214" s="3" t="s">
        <v>65</v>
      </c>
      <c r="B214" s="58">
        <f t="shared" si="34"/>
        <v>1.24</v>
      </c>
      <c r="C214" s="56">
        <f t="shared" si="35"/>
        <v>1</v>
      </c>
      <c r="D214" s="152"/>
      <c r="E214" s="58">
        <f t="shared" si="36"/>
        <v>73.760000000000005</v>
      </c>
      <c r="F214" s="36"/>
      <c r="G214" s="25">
        <f t="shared" si="37"/>
        <v>162345.76</v>
      </c>
      <c r="H214" s="26">
        <f t="shared" si="38"/>
        <v>64938.3</v>
      </c>
      <c r="I214" s="58">
        <f t="shared" si="39"/>
        <v>261376.67</v>
      </c>
      <c r="J214" s="58">
        <f t="shared" si="40"/>
        <v>52275.33</v>
      </c>
      <c r="K214" s="58">
        <f t="shared" si="41"/>
        <v>313652</v>
      </c>
    </row>
    <row r="215" spans="1:11" ht="20.25" thickBot="1" x14ac:dyDescent="0.3">
      <c r="A215" s="10" t="s">
        <v>66</v>
      </c>
      <c r="B215" s="58">
        <f t="shared" si="34"/>
        <v>5.6</v>
      </c>
      <c r="C215" s="56">
        <f t="shared" si="35"/>
        <v>6</v>
      </c>
      <c r="D215" s="153"/>
      <c r="E215" s="58">
        <f t="shared" si="36"/>
        <v>132.77000000000001</v>
      </c>
      <c r="F215" s="37"/>
      <c r="G215" s="25">
        <f>D161</f>
        <v>1319733.8</v>
      </c>
      <c r="H215" s="26">
        <f t="shared" si="38"/>
        <v>527893.52</v>
      </c>
      <c r="I215" s="58">
        <f>D175</f>
        <v>2124771.42</v>
      </c>
      <c r="J215" s="58">
        <f t="shared" si="40"/>
        <v>424954.28</v>
      </c>
      <c r="K215" s="58">
        <f t="shared" si="41"/>
        <v>2549725.7000000002</v>
      </c>
    </row>
    <row r="216" spans="1:11" ht="20.25" thickBot="1" x14ac:dyDescent="0.3">
      <c r="A216" s="1" t="s">
        <v>44</v>
      </c>
      <c r="B216" s="58">
        <f t="shared" si="34"/>
        <v>21.46</v>
      </c>
      <c r="C216" s="30"/>
      <c r="D216" s="31"/>
      <c r="E216" s="32"/>
      <c r="F216" s="33"/>
      <c r="G216" s="14">
        <f>ROUND(SUM(G209:G215),2)</f>
        <v>4056208.35</v>
      </c>
      <c r="H216" s="14">
        <f>ROUND(SUM(H209:H215),2)</f>
        <v>1622483.34</v>
      </c>
      <c r="I216" s="14">
        <f>ROUND(SUM(I209:I215),2)</f>
        <v>6530495.46</v>
      </c>
      <c r="J216" s="14">
        <f>ROUND(SUM(J209:J215),2)</f>
        <v>1306099.0900000001</v>
      </c>
      <c r="K216" s="104">
        <f>ROUND(SUM(K209:K215),2)</f>
        <v>7836594.5499999998</v>
      </c>
    </row>
    <row r="217" spans="1:11" ht="20.25" thickBot="1" x14ac:dyDescent="0.3">
      <c r="A217" s="4" t="s">
        <v>67</v>
      </c>
      <c r="B217" s="58">
        <f t="shared" si="34"/>
        <v>3.1</v>
      </c>
      <c r="C217" s="28"/>
      <c r="D217" s="29"/>
      <c r="E217" s="42">
        <v>40000</v>
      </c>
      <c r="F217" s="34"/>
      <c r="G217" s="12">
        <f>D190</f>
        <v>1364000</v>
      </c>
      <c r="H217" s="17">
        <f>D191</f>
        <v>818400</v>
      </c>
      <c r="I217" s="17">
        <f>D192</f>
        <v>2509760</v>
      </c>
      <c r="J217" s="17">
        <f>D193</f>
        <v>501952</v>
      </c>
      <c r="K217" s="24">
        <f>D194</f>
        <v>3011712</v>
      </c>
    </row>
    <row r="218" spans="1:11" ht="20.25" thickBot="1" x14ac:dyDescent="0.3">
      <c r="A218" s="19" t="s">
        <v>68</v>
      </c>
      <c r="B218" s="58">
        <f>ROUND(SUM(B207,B216:B217),2)</f>
        <v>86.56</v>
      </c>
      <c r="C218" s="70"/>
      <c r="D218" s="71"/>
      <c r="E218" s="71"/>
      <c r="F218" s="71"/>
      <c r="G218" s="58">
        <f>ROUND(SUM(G207,G216:G217),2)</f>
        <v>20779608.350000001</v>
      </c>
      <c r="H218" s="58">
        <f t="shared" ref="H218:J218" si="42">ROUND(SUM(H207,H216:H217),2)</f>
        <v>10120583.34</v>
      </c>
      <c r="I218" s="58">
        <f t="shared" si="42"/>
        <v>35535220.460000001</v>
      </c>
      <c r="J218" s="58">
        <f t="shared" si="42"/>
        <v>7107044.0899999999</v>
      </c>
      <c r="K218" s="93">
        <f>ROUND(SUM(K207,K216:K217),2)</f>
        <v>42642264.549999997</v>
      </c>
    </row>
    <row r="219" spans="1:11" x14ac:dyDescent="0.25">
      <c r="A219" s="45"/>
    </row>
    <row r="220" spans="1:11" x14ac:dyDescent="0.25">
      <c r="A220" s="45" t="s">
        <v>105</v>
      </c>
      <c r="E220" s="54" t="s">
        <v>89</v>
      </c>
    </row>
    <row r="221" spans="1:11" x14ac:dyDescent="0.25">
      <c r="A221" s="134" t="str">
        <f>"Среднегодовая зарплата работающего по участку = "&amp;K212&amp;"/"&amp;B212&amp;" ="</f>
        <v>Среднегодовая зарплата работающего по участку = 191234,23/0,56 =</v>
      </c>
      <c r="B221" s="134"/>
      <c r="C221" s="134"/>
      <c r="D221" s="73">
        <f>B232</f>
        <v>492632.45</v>
      </c>
    </row>
    <row r="222" spans="1:11" x14ac:dyDescent="0.25">
      <c r="A222" s="134" t="str">
        <f>"Среднегодовая зарплата работающего по участку = "&amp;K201&amp;"/"&amp;B201&amp;" ="</f>
        <v>Среднегодовая зарплата работающего по участку = 1695330/2 =</v>
      </c>
      <c r="B222" s="134"/>
      <c r="C222" s="134"/>
      <c r="D222" s="73">
        <f t="shared" ref="D222:D224" si="43">B233</f>
        <v>512805.77</v>
      </c>
    </row>
    <row r="223" spans="1:11" x14ac:dyDescent="0.25">
      <c r="A223" s="134" t="str">
        <f>"Среднегодовая зарплата работающего по участку = "&amp;K210&amp;"/"&amp;B210&amp;" ="</f>
        <v>Среднегодовая зарплата работающего по участку = 518345,56/1,88 =</v>
      </c>
      <c r="B223" s="134"/>
      <c r="C223" s="134"/>
      <c r="D223" s="73">
        <f t="shared" si="43"/>
        <v>365172.16</v>
      </c>
    </row>
    <row r="224" spans="1:11" x14ac:dyDescent="0.25">
      <c r="A224" s="134" t="str">
        <f>"Среднегодовая зарплата работающего по участку = "&amp;K211&amp;"/"&amp;B211&amp;" ="</f>
        <v>Среднегодовая зарплата работающего по участку = 2181391,45/5,6 =</v>
      </c>
      <c r="B224" s="134"/>
      <c r="C224" s="134"/>
      <c r="D224" s="73">
        <f t="shared" si="43"/>
        <v>971520</v>
      </c>
    </row>
    <row r="225" spans="1:6" x14ac:dyDescent="0.25">
      <c r="A225" s="134" t="str">
        <f>"Среднемесячная зарплата работающего по участку = "&amp;B216&amp;"/12 ="</f>
        <v>Среднемесячная зарплата работающего по участку = 21,46/12 =</v>
      </c>
      <c r="B225" s="134"/>
      <c r="C225" s="134"/>
      <c r="D225" s="73">
        <f>C232</f>
        <v>41052.699999999997</v>
      </c>
    </row>
    <row r="226" spans="1:6" x14ac:dyDescent="0.25">
      <c r="A226" s="134" t="str">
        <f t="shared" ref="A226:A228" si="44">"Среднемесячная зарплата работающего по участку = "&amp;B217&amp;"/12 ="</f>
        <v>Среднемесячная зарплата работающего по участку = 3,1/12 =</v>
      </c>
      <c r="B226" s="134"/>
      <c r="C226" s="134"/>
      <c r="D226" s="73">
        <f t="shared" ref="D226:D228" si="45">C233</f>
        <v>42733.81</v>
      </c>
    </row>
    <row r="227" spans="1:6" x14ac:dyDescent="0.25">
      <c r="A227" s="134" t="str">
        <f t="shared" si="44"/>
        <v>Среднемесячная зарплата работающего по участку = 86,56/12 =</v>
      </c>
      <c r="B227" s="134"/>
      <c r="C227" s="134"/>
      <c r="D227" s="73">
        <f t="shared" si="45"/>
        <v>30431.01</v>
      </c>
    </row>
    <row r="228" spans="1:6" x14ac:dyDescent="0.25">
      <c r="A228" s="134" t="str">
        <f t="shared" si="44"/>
        <v>Среднемесячная зарплата работающего по участку = /12 =</v>
      </c>
      <c r="B228" s="134"/>
      <c r="C228" s="134"/>
      <c r="D228" s="73">
        <f t="shared" si="45"/>
        <v>80960</v>
      </c>
    </row>
    <row r="229" spans="1:6" x14ac:dyDescent="0.25">
      <c r="A229" s="45"/>
    </row>
    <row r="230" spans="1:6" ht="20.25" thickBot="1" x14ac:dyDescent="0.3">
      <c r="A230" s="45" t="s">
        <v>87</v>
      </c>
    </row>
    <row r="231" spans="1:6" ht="39.75" thickBot="1" x14ac:dyDescent="0.3">
      <c r="A231" s="1" t="s">
        <v>71</v>
      </c>
      <c r="B231" s="1" t="s">
        <v>72</v>
      </c>
      <c r="C231" s="43" t="s">
        <v>73</v>
      </c>
    </row>
    <row r="232" spans="1:6" x14ac:dyDescent="0.25">
      <c r="A232" s="2" t="s">
        <v>74</v>
      </c>
      <c r="B232" s="2">
        <f>ROUND(K218/B218,2)</f>
        <v>492632.45</v>
      </c>
      <c r="C232" s="2">
        <f>ROUND(B232/12,2)</f>
        <v>41052.699999999997</v>
      </c>
    </row>
    <row r="233" spans="1:6" x14ac:dyDescent="0.25">
      <c r="A233" s="3" t="s">
        <v>75</v>
      </c>
      <c r="B233" s="3">
        <f>ROUND(K207/B207,2)</f>
        <v>512805.77</v>
      </c>
      <c r="C233" s="2">
        <f t="shared" ref="C233:C235" si="46">ROUND(B233/12,2)</f>
        <v>42733.81</v>
      </c>
    </row>
    <row r="234" spans="1:6" ht="20.25" thickBot="1" x14ac:dyDescent="0.3">
      <c r="A234" s="3" t="s">
        <v>76</v>
      </c>
      <c r="B234" s="44">
        <f>ROUND(K216/B216,2)</f>
        <v>365172.16</v>
      </c>
      <c r="C234" s="2">
        <f t="shared" si="46"/>
        <v>30431.01</v>
      </c>
    </row>
    <row r="235" spans="1:6" ht="20.25" thickBot="1" x14ac:dyDescent="0.3">
      <c r="A235" s="44" t="s">
        <v>43</v>
      </c>
      <c r="B235" s="57">
        <f>ROUND(K217/B217,2)</f>
        <v>971520</v>
      </c>
      <c r="C235" s="2">
        <f t="shared" si="46"/>
        <v>80960</v>
      </c>
    </row>
    <row r="237" spans="1:6" x14ac:dyDescent="0.25">
      <c r="A237" s="45" t="s">
        <v>106</v>
      </c>
      <c r="D237" s="60" t="s">
        <v>82</v>
      </c>
      <c r="E237" s="60"/>
      <c r="F237" s="45" t="s">
        <v>107</v>
      </c>
    </row>
    <row r="238" spans="1:6" x14ac:dyDescent="0.25">
      <c r="A238" s="134" t="str">
        <f>"Производственная площадь участка = "&amp;E238&amp;" * "&amp;C45&amp;" ="</f>
        <v>Производственная площадь участка = 18 * 28 =</v>
      </c>
      <c r="B238" s="134"/>
      <c r="C238" s="78">
        <f>ROUND(E238*C45,2)</f>
        <v>504</v>
      </c>
      <c r="D238" s="60" t="s">
        <v>108</v>
      </c>
      <c r="E238" s="78">
        <v>18</v>
      </c>
    </row>
    <row r="239" spans="1:6" x14ac:dyDescent="0.25">
      <c r="A239" s="134" t="str">
        <f>"Вспомогательная площадь участка = "&amp;E239&amp;" * "&amp;D63&amp;" ="</f>
        <v>Вспомогательная площадь участка = 2,5 * 43,28 =</v>
      </c>
      <c r="B239" s="134"/>
      <c r="C239" s="78">
        <f>ROUND(E239*D63,2)</f>
        <v>108.2</v>
      </c>
      <c r="D239" s="60" t="s">
        <v>109</v>
      </c>
      <c r="E239" s="78">
        <v>2.5</v>
      </c>
    </row>
    <row r="240" spans="1:6" x14ac:dyDescent="0.25">
      <c r="A240" s="134" t="str">
        <f>"Общая площадь участка = "&amp;C238&amp;" + "&amp;C239&amp;" ="</f>
        <v>Общая площадь участка = 504 + 108,2 =</v>
      </c>
      <c r="B240" s="134"/>
      <c r="C240" s="79">
        <f>C238+C239</f>
        <v>612.20000000000005</v>
      </c>
      <c r="D240" s="60" t="s">
        <v>110</v>
      </c>
      <c r="E240" s="78">
        <v>200000</v>
      </c>
    </row>
    <row r="241" spans="1:9" x14ac:dyDescent="0.25">
      <c r="A241" s="134" t="str">
        <f>"Стоимость площади участка = "&amp;C240&amp;" * "&amp;E240&amp;" ="</f>
        <v>Стоимость площади участка = 612,2 * 200000 =</v>
      </c>
      <c r="B241" s="134"/>
      <c r="C241" s="78">
        <f>C240*E240</f>
        <v>122440000.00000001</v>
      </c>
    </row>
    <row r="243" spans="1:9" ht="20.25" thickBot="1" x14ac:dyDescent="0.3">
      <c r="A243" s="45" t="s">
        <v>116</v>
      </c>
    </row>
    <row r="244" spans="1:9" ht="20.25" thickBot="1" x14ac:dyDescent="0.3">
      <c r="A244" s="1" t="s">
        <v>1</v>
      </c>
      <c r="B244" s="66" t="s">
        <v>28</v>
      </c>
      <c r="C244" s="66" t="s">
        <v>111</v>
      </c>
      <c r="D244" s="74" t="s">
        <v>112</v>
      </c>
      <c r="E244" s="74" t="s">
        <v>113</v>
      </c>
      <c r="F244" s="66" t="s">
        <v>114</v>
      </c>
      <c r="G244" s="66" t="s">
        <v>115</v>
      </c>
      <c r="I244" s="73"/>
    </row>
    <row r="245" spans="1:9" ht="20.25" thickBot="1" x14ac:dyDescent="0.3">
      <c r="A245" s="9">
        <v>1</v>
      </c>
      <c r="B245" s="80">
        <v>2</v>
      </c>
      <c r="C245" s="81">
        <v>3</v>
      </c>
      <c r="D245" s="82">
        <v>4</v>
      </c>
      <c r="E245" s="82">
        <v>5</v>
      </c>
      <c r="F245" s="81">
        <v>6</v>
      </c>
      <c r="G245" s="81">
        <v>7</v>
      </c>
    </row>
    <row r="246" spans="1:9" s="123" customFormat="1" ht="20.25" thickBot="1" x14ac:dyDescent="0.3">
      <c r="A246" s="9" t="str">
        <f>C2</f>
        <v>Токарно-револьверный 1Д325П</v>
      </c>
      <c r="B246" s="9">
        <f t="shared" ref="B246:C246" si="47">D2</f>
        <v>2</v>
      </c>
      <c r="C246" s="9">
        <f t="shared" si="47"/>
        <v>183</v>
      </c>
      <c r="D246" s="124">
        <f>B246*C246</f>
        <v>366</v>
      </c>
      <c r="E246" s="124">
        <f t="shared" ref="E246:E247" si="48">D246*5%</f>
        <v>18.3</v>
      </c>
      <c r="F246" s="125">
        <f t="shared" ref="F246:F247" si="49">D246*10%</f>
        <v>36.6</v>
      </c>
      <c r="G246" s="125">
        <f t="shared" ref="G246:G247" si="50">SUM(D246:F246)</f>
        <v>420.90000000000003</v>
      </c>
      <c r="I246" s="122"/>
    </row>
    <row r="247" spans="1:9" s="123" customFormat="1" ht="20.25" thickBot="1" x14ac:dyDescent="0.3">
      <c r="A247" s="9" t="str">
        <f t="shared" ref="A247:A248" si="51">C3</f>
        <v>Токарно-револьверный 1Д325П</v>
      </c>
      <c r="B247" s="9">
        <f t="shared" ref="B247:B248" si="52">D3</f>
        <v>3</v>
      </c>
      <c r="C247" s="9">
        <f t="shared" ref="C247:C248" si="53">E3</f>
        <v>283</v>
      </c>
      <c r="D247" s="124">
        <f>B247*C247</f>
        <v>849</v>
      </c>
      <c r="E247" s="124">
        <f t="shared" si="48"/>
        <v>42.45</v>
      </c>
      <c r="F247" s="125">
        <f t="shared" si="49"/>
        <v>84.9</v>
      </c>
      <c r="G247" s="125">
        <f t="shared" si="50"/>
        <v>976.35</v>
      </c>
      <c r="I247" s="122"/>
    </row>
    <row r="248" spans="1:9" ht="20.25" thickBot="1" x14ac:dyDescent="0.3">
      <c r="A248" s="9" t="str">
        <f t="shared" si="51"/>
        <v>Токарно-револьверный 1Д325П</v>
      </c>
      <c r="B248" s="9">
        <f t="shared" si="52"/>
        <v>2</v>
      </c>
      <c r="C248" s="9">
        <f t="shared" si="53"/>
        <v>83</v>
      </c>
      <c r="D248" s="72">
        <f>B248*C248</f>
        <v>166</v>
      </c>
      <c r="E248" s="72">
        <f>D248*5%</f>
        <v>8.3000000000000007</v>
      </c>
      <c r="F248" s="83">
        <f>D248*10%</f>
        <v>16.600000000000001</v>
      </c>
      <c r="G248" s="83">
        <f>SUM(D248:F248)</f>
        <v>190.9</v>
      </c>
    </row>
    <row r="249" spans="1:9" ht="20.25" thickBot="1" x14ac:dyDescent="0.3">
      <c r="A249" s="62" t="s">
        <v>16</v>
      </c>
      <c r="B249" s="62">
        <f>D5</f>
        <v>4</v>
      </c>
      <c r="C249" s="126">
        <f>E5</f>
        <v>387</v>
      </c>
      <c r="D249" s="76">
        <f t="shared" ref="D249:D253" si="54">B249*C249</f>
        <v>1548</v>
      </c>
      <c r="E249" s="76">
        <f t="shared" ref="E249:E253" si="55">D249*5%</f>
        <v>77.400000000000006</v>
      </c>
      <c r="F249" s="83">
        <f t="shared" ref="F249:F253" si="56">D249*10%</f>
        <v>154.80000000000001</v>
      </c>
      <c r="G249" s="83">
        <f t="shared" ref="G249:G253" si="57">SUM(D249:F249)</f>
        <v>1780.2</v>
      </c>
    </row>
    <row r="250" spans="1:9" ht="20.25" thickBot="1" x14ac:dyDescent="0.3">
      <c r="A250" s="62" t="s">
        <v>14</v>
      </c>
      <c r="B250" s="62">
        <f>D6</f>
        <v>8</v>
      </c>
      <c r="C250" s="126">
        <f>E6</f>
        <v>292</v>
      </c>
      <c r="D250" s="90">
        <f t="shared" si="54"/>
        <v>2336</v>
      </c>
      <c r="E250" s="90">
        <f t="shared" si="55"/>
        <v>116.80000000000001</v>
      </c>
      <c r="F250" s="83">
        <f t="shared" si="56"/>
        <v>233.60000000000002</v>
      </c>
      <c r="G250" s="83">
        <f t="shared" si="57"/>
        <v>2686.4</v>
      </c>
      <c r="I250" s="89"/>
    </row>
    <row r="251" spans="1:9" ht="20.25" thickBot="1" x14ac:dyDescent="0.3">
      <c r="A251" s="62" t="s">
        <v>14</v>
      </c>
      <c r="B251" s="62">
        <f>D8</f>
        <v>4</v>
      </c>
      <c r="C251" s="126">
        <f>E8</f>
        <v>774</v>
      </c>
      <c r="D251" s="76">
        <f>B251*C251</f>
        <v>3096</v>
      </c>
      <c r="E251" s="76">
        <f t="shared" si="55"/>
        <v>154.80000000000001</v>
      </c>
      <c r="F251" s="83">
        <f t="shared" si="56"/>
        <v>309.60000000000002</v>
      </c>
      <c r="G251" s="83">
        <f t="shared" si="57"/>
        <v>3560.4</v>
      </c>
    </row>
    <row r="252" spans="1:9" ht="20.25" thickBot="1" x14ac:dyDescent="0.3">
      <c r="A252" s="64" t="s">
        <v>17</v>
      </c>
      <c r="B252" s="62">
        <f>D7</f>
        <v>3</v>
      </c>
      <c r="C252" s="126">
        <f>E7</f>
        <v>445</v>
      </c>
      <c r="D252" s="76">
        <f t="shared" si="54"/>
        <v>1335</v>
      </c>
      <c r="E252" s="76">
        <f t="shared" si="55"/>
        <v>66.75</v>
      </c>
      <c r="F252" s="83">
        <f t="shared" si="56"/>
        <v>133.5</v>
      </c>
      <c r="G252" s="83">
        <f t="shared" si="57"/>
        <v>1535.25</v>
      </c>
    </row>
    <row r="253" spans="1:9" ht="20.25" thickBot="1" x14ac:dyDescent="0.3">
      <c r="A253" s="85" t="s">
        <v>18</v>
      </c>
      <c r="B253" s="80">
        <f>D9</f>
        <v>2</v>
      </c>
      <c r="C253" s="80">
        <f>E9</f>
        <v>578</v>
      </c>
      <c r="D253" s="76">
        <f t="shared" si="54"/>
        <v>1156</v>
      </c>
      <c r="E253" s="76">
        <f t="shared" si="55"/>
        <v>57.800000000000004</v>
      </c>
      <c r="F253" s="83">
        <f t="shared" si="56"/>
        <v>115.60000000000001</v>
      </c>
      <c r="G253" s="83">
        <f t="shared" si="57"/>
        <v>1329.3999999999999</v>
      </c>
    </row>
    <row r="254" spans="1:9" ht="20.25" thickBot="1" x14ac:dyDescent="0.3">
      <c r="A254" s="84" t="s">
        <v>44</v>
      </c>
      <c r="B254" s="66">
        <f>SUM(B248:B253)</f>
        <v>23</v>
      </c>
      <c r="C254" s="86"/>
      <c r="D254" s="75">
        <f>SUM(D248:D253)</f>
        <v>9637</v>
      </c>
      <c r="E254" s="92">
        <f t="shared" ref="E254:G254" si="58">SUM(E248:E253)</f>
        <v>481.85</v>
      </c>
      <c r="F254" s="92">
        <f t="shared" si="58"/>
        <v>963.7</v>
      </c>
      <c r="G254" s="92">
        <f t="shared" si="58"/>
        <v>11082.55</v>
      </c>
    </row>
    <row r="255" spans="1:9" x14ac:dyDescent="0.25">
      <c r="A255"/>
    </row>
    <row r="256" spans="1:9" x14ac:dyDescent="0.25">
      <c r="A256" s="134" t="str">
        <f>"Всего капитальных затрат = "&amp;G254&amp;" * 1 000 ="</f>
        <v>Всего капитальных затрат = 11082,55 * 1 000 =</v>
      </c>
      <c r="B256" s="134"/>
      <c r="C256" s="78">
        <f>G254*1000</f>
        <v>11082550</v>
      </c>
    </row>
    <row r="257" spans="1:9" ht="19.5" customHeight="1" x14ac:dyDescent="0.25">
      <c r="A257" s="134" t="str">
        <f>"Стоимость дорогостоящего и долгослужащего инструмента = "&amp;C256&amp;" * "&amp;IF(E47&gt;100000,1%,10%)&amp;" ="</f>
        <v>Стоимость дорогостоящего и долгослужащего инструмента = 11082550 * 0,01 =</v>
      </c>
      <c r="B257" s="134"/>
      <c r="C257" s="134"/>
      <c r="D257" s="87">
        <f>C256*IF(E47&gt;100000,1%,10%)</f>
        <v>110825.5</v>
      </c>
    </row>
    <row r="258" spans="1:9" x14ac:dyDescent="0.25">
      <c r="A258" s="134" t="str">
        <f>"Стоимость производственного и хозяйственного инвентаря = ("&amp;C241&amp;" + "&amp;C256&amp;") * 5% ="</f>
        <v>Стоимость производственного и хозяйственного инвентаря = (122440000 + 11082550) * 5% =</v>
      </c>
      <c r="B258" s="134"/>
      <c r="C258" s="134"/>
      <c r="D258" s="54">
        <f>(C241+C256)*5%</f>
        <v>6676127.5000000009</v>
      </c>
    </row>
    <row r="260" spans="1:9" ht="20.25" thickBot="1" x14ac:dyDescent="0.3">
      <c r="A260" s="73" t="s">
        <v>117</v>
      </c>
    </row>
    <row r="261" spans="1:9" ht="20.25" thickBot="1" x14ac:dyDescent="0.3">
      <c r="A261" s="137" t="s">
        <v>118</v>
      </c>
      <c r="B261" s="146"/>
      <c r="C261" s="66" t="s">
        <v>119</v>
      </c>
    </row>
    <row r="262" spans="1:9" ht="20.25" thickBot="1" x14ac:dyDescent="0.3">
      <c r="A262" s="156" t="s">
        <v>120</v>
      </c>
      <c r="B262" s="157"/>
      <c r="C262" s="100">
        <f>C241</f>
        <v>122440000.00000001</v>
      </c>
    </row>
    <row r="263" spans="1:9" ht="20.25" thickBot="1" x14ac:dyDescent="0.3">
      <c r="A263" s="158" t="s">
        <v>121</v>
      </c>
      <c r="B263" s="159"/>
      <c r="C263" s="101">
        <f>C256</f>
        <v>11082550</v>
      </c>
    </row>
    <row r="264" spans="1:9" ht="20.25" thickBot="1" x14ac:dyDescent="0.3">
      <c r="A264" s="158" t="s">
        <v>122</v>
      </c>
      <c r="B264" s="159"/>
      <c r="C264" s="101">
        <f>D257</f>
        <v>110825.5</v>
      </c>
    </row>
    <row r="265" spans="1:9" ht="20.25" thickBot="1" x14ac:dyDescent="0.3">
      <c r="A265" s="137" t="s">
        <v>123</v>
      </c>
      <c r="B265" s="146"/>
      <c r="C265" s="102">
        <f>D258</f>
        <v>6676127.5000000009</v>
      </c>
    </row>
    <row r="266" spans="1:9" ht="20.25" thickBot="1" x14ac:dyDescent="0.3">
      <c r="A266" s="137" t="s">
        <v>44</v>
      </c>
      <c r="B266" s="146"/>
      <c r="C266" s="102">
        <f>SUM(C262:C265)</f>
        <v>140309503.00000003</v>
      </c>
    </row>
    <row r="268" spans="1:9" x14ac:dyDescent="0.25">
      <c r="A268" s="73" t="s">
        <v>125</v>
      </c>
      <c r="E268" s="89" t="s">
        <v>82</v>
      </c>
      <c r="F268" s="89"/>
      <c r="G268" s="45" t="s">
        <v>107</v>
      </c>
    </row>
    <row r="269" spans="1:9" x14ac:dyDescent="0.25">
      <c r="A269" s="134" t="str">
        <f>"Прямые затраты ="&amp;B13&amp;" * "&amp;B15&amp;" * "&amp;F269&amp;" - "&amp;ROUND(B13-B14,2)&amp;" * "&amp;B16&amp;" ="</f>
        <v>Прямые затраты =11,2 * 473,7 * 1,03 - 1,16 * 11,23 =</v>
      </c>
      <c r="B269" s="134"/>
      <c r="C269" s="78">
        <f>ROUND(B13*B15*F269-(B13-B14)*B16,2)</f>
        <v>5451.58</v>
      </c>
      <c r="E269" s="89" t="s">
        <v>124</v>
      </c>
      <c r="F269" s="88">
        <v>1.03</v>
      </c>
    </row>
    <row r="270" spans="1:9" ht="19.5" customHeight="1" x14ac:dyDescent="0.25">
      <c r="A270" s="134" t="str">
        <f>"Величина основной ЗП производственных рабочих = "&amp;I207&amp;" / "&amp;E47&amp;" = "</f>
        <v xml:space="preserve">Величина основной ЗП производственных рабочих = 26494965 / 315000 = </v>
      </c>
      <c r="B270" s="134"/>
      <c r="C270" s="134"/>
      <c r="D270" s="54">
        <f>ROUND(I207/E47,2)</f>
        <v>84.11</v>
      </c>
      <c r="E270" s="87" t="s">
        <v>126</v>
      </c>
      <c r="F270" s="91">
        <v>0.05</v>
      </c>
    </row>
    <row r="271" spans="1:9" x14ac:dyDescent="0.25">
      <c r="A271" s="134" t="str">
        <f>"Величина доп. ЗП производственных рабочих = "&amp;J207&amp;" / "&amp;E47&amp;" = "</f>
        <v xml:space="preserve">Величина доп. ЗП производственных рабочих = 5298993 / 315000 = </v>
      </c>
      <c r="B271" s="134"/>
      <c r="C271" s="134"/>
      <c r="D271" s="94">
        <f>ROUND(J207/E47,2)</f>
        <v>16.82</v>
      </c>
      <c r="E271" s="89" t="s">
        <v>127</v>
      </c>
      <c r="F271" s="89">
        <v>45.88</v>
      </c>
    </row>
    <row r="272" spans="1:9" s="109" customFormat="1" x14ac:dyDescent="0.25">
      <c r="A272" s="134" t="str">
        <f>"Отчисления с ЗП ОПР = "&amp;K207&amp;" * 30% ="</f>
        <v>Отчисления с ЗП ОПР = 31793958 * 30% =</v>
      </c>
      <c r="B272" s="134"/>
      <c r="C272" s="134"/>
      <c r="D272" s="99">
        <f>K207*30%</f>
        <v>9538187.4000000004</v>
      </c>
      <c r="E272" s="99"/>
      <c r="F272" s="99"/>
      <c r="I272" s="99"/>
    </row>
    <row r="273" spans="1:6" x14ac:dyDescent="0.25">
      <c r="A273" s="134" t="str">
        <f>"Амортизационные отчисления = "&amp;C256&amp;" * (13,4% / 100%) + "&amp;D257&amp;" * (20% / 100%) = "</f>
        <v xml:space="preserve">Амортизационные отчисления = 11082550 * (13,4% / 100%) + 110825,5 * (20% / 100%) = </v>
      </c>
      <c r="B273" s="134"/>
      <c r="C273" s="134"/>
      <c r="D273" s="88">
        <f>ROUND(C256*(13.4%/100%)+D257*(20%/100%),2)</f>
        <v>1507226.8</v>
      </c>
      <c r="E273" s="94"/>
    </row>
    <row r="274" spans="1:6" x14ac:dyDescent="0.25">
      <c r="A274" s="134" t="str">
        <f>"Затраты на вспомогательные материалы = 0,5% * "&amp;C256&amp;" = "</f>
        <v xml:space="preserve">Затраты на вспомогательные материалы = 0,5% * 11082550 = </v>
      </c>
      <c r="B274" s="134"/>
      <c r="C274" s="134"/>
      <c r="D274" s="88">
        <f>ROUND(0.5%*C256,2)</f>
        <v>55412.75</v>
      </c>
      <c r="E274" s="94"/>
    </row>
    <row r="275" spans="1:6" x14ac:dyDescent="0.25">
      <c r="A275" s="134" t="str">
        <f>"Действительный фонд времени работы оборудования = "&amp;D153&amp;" * "&amp;E45&amp;" * (1 - "&amp;F270&amp;") ="</f>
        <v>Действительный фонд времени работы оборудования = 1994 * 2 * (1 - 0,05) =</v>
      </c>
      <c r="B275" s="134"/>
      <c r="C275" s="134"/>
      <c r="D275" s="105">
        <f>D153*E45*(1-F270)</f>
        <v>3788.6</v>
      </c>
      <c r="E275" s="94"/>
    </row>
    <row r="276" spans="1:6" ht="53.25" customHeight="1" x14ac:dyDescent="0.25">
      <c r="A276" s="134" t="str">
        <f>"Затраты на электроэнергию = 5,92 * "&amp;D275&amp;" *(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+ ("&amp;G8&amp;" * "&amp;H8&amp;" * "&amp;D8&amp;") + ("&amp;G9&amp;" * "&amp;H9&amp;" * "&amp;D9&amp;"))/100 ="</f>
        <v>Затраты на электроэнергию = 5,92 * 3788,6 *( (29 * 7,5 * 2) + (40 * 5,5 * 3) + (38 * 15,5 * 2) + (21 * 18 * 4) + (26 * 18 * 8) + (44,5 * 24 * 3) + (36 * 18 * 4) + (40 * 10 * 2))/100 =</v>
      </c>
      <c r="B276" s="134"/>
      <c r="C276" s="134"/>
      <c r="D276" s="105">
        <f>ROUND((5.92*D275*((D2*G2*H2)+(D3*G3*H3)+(D4*G4*H4)+(D5*G5*H5)+(D6*G6*H6)+(D7*G7*H7)+(D8*G8*H8)+(D9*G9*H9)))/100,2)</f>
        <v>3168027.32</v>
      </c>
      <c r="E276" s="77"/>
      <c r="F276" s="105"/>
    </row>
    <row r="277" spans="1:6" x14ac:dyDescent="0.25">
      <c r="A277" s="134" t="str">
        <f>"Потребление воды в моечных машинах = (0,5 * "&amp;B13&amp;" * "&amp;E47&amp;" * "&amp;F271&amp;") / 1000 ="</f>
        <v>Потребление воды в моечных машинах = (0,5 * 11,2 * 315000 * 45,88) / 1000 =</v>
      </c>
      <c r="B277" s="134"/>
      <c r="C277" s="134"/>
      <c r="D277" s="88">
        <f>ROUND((0.5*B13*E47*F271)/1000,2)</f>
        <v>80932.320000000007</v>
      </c>
      <c r="E277" s="94"/>
    </row>
    <row r="278" spans="1:6" x14ac:dyDescent="0.25">
      <c r="A278" s="134" t="str">
        <f>"Приготовление эмульсий = (4 / 1000) * "&amp;C45&amp;" * 250 * "&amp;E45&amp;" * "&amp;F271&amp;" ="</f>
        <v>Приготовление эмульсий = (4 / 1000) * 28 * 250 * 2 * 45,88 =</v>
      </c>
      <c r="B278" s="134"/>
      <c r="C278" s="134"/>
      <c r="D278" s="88">
        <f>ROUND(4/1000*C45*250*F271*E45,1)</f>
        <v>2569.3000000000002</v>
      </c>
      <c r="E278" s="94"/>
    </row>
    <row r="279" spans="1:6" x14ac:dyDescent="0.25">
      <c r="A279" s="134" t="str">
        <f>"Расход воздуха = 0,5 * 250 * "&amp;C45&amp;" * "&amp;E45&amp;" * 300 ="</f>
        <v>Расход воздуха = 0,5 * 250 * 28 * 2 * 300 =</v>
      </c>
      <c r="B279" s="134"/>
      <c r="C279" s="134"/>
      <c r="D279" s="88">
        <f>ROUND(0.5*250*C45*E45*300,2)</f>
        <v>2100000</v>
      </c>
      <c r="E279" s="94"/>
    </row>
    <row r="280" spans="1:6" x14ac:dyDescent="0.25">
      <c r="A280" s="134" t="s">
        <v>128</v>
      </c>
      <c r="B280" s="134"/>
      <c r="C280" s="134"/>
      <c r="D280" s="88">
        <f>ROUND(SUM(D277:D279),2)</f>
        <v>2183501.62</v>
      </c>
      <c r="E280" s="94"/>
    </row>
    <row r="281" spans="1:6" x14ac:dyDescent="0.25">
      <c r="A281" s="134" t="str">
        <f>"ЗсЕСН = ("&amp;K212&amp;" + "&amp;K213&amp;" + "&amp;K215&amp;") * 1,3 ="</f>
        <v>ЗсЕСН = (191234,23 + 764936,92 + 2549725,7) * 1,3 =</v>
      </c>
      <c r="B281" s="134"/>
      <c r="C281" s="134"/>
      <c r="D281" s="88">
        <f>ROUND((K212+K213+K215)*1.3,2)</f>
        <v>4557665.91</v>
      </c>
      <c r="E281" s="94"/>
    </row>
    <row r="282" spans="1:6" x14ac:dyDescent="0.25">
      <c r="A282" s="134" t="str">
        <f>"Змбп = 4210 * "&amp;B63&amp;" ="</f>
        <v>Змбп = 4210 * 86,56 =</v>
      </c>
      <c r="B282" s="134"/>
      <c r="C282" s="134"/>
      <c r="D282" s="88">
        <f>ROUND(4210*B63,2)</f>
        <v>364417.6</v>
      </c>
      <c r="E282" s="94"/>
    </row>
    <row r="283" spans="1:6" x14ac:dyDescent="0.25">
      <c r="A283" s="134" t="str">
        <f>"ΣR = ("&amp;I2&amp;" * "&amp;D2&amp;") + ("&amp;I3&amp;" * "&amp;D3&amp;") + ("&amp;I4&amp;" * "&amp;D4&amp;") + ("&amp;I5&amp;" * "&amp;D5&amp;") + ("&amp;I6&amp;" * "&amp;D6&amp;") + ("&amp;I7&amp;" * "&amp;D7&amp;") + ("&amp;I8&amp;" * "&amp;D8&amp;") + ("&amp;I9&amp;" * "&amp;D9&amp;") ="</f>
        <v>ΣR = (26 * 2) + (26 * 3) + (26 * 2) + (46 * 4) + (20 * 8) + (13 * 3) + (20 * 4) + (30 * 2) =</v>
      </c>
      <c r="B283" s="134"/>
      <c r="C283" s="134"/>
      <c r="D283" s="88">
        <f>AE11</f>
        <v>705</v>
      </c>
      <c r="E283" s="94"/>
    </row>
    <row r="284" spans="1:6" x14ac:dyDescent="0.25">
      <c r="A284" s="134" t="str">
        <f>"Затраты на материалы = 50% * "&amp;G211&amp;" ="</f>
        <v>Затраты на материалы = 50% * 1129084,6 =</v>
      </c>
      <c r="B284" s="134"/>
      <c r="C284" s="134"/>
      <c r="D284" s="88">
        <f>ROUND(50%*G211,2)</f>
        <v>564542.30000000005</v>
      </c>
      <c r="E284" s="94"/>
    </row>
    <row r="285" spans="1:6" x14ac:dyDescent="0.25">
      <c r="A285" s="134" t="str">
        <f>"Зрем = ("&amp;D283&amp;" * "&amp;E211&amp;" * (6 * 0,85 + 4 * 6 + 1 * 9 + 1 + 51,1) * 1,4 * 1,2 * 1,15 * 1,3) * (1/5) + "&amp;D284&amp;" ="</f>
        <v>Зрем = (705 * 113,59 * (6 * 0,85 + 4 * 6 + 1 * 9 + 1 + 51,1) * 1,4 * 1,2 * 1,15 * 1,3) * (1/5) + 564542,3 =</v>
      </c>
      <c r="B285" s="134"/>
      <c r="C285" s="134"/>
      <c r="D285" s="88">
        <f>ROUND((D283*E211*(6*0.85+4*6+9+51.1)*1.4*1.2*1.15*1.3)*(1/5)+D284,2)</f>
        <v>4152724.94</v>
      </c>
      <c r="E285" s="94"/>
    </row>
    <row r="287" spans="1:6" ht="20.25" thickBot="1" x14ac:dyDescent="0.3">
      <c r="A287" s="94" t="s">
        <v>129</v>
      </c>
    </row>
    <row r="288" spans="1:6" ht="20.25" customHeight="1" thickBot="1" x14ac:dyDescent="0.3">
      <c r="A288" s="137" t="s">
        <v>130</v>
      </c>
      <c r="B288" s="146"/>
      <c r="C288" s="61" t="s">
        <v>131</v>
      </c>
    </row>
    <row r="289" spans="1:3" ht="20.25" thickBot="1" x14ac:dyDescent="0.3">
      <c r="A289" s="137" t="s">
        <v>132</v>
      </c>
      <c r="B289" s="146"/>
      <c r="C289" s="106">
        <f>D273</f>
        <v>1507226.8</v>
      </c>
    </row>
    <row r="290" spans="1:3" ht="20.25" thickBot="1" x14ac:dyDescent="0.3">
      <c r="A290" s="137" t="s">
        <v>133</v>
      </c>
      <c r="B290" s="138"/>
      <c r="C290" s="146"/>
    </row>
    <row r="291" spans="1:3" ht="20.25" thickBot="1" x14ac:dyDescent="0.3">
      <c r="A291" s="147" t="str">
        <f>"- затраты на вспомогательные материалы"</f>
        <v>- затраты на вспомогательные материалы</v>
      </c>
      <c r="B291" s="151"/>
      <c r="C291" s="107">
        <f>D274</f>
        <v>55412.75</v>
      </c>
    </row>
    <row r="292" spans="1:3" ht="20.25" thickBot="1" x14ac:dyDescent="0.3">
      <c r="A292" s="160" t="str">
        <f>"- затраты на электроэнергию"</f>
        <v>- затраты на электроэнергию</v>
      </c>
      <c r="B292" s="152"/>
      <c r="C292" s="107">
        <f>D276</f>
        <v>3168027.32</v>
      </c>
    </row>
    <row r="293" spans="1:3" ht="20.25" thickBot="1" x14ac:dyDescent="0.3">
      <c r="A293" s="142" t="str">
        <f>"- затраты на воду и сжатый воздух"</f>
        <v>- затраты на воду и сжатый воздух</v>
      </c>
      <c r="B293" s="144"/>
      <c r="C293" s="107">
        <f>D280</f>
        <v>2183501.62</v>
      </c>
    </row>
    <row r="294" spans="1:3" ht="40.5" customHeight="1" thickBot="1" x14ac:dyDescent="0.3">
      <c r="A294" s="142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94" s="144"/>
      <c r="C294" s="107">
        <f>D281</f>
        <v>4557665.91</v>
      </c>
    </row>
    <row r="295" spans="1:3" ht="20.25" thickBot="1" x14ac:dyDescent="0.3">
      <c r="A295" s="142" t="s">
        <v>134</v>
      </c>
      <c r="B295" s="144"/>
      <c r="C295" s="107">
        <f>D285</f>
        <v>4152724.94</v>
      </c>
    </row>
    <row r="296" spans="1:3" ht="20.25" thickBot="1" x14ac:dyDescent="0.3">
      <c r="A296" s="142" t="s">
        <v>135</v>
      </c>
      <c r="B296" s="144"/>
      <c r="C296" s="107">
        <f>D282</f>
        <v>364417.6</v>
      </c>
    </row>
    <row r="297" spans="1:3" ht="20.25" thickBot="1" x14ac:dyDescent="0.3">
      <c r="A297" s="142" t="s">
        <v>44</v>
      </c>
      <c r="B297" s="144"/>
      <c r="C297" s="107">
        <f>SUM(C289,C291:C296)</f>
        <v>15988976.939999999</v>
      </c>
    </row>
    <row r="298" spans="1:3" ht="20.25" thickBot="1" x14ac:dyDescent="0.3">
      <c r="A298" s="142" t="s">
        <v>136</v>
      </c>
      <c r="B298" s="144"/>
      <c r="C298" s="107">
        <f>D310</f>
        <v>32.270000000000003</v>
      </c>
    </row>
    <row r="299" spans="1:3" ht="20.25" thickBot="1" x14ac:dyDescent="0.3">
      <c r="A299" s="142" t="s">
        <v>137</v>
      </c>
      <c r="B299" s="144"/>
      <c r="C299" s="107">
        <f>B311</f>
        <v>5159642.8600000003</v>
      </c>
    </row>
    <row r="300" spans="1:3" ht="20.25" thickBot="1" x14ac:dyDescent="0.3">
      <c r="A300" s="131" t="s">
        <v>138</v>
      </c>
      <c r="B300" s="133"/>
      <c r="C300" s="107">
        <f>B312</f>
        <v>16.38</v>
      </c>
    </row>
    <row r="301" spans="1:3" x14ac:dyDescent="0.25">
      <c r="A301" s="94"/>
    </row>
    <row r="302" spans="1:3" x14ac:dyDescent="0.25">
      <c r="A302" s="94" t="s">
        <v>139</v>
      </c>
    </row>
    <row r="303" spans="1:3" x14ac:dyDescent="0.25">
      <c r="A303" s="98" t="s">
        <v>140</v>
      </c>
      <c r="B303" s="108" t="s">
        <v>28</v>
      </c>
      <c r="C303" s="108" t="s">
        <v>141</v>
      </c>
    </row>
    <row r="304" spans="1:3" x14ac:dyDescent="0.25">
      <c r="A304" s="98" t="s">
        <v>142</v>
      </c>
      <c r="B304" s="108">
        <v>6</v>
      </c>
      <c r="C304" s="108">
        <v>0.85</v>
      </c>
    </row>
    <row r="305" spans="1:9" x14ac:dyDescent="0.25">
      <c r="A305" s="98" t="s">
        <v>143</v>
      </c>
      <c r="B305" s="108">
        <v>4</v>
      </c>
      <c r="C305" s="108">
        <v>6</v>
      </c>
    </row>
    <row r="306" spans="1:9" x14ac:dyDescent="0.25">
      <c r="A306" s="98" t="s">
        <v>144</v>
      </c>
      <c r="B306" s="108">
        <v>1</v>
      </c>
      <c r="C306" s="108">
        <v>9</v>
      </c>
    </row>
    <row r="307" spans="1:9" x14ac:dyDescent="0.25">
      <c r="A307" s="98" t="s">
        <v>145</v>
      </c>
      <c r="B307" s="108">
        <v>1</v>
      </c>
      <c r="C307" s="108">
        <v>51.1</v>
      </c>
    </row>
    <row r="309" spans="1:9" x14ac:dyDescent="0.25">
      <c r="A309" s="73" t="s">
        <v>125</v>
      </c>
    </row>
    <row r="310" spans="1:9" x14ac:dyDescent="0.25">
      <c r="A310" s="134" t="str">
        <f>"Кзагр = (("&amp;D2&amp;" * "&amp;G2&amp;") + ("&amp;D3&amp;" * "&amp;G3&amp;") +( "&amp;D4&amp;" * "&amp;G4&amp;") +( "&amp;D5&amp;" * "&amp;G5&amp;") +( "&amp;D6&amp;" * "&amp;G6&amp;") +( "&amp;D7&amp;" * "&amp;G7&amp;") +( "&amp;D8&amp;" * "&amp;G8&amp;") + ("&amp;D9&amp;" * "&amp;G9&amp;") ) / "&amp;C45&amp;" ="</f>
        <v>Кзагр = ((2 * 29) + (3 * 40) +( 2 * 38) +( 4 * 21) +( 8 * 26) +( 3 * 44,5) +( 4 * 36) + (2 * 40) ) / 28 =</v>
      </c>
      <c r="B310" s="134"/>
      <c r="C310" s="134"/>
      <c r="D310" s="94">
        <f>ROUND(AF11/C45,2)</f>
        <v>32.270000000000003</v>
      </c>
      <c r="E310" s="94"/>
    </row>
    <row r="311" spans="1:9" x14ac:dyDescent="0.25">
      <c r="A311" s="94" t="str">
        <f>C297&amp;" * "&amp;D310&amp;" ="</f>
        <v>15988976,94 * 32,27 =</v>
      </c>
      <c r="B311" s="87">
        <f>ROUND(C297*(D310/100),2)</f>
        <v>5159642.8600000003</v>
      </c>
      <c r="D311" s="94"/>
      <c r="E311" s="94"/>
    </row>
    <row r="312" spans="1:9" x14ac:dyDescent="0.25">
      <c r="A312" s="94" t="str">
        <f>B311&amp;" / "&amp;E47&amp;" ="</f>
        <v>5159642,86 / 315000 =</v>
      </c>
      <c r="B312" s="60">
        <f>ROUND(B311/E47,2)</f>
        <v>16.38</v>
      </c>
      <c r="C312" s="94"/>
      <c r="D312" s="94"/>
      <c r="E312" s="60"/>
      <c r="H312" s="45"/>
      <c r="I312" s="60"/>
    </row>
    <row r="313" spans="1:9" ht="42" customHeight="1" x14ac:dyDescent="0.25">
      <c r="A313" s="134" t="str">
        <f>"Величина заработной платы РСС (мастер) и вспомогательных рабочих (контролер, раздатчик инструмента, уборщик) = "&amp;K217&amp;" + "&amp;K209&amp;" + "&amp;K210&amp;" + "&amp;K214&amp;" ="</f>
        <v>Величина заработной платы РСС (мастер) и вспомогательных рабочих (контролер, раздатчик инструмента, уборщик) = 3011712 + 1317308,69 + 518345,56 + 313652 =</v>
      </c>
      <c r="B313" s="134"/>
      <c r="C313" s="134"/>
      <c r="D313" s="88">
        <f>ROUND(K217+K214+K209+K210,2)</f>
        <v>5161018.25</v>
      </c>
      <c r="E313" s="94"/>
    </row>
    <row r="314" spans="1:9" x14ac:dyDescent="0.25">
      <c r="A314" s="134" t="str">
        <f>"Отчисления с заработной платы РСС и вспомогательных рабочих = "&amp;D313&amp;" * 30% ="</f>
        <v>Отчисления с заработной платы РСС и вспомогательных рабочих = 5161018,25 * 30% =</v>
      </c>
      <c r="B314" s="134"/>
      <c r="C314" s="134"/>
      <c r="D314" s="105">
        <f>ROUND(D313*30%,2)</f>
        <v>1548305.48</v>
      </c>
      <c r="E314" s="94"/>
    </row>
    <row r="315" spans="1:9" x14ac:dyDescent="0.25">
      <c r="A315" s="134" t="str">
        <f>"Расходы по амортизации зданий = "&amp;C241&amp;" * 1,2% ="</f>
        <v>Расходы по амортизации зданий = 122440000 * 1,2% =</v>
      </c>
      <c r="B315" s="134"/>
      <c r="C315" s="134"/>
      <c r="D315" s="88">
        <f>ROUND(C241*1.2%,2)</f>
        <v>1469280</v>
      </c>
      <c r="E315" s="94"/>
    </row>
    <row r="316" spans="1:9" x14ac:dyDescent="0.25">
      <c r="A316" s="134" t="str">
        <f>"Затраты на освещение = 15 * "&amp;C240&amp;" * 2400 + 2600 * 10% * "&amp;C240&amp;") * 5,92 / 1000 ="</f>
        <v>Затраты на освещение = 15 * 612,2 * 2400 + 2600 * 10% * 612,2) * 5,92 / 1000 =</v>
      </c>
      <c r="B316" s="134"/>
      <c r="C316" s="134"/>
      <c r="D316" s="88">
        <f>ROUND((15*C240*2400+2600*10%*C240)*(5.92/1000),2)</f>
        <v>131414.35999999999</v>
      </c>
      <c r="E316" s="94"/>
    </row>
    <row r="317" spans="1:9" x14ac:dyDescent="0.25">
      <c r="A317" s="134" t="str">
        <f>"Qоз = 0,5 * ("&amp;C240&amp;" * 10) * (15-(-21)) ="</f>
        <v>Qоз = 0,5 * (612,2 * 10) * (15-(-21)) =</v>
      </c>
      <c r="B317" s="134"/>
      <c r="C317" s="134"/>
      <c r="D317" s="88">
        <f>ROUND(0.5*(C240*10)*(15-(-21)),1)</f>
        <v>110196</v>
      </c>
      <c r="E317" s="94"/>
    </row>
    <row r="318" spans="1:9" x14ac:dyDescent="0.25">
      <c r="A318" s="134" t="str">
        <f>"Qвз = 0,30 * ("&amp;C240&amp;" * 10) * (15-(-12)) ="</f>
        <v>Qвз = 0,30 * (612,2 * 10) * (15-(-12)) =</v>
      </c>
      <c r="B318" s="134"/>
      <c r="C318" s="134"/>
      <c r="D318" s="88">
        <f>ROUND(0.3*(C240*10)*(15-(-12)),2)</f>
        <v>49588.2</v>
      </c>
      <c r="E318" s="94"/>
    </row>
    <row r="319" spans="1:9" x14ac:dyDescent="0.25">
      <c r="A319" s="134" t="str">
        <f>"Qобщ = "</f>
        <v xml:space="preserve">Qобщ = </v>
      </c>
      <c r="B319" s="134"/>
      <c r="C319" s="134"/>
      <c r="D319" s="88">
        <f>ROUND(D317+D318,2)</f>
        <v>159784.20000000001</v>
      </c>
      <c r="E319" s="94"/>
    </row>
    <row r="320" spans="1:9" x14ac:dyDescent="0.25">
      <c r="A320" s="134" t="str">
        <f>"Затраты на теплоснабжение = ("&amp;D319&amp;" * 5088 * 2684,36) / 1000000 ="</f>
        <v>Затраты на теплоснабжение = (159784,2 * 5088 * 2684,36) / 1000000 =</v>
      </c>
      <c r="B320" s="134"/>
      <c r="C320" s="134"/>
      <c r="D320" s="88">
        <f>ROUND((D319*5088*2684.36)/1000000,2)</f>
        <v>2182336.39</v>
      </c>
      <c r="E320" s="94"/>
    </row>
    <row r="321" spans="1:5" x14ac:dyDescent="0.25">
      <c r="A321" s="134" t="str">
        <f>"Затраты на воду = (("&amp;C46&amp;" * 25 + "&amp;B63&amp;" * 40) * 250 * 45,88) / 1000 ="</f>
        <v>Затраты на воду = ((62 * 25 + 86,56 * 40) * 250 * 45,88) / 1000 =</v>
      </c>
      <c r="B321" s="134"/>
      <c r="C321" s="134"/>
      <c r="D321" s="88">
        <f>ROUND(((C46*25+B63*40)*250*45.88)/1000,2)</f>
        <v>57492.23</v>
      </c>
      <c r="E321" s="94"/>
    </row>
    <row r="322" spans="1:5" x14ac:dyDescent="0.25">
      <c r="A322" s="134" t="str">
        <f>"Звсп. мат. = 3% * "&amp;C241&amp;" ="</f>
        <v>Звсп. мат. = 3% * 122440000 =</v>
      </c>
      <c r="B322" s="134"/>
      <c r="C322" s="134"/>
      <c r="D322" s="88">
        <f>ROUND(C241*3%,2)</f>
        <v>3673200</v>
      </c>
      <c r="E322" s="94"/>
    </row>
    <row r="323" spans="1:5" x14ac:dyDescent="0.25">
      <c r="A323" s="134" t="str">
        <f>"Зинв. = 1% * ("&amp;C241&amp;" + "&amp;D258&amp;") ="</f>
        <v>Зинв. = 1% * (122440000 + 6676127,5) =</v>
      </c>
      <c r="B323" s="134"/>
      <c r="C323" s="134"/>
      <c r="D323" s="88">
        <f>ROUND(1%*(C241+D258),2)</f>
        <v>1291161.28</v>
      </c>
      <c r="E323" s="94"/>
    </row>
    <row r="324" spans="1:5" x14ac:dyDescent="0.25">
      <c r="A324" s="134" t="str">
        <f>"Расходы по содержанию зданий и т.д. = "&amp;D316&amp;" + "&amp;D320&amp;" + "&amp;D321&amp;" + "&amp;D322&amp;" + "&amp;D323&amp;" ="</f>
        <v>Расходы по содержанию зданий и т.д. = 131414,36 + 2182336,39 + 57492,23 + 3673200 + 1291161,28 =</v>
      </c>
      <c r="B324" s="134"/>
      <c r="C324" s="134"/>
      <c r="D324" s="88">
        <f>ROUND(SUM(D316,D320:D323),2)</f>
        <v>7335604.2599999998</v>
      </c>
      <c r="E324" s="94"/>
    </row>
    <row r="325" spans="1:5" x14ac:dyDescent="0.25">
      <c r="A325" s="161" t="str">
        <f>"Зтек.рем = Звсп. Мат ="</f>
        <v>Зтек.рем = Звсп. Мат =</v>
      </c>
      <c r="B325" s="161"/>
      <c r="C325" s="161"/>
      <c r="D325" s="88">
        <f>D322</f>
        <v>3673200</v>
      </c>
      <c r="E325" s="94"/>
    </row>
    <row r="326" spans="1:5" x14ac:dyDescent="0.25">
      <c r="A326" s="134" t="str">
        <f>"Зисп. = 3500 * "&amp;B63&amp;" ="</f>
        <v>Зисп. = 3500 * 86,56 =</v>
      </c>
      <c r="B326" s="134"/>
      <c r="C326" s="134"/>
      <c r="D326" s="94">
        <f>ROUND(3500*B63,2)</f>
        <v>302960</v>
      </c>
      <c r="E326" s="94"/>
    </row>
    <row r="327" spans="1:5" x14ac:dyDescent="0.25">
      <c r="A327" s="134" t="str">
        <f>"Зохр.тр. = 3190 * "&amp;B63&amp;"="</f>
        <v>Зохр.тр. = 3190 * 86,56=</v>
      </c>
      <c r="B327" s="134"/>
      <c r="C327" s="134"/>
      <c r="D327" s="94">
        <f>ROUND(3190*B63,2)</f>
        <v>276126.40000000002</v>
      </c>
      <c r="E327" s="94"/>
    </row>
    <row r="328" spans="1:5" x14ac:dyDescent="0.25">
      <c r="A328" s="134" t="str">
        <f>"Прочие цеховые расходы = 2% * "&amp;I207&amp;" ="</f>
        <v>Прочие цеховые расходы = 2% * 26494965 =</v>
      </c>
      <c r="B328" s="134"/>
      <c r="C328" s="134"/>
      <c r="D328" s="94">
        <f>ROUND(2%*I207,2)</f>
        <v>529899.30000000005</v>
      </c>
      <c r="E328" s="94"/>
    </row>
    <row r="329" spans="1:5" x14ac:dyDescent="0.25">
      <c r="A329" s="94"/>
      <c r="D329" s="94"/>
      <c r="E329" s="94"/>
    </row>
    <row r="330" spans="1:5" ht="20.25" thickBot="1" x14ac:dyDescent="0.3">
      <c r="A330" s="94" t="s">
        <v>146</v>
      </c>
      <c r="D330" s="94"/>
      <c r="E330" s="94"/>
    </row>
    <row r="331" spans="1:5" ht="20.25" thickBot="1" x14ac:dyDescent="0.3">
      <c r="A331" s="154" t="s">
        <v>130</v>
      </c>
      <c r="B331" s="155"/>
      <c r="C331" s="150"/>
      <c r="D331" s="95" t="s">
        <v>147</v>
      </c>
      <c r="E331" s="94"/>
    </row>
    <row r="332" spans="1:5" x14ac:dyDescent="0.25">
      <c r="A332" s="139" t="s">
        <v>148</v>
      </c>
      <c r="B332" s="140"/>
      <c r="C332" s="164"/>
      <c r="D332" s="110">
        <f>D313</f>
        <v>5161018.25</v>
      </c>
      <c r="E332" s="94"/>
    </row>
    <row r="333" spans="1:5" x14ac:dyDescent="0.25">
      <c r="A333" s="142" t="s">
        <v>149</v>
      </c>
      <c r="B333" s="143"/>
      <c r="C333" s="163"/>
      <c r="D333" s="110">
        <f>D314</f>
        <v>1548305.48</v>
      </c>
      <c r="E333" s="94"/>
    </row>
    <row r="334" spans="1:5" x14ac:dyDescent="0.25">
      <c r="A334" s="142" t="s">
        <v>150</v>
      </c>
      <c r="B334" s="143"/>
      <c r="C334" s="163"/>
      <c r="D334" s="110">
        <f>D315</f>
        <v>1469280</v>
      </c>
      <c r="E334" s="94"/>
    </row>
    <row r="335" spans="1:5" x14ac:dyDescent="0.25">
      <c r="A335" s="142" t="s">
        <v>151</v>
      </c>
      <c r="B335" s="143"/>
      <c r="C335" s="163"/>
      <c r="D335" s="111">
        <f>D324</f>
        <v>7335604.2599999998</v>
      </c>
      <c r="E335" s="94"/>
    </row>
    <row r="336" spans="1:5" x14ac:dyDescent="0.25">
      <c r="A336" s="142" t="s">
        <v>152</v>
      </c>
      <c r="B336" s="143"/>
      <c r="C336" s="163"/>
      <c r="D336" s="111">
        <f>D325</f>
        <v>3673200</v>
      </c>
      <c r="E336" s="94"/>
    </row>
    <row r="337" spans="1:5" x14ac:dyDescent="0.25">
      <c r="A337" s="142" t="s">
        <v>153</v>
      </c>
      <c r="B337" s="143"/>
      <c r="C337" s="163"/>
      <c r="D337" s="111">
        <f>D326</f>
        <v>302960</v>
      </c>
      <c r="E337" s="94"/>
    </row>
    <row r="338" spans="1:5" x14ac:dyDescent="0.25">
      <c r="A338" s="142" t="s">
        <v>154</v>
      </c>
      <c r="B338" s="143"/>
      <c r="C338" s="163"/>
      <c r="D338" s="111">
        <f t="shared" ref="D338:D339" si="59">D327</f>
        <v>276126.40000000002</v>
      </c>
      <c r="E338" s="94"/>
    </row>
    <row r="339" spans="1:5" x14ac:dyDescent="0.25">
      <c r="A339" s="142" t="s">
        <v>155</v>
      </c>
      <c r="B339" s="143"/>
      <c r="C339" s="163"/>
      <c r="D339" s="111">
        <f t="shared" si="59"/>
        <v>529899.30000000005</v>
      </c>
      <c r="E339" s="94"/>
    </row>
    <row r="340" spans="1:5" x14ac:dyDescent="0.25">
      <c r="A340" s="142" t="s">
        <v>156</v>
      </c>
      <c r="B340" s="143"/>
      <c r="C340" s="163"/>
      <c r="D340" s="112">
        <f>SUM(D332:D339)</f>
        <v>20296393.690000001</v>
      </c>
      <c r="E340" s="94"/>
    </row>
    <row r="341" spans="1:5" x14ac:dyDescent="0.25">
      <c r="A341" s="142" t="s">
        <v>157</v>
      </c>
      <c r="B341" s="143"/>
      <c r="C341" s="163"/>
      <c r="D341" s="97">
        <f>D310</f>
        <v>32.270000000000003</v>
      </c>
      <c r="E341" s="94"/>
    </row>
    <row r="342" spans="1:5" x14ac:dyDescent="0.25">
      <c r="A342" s="142" t="s">
        <v>158</v>
      </c>
      <c r="B342" s="143"/>
      <c r="C342" s="163"/>
      <c r="D342" s="112">
        <f>D340*(D341/100)</f>
        <v>6549646.2437630016</v>
      </c>
      <c r="E342" s="94"/>
    </row>
    <row r="343" spans="1:5" ht="20.25" thickBot="1" x14ac:dyDescent="0.3">
      <c r="A343" s="131" t="s">
        <v>138</v>
      </c>
      <c r="B343" s="132"/>
      <c r="C343" s="162"/>
      <c r="D343" s="112">
        <f>D342/E47</f>
        <v>20.792527757977783</v>
      </c>
      <c r="E343" s="94"/>
    </row>
    <row r="344" spans="1:5" x14ac:dyDescent="0.25">
      <c r="A344" s="94"/>
      <c r="D344" s="94"/>
      <c r="E344" s="94"/>
    </row>
    <row r="345" spans="1:5" x14ac:dyDescent="0.25">
      <c r="A345" s="94" t="s">
        <v>159</v>
      </c>
      <c r="D345" s="94"/>
      <c r="E345" s="94"/>
    </row>
    <row r="346" spans="1:5" x14ac:dyDescent="0.25">
      <c r="A346" s="161" t="str">
        <f>"Сумма общезаводских расходов = "&amp;IF(F68&gt;100000,200%,400%)&amp;" * "&amp;I207&amp;" ="</f>
        <v>Сумма общезаводских расходов = 4 * 26494965 =</v>
      </c>
      <c r="B346" s="161"/>
      <c r="C346" s="161"/>
      <c r="D346" s="94">
        <f>ROUND(IF(F68&gt;100000,200%,400%)*I207,2)</f>
        <v>105979860</v>
      </c>
      <c r="E346" s="60"/>
    </row>
    <row r="347" spans="1:5" x14ac:dyDescent="0.25">
      <c r="A347" s="134" t="str">
        <f>"На единицу продукции = "&amp;D346&amp;" / "&amp;E47&amp;" ="</f>
        <v>На единицу продукции = 105979860 / 315000 =</v>
      </c>
      <c r="B347" s="134"/>
      <c r="C347" s="134"/>
      <c r="D347" s="87">
        <f>D346/E47</f>
        <v>336.44400000000002</v>
      </c>
      <c r="E347" s="94"/>
    </row>
    <row r="348" spans="1:5" x14ac:dyDescent="0.25">
      <c r="A348" s="134" t="str">
        <f>"Прочие производственные расходы = 10% * "&amp;I207&amp;" ="</f>
        <v>Прочие производственные расходы = 10% * 26494965 =</v>
      </c>
      <c r="B348" s="134"/>
      <c r="C348" s="134"/>
      <c r="D348" s="94">
        <f>10%*I207</f>
        <v>2649496.5</v>
      </c>
      <c r="E348" s="94"/>
    </row>
    <row r="349" spans="1:5" x14ac:dyDescent="0.25">
      <c r="A349" s="134" t="str">
        <f>"На единицу продукции = "&amp;D348&amp;" / "&amp;E47&amp;" ="</f>
        <v>На единицу продукции = 2649496,5 / 315000 =</v>
      </c>
      <c r="B349" s="134"/>
      <c r="C349" s="134"/>
      <c r="D349" s="87">
        <f>D348/E47</f>
        <v>8.4110999999999994</v>
      </c>
      <c r="E349" s="94"/>
    </row>
    <row r="350" spans="1:5" x14ac:dyDescent="0.25">
      <c r="A350" s="134" t="str">
        <f>"Коммерческие расходы = ("&amp;C264&amp;" + "&amp;I214&amp;" + "&amp;J214&amp;" + "&amp;D314&amp;" + "&amp;D324&amp;" + "&amp;D340&amp;" + "&amp;D346&amp;" + "&amp;D348&amp;") * 6% ="</f>
        <v>Коммерческие расходы = (110825,5 + 261376,67 + 52275,33 + 1548305,48 + 7335604,26 + 20296393,69 + 105979860 + 2649496,5) * 6% =</v>
      </c>
      <c r="B350" s="134"/>
      <c r="C350" s="134"/>
      <c r="D350" s="134"/>
      <c r="E350" s="94">
        <f>(C264+I214+J214+D314+D324+D340+D346+D348)*6%</f>
        <v>8294048.2457999997</v>
      </c>
    </row>
    <row r="352" spans="1:5" ht="20.25" thickBot="1" x14ac:dyDescent="0.3">
      <c r="A352" s="73" t="s">
        <v>160</v>
      </c>
    </row>
    <row r="353" spans="1:7" ht="20.25" thickBot="1" x14ac:dyDescent="0.3">
      <c r="A353" s="154" t="s">
        <v>130</v>
      </c>
      <c r="B353" s="155"/>
      <c r="C353" s="155"/>
      <c r="D353" s="96" t="s">
        <v>161</v>
      </c>
      <c r="E353" s="96" t="s">
        <v>162</v>
      </c>
      <c r="F353" s="114" t="s">
        <v>163</v>
      </c>
      <c r="G353" s="113"/>
    </row>
    <row r="354" spans="1:7" ht="37.5" customHeight="1" x14ac:dyDescent="0.25">
      <c r="A354" s="139" t="s">
        <v>164</v>
      </c>
      <c r="B354" s="140"/>
      <c r="C354" s="140"/>
      <c r="D354" s="42">
        <f>E354*E47</f>
        <v>1717247700</v>
      </c>
      <c r="E354" s="42">
        <f>C269</f>
        <v>5451.58</v>
      </c>
      <c r="F354" s="118">
        <f>(E354/E$365)*100</f>
        <v>86.222248115274837</v>
      </c>
      <c r="G354" s="113"/>
    </row>
    <row r="355" spans="1:7" x14ac:dyDescent="0.25">
      <c r="A355" s="142" t="s">
        <v>165</v>
      </c>
      <c r="B355" s="143"/>
      <c r="C355" s="143"/>
      <c r="D355" s="115">
        <f>I207</f>
        <v>26494965</v>
      </c>
      <c r="E355" s="115">
        <f>D270</f>
        <v>84.11</v>
      </c>
      <c r="F355" s="118">
        <f t="shared" ref="F355:F365" si="60">(E355/E$365)*100</f>
        <v>1.3302846677432538</v>
      </c>
      <c r="G355" s="113"/>
    </row>
    <row r="356" spans="1:7" x14ac:dyDescent="0.25">
      <c r="A356" s="142" t="s">
        <v>166</v>
      </c>
      <c r="B356" s="143"/>
      <c r="C356" s="143"/>
      <c r="D356" s="115">
        <f>J207</f>
        <v>5298993</v>
      </c>
      <c r="E356" s="115">
        <f>D271</f>
        <v>16.82</v>
      </c>
      <c r="F356" s="118">
        <f t="shared" si="60"/>
        <v>0.26602530152706605</v>
      </c>
    </row>
    <row r="357" spans="1:7" x14ac:dyDescent="0.25">
      <c r="A357" s="142" t="s">
        <v>167</v>
      </c>
      <c r="B357" s="143"/>
      <c r="C357" s="143"/>
      <c r="D357" s="115">
        <f>D272</f>
        <v>9538187.4000000004</v>
      </c>
      <c r="E357" s="115">
        <f>ROUND(D357/E47,2)</f>
        <v>30.28</v>
      </c>
      <c r="F357" s="118">
        <f t="shared" si="60"/>
        <v>0.4789088067918883</v>
      </c>
    </row>
    <row r="358" spans="1:7" x14ac:dyDescent="0.25">
      <c r="A358" s="142" t="s">
        <v>168</v>
      </c>
      <c r="B358" s="143"/>
      <c r="C358" s="143"/>
      <c r="D358" s="115">
        <f>C299</f>
        <v>5159642.8600000003</v>
      </c>
      <c r="E358" s="115">
        <f>C300</f>
        <v>16.38</v>
      </c>
      <c r="F358" s="118">
        <f t="shared" si="60"/>
        <v>0.25906625677843886</v>
      </c>
    </row>
    <row r="359" spans="1:7" ht="20.25" thickBot="1" x14ac:dyDescent="0.3">
      <c r="A359" s="131" t="s">
        <v>169</v>
      </c>
      <c r="B359" s="132"/>
      <c r="C359" s="132"/>
      <c r="D359" s="116">
        <f>D342</f>
        <v>6549646.2437630016</v>
      </c>
      <c r="E359" s="116">
        <f>D343</f>
        <v>20.792527757977783</v>
      </c>
      <c r="F359" s="120">
        <f t="shared" si="60"/>
        <v>0.32885484342009103</v>
      </c>
    </row>
    <row r="360" spans="1:7" ht="20.25" thickBot="1" x14ac:dyDescent="0.3">
      <c r="A360" s="165" t="s">
        <v>170</v>
      </c>
      <c r="B360" s="166"/>
      <c r="C360" s="166"/>
      <c r="D360" s="117">
        <f>SUM(D354:D359)</f>
        <v>1770289134.503763</v>
      </c>
      <c r="E360" s="119">
        <f>SUM(E354:E359)</f>
        <v>5619.9625277579771</v>
      </c>
      <c r="F360" s="121">
        <f t="shared" si="60"/>
        <v>88.885387991535566</v>
      </c>
    </row>
    <row r="361" spans="1:7" x14ac:dyDescent="0.25">
      <c r="A361" s="139" t="s">
        <v>171</v>
      </c>
      <c r="B361" s="140"/>
      <c r="C361" s="140"/>
      <c r="D361" s="42">
        <f>D346</f>
        <v>105979860</v>
      </c>
      <c r="E361" s="42">
        <f>D347</f>
        <v>336.44400000000002</v>
      </c>
      <c r="F361" s="118">
        <f t="shared" si="60"/>
        <v>5.3212019350161839</v>
      </c>
    </row>
    <row r="362" spans="1:7" ht="20.25" thickBot="1" x14ac:dyDescent="0.3">
      <c r="A362" s="131" t="s">
        <v>172</v>
      </c>
      <c r="B362" s="132"/>
      <c r="C362" s="132"/>
      <c r="D362" s="116">
        <f>D348</f>
        <v>2649496.5</v>
      </c>
      <c r="E362" s="116">
        <f>D349</f>
        <v>8.4110999999999994</v>
      </c>
      <c r="F362" s="120">
        <f t="shared" si="60"/>
        <v>0.13303004837540458</v>
      </c>
    </row>
    <row r="363" spans="1:7" ht="20.25" thickBot="1" x14ac:dyDescent="0.3">
      <c r="A363" s="165" t="s">
        <v>173</v>
      </c>
      <c r="B363" s="166"/>
      <c r="C363" s="166"/>
      <c r="D363" s="117">
        <f>SUM(D360:D362)</f>
        <v>1878918491.003763</v>
      </c>
      <c r="E363" s="119">
        <f>SUM(E360:E362)</f>
        <v>5964.8176277579778</v>
      </c>
      <c r="F363" s="121">
        <f t="shared" si="60"/>
        <v>94.339619974927174</v>
      </c>
    </row>
    <row r="364" spans="1:7" ht="20.25" thickBot="1" x14ac:dyDescent="0.3">
      <c r="A364" s="167" t="s">
        <v>174</v>
      </c>
      <c r="B364" s="168"/>
      <c r="C364" s="168"/>
      <c r="D364" s="117">
        <f>D363*6%</f>
        <v>112735109.46022578</v>
      </c>
      <c r="E364" s="117">
        <f>D364/E47</f>
        <v>357.88923638166915</v>
      </c>
      <c r="F364" s="120">
        <f t="shared" si="60"/>
        <v>5.6603800250728273</v>
      </c>
    </row>
    <row r="365" spans="1:7" ht="20.25" thickBot="1" x14ac:dyDescent="0.3">
      <c r="A365" s="165" t="s">
        <v>175</v>
      </c>
      <c r="B365" s="166"/>
      <c r="C365" s="166"/>
      <c r="D365" s="117">
        <f>SUM(D363:D364)</f>
        <v>1991653600.4639888</v>
      </c>
      <c r="E365" s="119">
        <f>SUM(E363:E364)</f>
        <v>6322.7068641396472</v>
      </c>
      <c r="F365" s="121">
        <f t="shared" si="60"/>
        <v>100</v>
      </c>
    </row>
    <row r="367" spans="1:7" x14ac:dyDescent="0.25">
      <c r="A367" s="73" t="s">
        <v>176</v>
      </c>
    </row>
  </sheetData>
  <mergeCells count="223"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2:C362"/>
    <mergeCell ref="A348:C348"/>
    <mergeCell ref="A310:C310"/>
    <mergeCell ref="A328:C328"/>
    <mergeCell ref="A343:C343"/>
    <mergeCell ref="A349:C349"/>
    <mergeCell ref="A350:D350"/>
    <mergeCell ref="A353:C353"/>
    <mergeCell ref="A337:C337"/>
    <mergeCell ref="A338:C338"/>
    <mergeCell ref="A339:C339"/>
    <mergeCell ref="A340:C340"/>
    <mergeCell ref="A341:C341"/>
    <mergeCell ref="A342:C342"/>
    <mergeCell ref="A346:C346"/>
    <mergeCell ref="A347:C347"/>
    <mergeCell ref="A326:C326"/>
    <mergeCell ref="A327:C327"/>
    <mergeCell ref="A331:C331"/>
    <mergeCell ref="A332:C332"/>
    <mergeCell ref="A333:C333"/>
    <mergeCell ref="A334:C334"/>
    <mergeCell ref="A335:C335"/>
    <mergeCell ref="A336:C33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298:B298"/>
    <mergeCell ref="A299:B299"/>
    <mergeCell ref="A300:B300"/>
    <mergeCell ref="A313:C313"/>
    <mergeCell ref="A314:C314"/>
    <mergeCell ref="A315:C315"/>
    <mergeCell ref="A316:C316"/>
    <mergeCell ref="A289:B289"/>
    <mergeCell ref="A290:C290"/>
    <mergeCell ref="A291:B291"/>
    <mergeCell ref="A292:B292"/>
    <mergeCell ref="A293:B293"/>
    <mergeCell ref="A294:B294"/>
    <mergeCell ref="A295:B295"/>
    <mergeCell ref="A296:B296"/>
    <mergeCell ref="A297:B297"/>
    <mergeCell ref="A279:C279"/>
    <mergeCell ref="A280:C280"/>
    <mergeCell ref="A281:C281"/>
    <mergeCell ref="A282:C282"/>
    <mergeCell ref="A283:C283"/>
    <mergeCell ref="A284:C284"/>
    <mergeCell ref="A285:C285"/>
    <mergeCell ref="A276:C276"/>
    <mergeCell ref="A288:B288"/>
    <mergeCell ref="A262:B262"/>
    <mergeCell ref="A263:B263"/>
    <mergeCell ref="A264:B264"/>
    <mergeCell ref="A265:B265"/>
    <mergeCell ref="A274:C274"/>
    <mergeCell ref="A275:C275"/>
    <mergeCell ref="A277:C277"/>
    <mergeCell ref="A278:C278"/>
    <mergeCell ref="A183:C183"/>
    <mergeCell ref="A271:C271"/>
    <mergeCell ref="A273:C273"/>
    <mergeCell ref="A272:C272"/>
    <mergeCell ref="A179:C179"/>
    <mergeCell ref="A180:C180"/>
    <mergeCell ref="A181:C181"/>
    <mergeCell ref="A182:C182"/>
    <mergeCell ref="A269:B269"/>
    <mergeCell ref="A270:C270"/>
    <mergeCell ref="A238:B238"/>
    <mergeCell ref="A239:B239"/>
    <mergeCell ref="A240:B240"/>
    <mergeCell ref="A241:B241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66:B266"/>
    <mergeCell ref="A256:B256"/>
    <mergeCell ref="A257:C257"/>
    <mergeCell ref="A258:C258"/>
    <mergeCell ref="A261:B261"/>
    <mergeCell ref="A208:K208"/>
    <mergeCell ref="D209:D215"/>
    <mergeCell ref="A190:C190"/>
    <mergeCell ref="A191:C191"/>
    <mergeCell ref="A192:C192"/>
    <mergeCell ref="A193:C193"/>
    <mergeCell ref="A194:C194"/>
    <mergeCell ref="A184:C184"/>
    <mergeCell ref="A185:C185"/>
    <mergeCell ref="A189:C189"/>
    <mergeCell ref="A186:C186"/>
    <mergeCell ref="A187:C187"/>
    <mergeCell ref="A188:C188"/>
    <mergeCell ref="A198:K198"/>
    <mergeCell ref="A174:C174"/>
    <mergeCell ref="A175:C175"/>
    <mergeCell ref="A176:C176"/>
    <mergeCell ref="A177:C177"/>
    <mergeCell ref="A178:C178"/>
    <mergeCell ref="A149:B149"/>
    <mergeCell ref="A150:B150"/>
    <mergeCell ref="A151:B151"/>
    <mergeCell ref="A152:B152"/>
    <mergeCell ref="A165:C165"/>
    <mergeCell ref="A166:C166"/>
    <mergeCell ref="A167:C167"/>
    <mergeCell ref="A168:C168"/>
    <mergeCell ref="A159:C159"/>
    <mergeCell ref="A160:C160"/>
    <mergeCell ref="A161:C161"/>
    <mergeCell ref="A162:C162"/>
    <mergeCell ref="A163:C163"/>
    <mergeCell ref="A169:C169"/>
    <mergeCell ref="A170:C170"/>
    <mergeCell ref="A171:C171"/>
    <mergeCell ref="A172:C172"/>
    <mergeCell ref="A173:C173"/>
    <mergeCell ref="D58:E58"/>
    <mergeCell ref="A47:B47"/>
    <mergeCell ref="A114:C114"/>
    <mergeCell ref="A115:C115"/>
    <mergeCell ref="A116:C116"/>
    <mergeCell ref="A117:C117"/>
    <mergeCell ref="A118:C118"/>
    <mergeCell ref="A109:C109"/>
    <mergeCell ref="A110:C110"/>
    <mergeCell ref="A111:C111"/>
    <mergeCell ref="A112:C112"/>
    <mergeCell ref="A113:C113"/>
    <mergeCell ref="A55:B55"/>
    <mergeCell ref="A50:B50"/>
    <mergeCell ref="A51:B51"/>
    <mergeCell ref="A52:B52"/>
    <mergeCell ref="A19:C19"/>
    <mergeCell ref="A20:C20"/>
    <mergeCell ref="A21:C21"/>
    <mergeCell ref="A22:C22"/>
    <mergeCell ref="A11:B11"/>
    <mergeCell ref="A104:C104"/>
    <mergeCell ref="A105:C105"/>
    <mergeCell ref="A106:C106"/>
    <mergeCell ref="A107:C107"/>
    <mergeCell ref="A100:B100"/>
    <mergeCell ref="A101:C101"/>
    <mergeCell ref="A102:C102"/>
    <mergeCell ref="A103:C103"/>
    <mergeCell ref="A56:B56"/>
    <mergeCell ref="A75:B75"/>
    <mergeCell ref="A45:B45"/>
    <mergeCell ref="A48:B48"/>
    <mergeCell ref="A49:B49"/>
    <mergeCell ref="A53:B53"/>
    <mergeCell ref="A54:B54"/>
    <mergeCell ref="A46:B46"/>
    <mergeCell ref="A57:E57"/>
    <mergeCell ref="A58:A59"/>
    <mergeCell ref="B58:B59"/>
    <mergeCell ref="A23:C23"/>
    <mergeCell ref="A26:B26"/>
    <mergeCell ref="A44:B44"/>
    <mergeCell ref="A108:C108"/>
    <mergeCell ref="C58:C59"/>
    <mergeCell ref="A124:C124"/>
    <mergeCell ref="A125:C125"/>
    <mergeCell ref="A126:C126"/>
    <mergeCell ref="A127:C127"/>
    <mergeCell ref="A128:C128"/>
    <mergeCell ref="A119:C119"/>
    <mergeCell ref="A120:C120"/>
    <mergeCell ref="A121:C121"/>
    <mergeCell ref="A122:C122"/>
    <mergeCell ref="A123:C123"/>
    <mergeCell ref="A134:C134"/>
    <mergeCell ref="A135:C135"/>
    <mergeCell ref="A136:C136"/>
    <mergeCell ref="A137:C137"/>
    <mergeCell ref="A138:C138"/>
    <mergeCell ref="A129:C129"/>
    <mergeCell ref="A130:C130"/>
    <mergeCell ref="A131:C131"/>
    <mergeCell ref="A132:C132"/>
    <mergeCell ref="A133:C133"/>
    <mergeCell ref="A164:C164"/>
    <mergeCell ref="A153:C153"/>
    <mergeCell ref="A154:C154"/>
    <mergeCell ref="A139:C139"/>
    <mergeCell ref="A140:C140"/>
    <mergeCell ref="A141:C141"/>
    <mergeCell ref="A142:C142"/>
    <mergeCell ref="A143:C143"/>
    <mergeCell ref="A145:B145"/>
    <mergeCell ref="A146:B146"/>
    <mergeCell ref="A147:B147"/>
    <mergeCell ref="A148:B148"/>
    <mergeCell ref="A144:C144"/>
    <mergeCell ref="A155:C155"/>
    <mergeCell ref="A156:C156"/>
    <mergeCell ref="A157:C157"/>
    <mergeCell ref="A158:C1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651</vt:lpstr>
      <vt:lpstr>'651'!Извлечь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2023-11-16T14:13:12Z</dcterms:modified>
</cp:coreProperties>
</file>