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lk.DCPLPUBLIC.002\Document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0" i="1" l="1"/>
  <c r="J59" i="1"/>
  <c r="H46" i="1"/>
  <c r="H47" i="1" s="1"/>
  <c r="I44" i="1"/>
  <c r="H49" i="1" l="1"/>
  <c r="H82" i="1"/>
  <c r="I90" i="1" s="1"/>
  <c r="L90" i="1" s="1"/>
  <c r="H77" i="1"/>
  <c r="H81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86" i="1"/>
  <c r="H87" i="1"/>
  <c r="H88" i="1"/>
  <c r="H89" i="1"/>
  <c r="I89" i="1"/>
  <c r="L89" i="1" s="1"/>
  <c r="H90" i="1"/>
  <c r="H91" i="1"/>
  <c r="H92" i="1"/>
  <c r="H93" i="1"/>
  <c r="H94" i="1"/>
  <c r="H95" i="1"/>
  <c r="H96" i="1"/>
  <c r="H97" i="1"/>
  <c r="H98" i="1"/>
  <c r="H99" i="1"/>
  <c r="I99" i="1"/>
  <c r="L99" i="1" s="1"/>
  <c r="H100" i="1"/>
  <c r="H101" i="1"/>
  <c r="H102" i="1"/>
  <c r="H103" i="1"/>
  <c r="H104" i="1"/>
  <c r="H105" i="1"/>
  <c r="H106" i="1"/>
  <c r="H107" i="1"/>
  <c r="H108" i="1"/>
  <c r="H109" i="1"/>
  <c r="I109" i="1"/>
  <c r="L109" i="1" s="1"/>
  <c r="H110" i="1"/>
  <c r="H111" i="1"/>
  <c r="H112" i="1"/>
  <c r="H113" i="1"/>
  <c r="H114" i="1"/>
  <c r="H115" i="1"/>
  <c r="H116" i="1"/>
  <c r="H117" i="1"/>
  <c r="H118" i="1"/>
  <c r="H119" i="1"/>
  <c r="I119" i="1"/>
  <c r="L119" i="1" s="1"/>
  <c r="H120" i="1"/>
  <c r="H121" i="1"/>
  <c r="H86" i="1"/>
  <c r="H76" i="1"/>
  <c r="H72" i="1"/>
  <c r="H71" i="1"/>
  <c r="H69" i="1"/>
  <c r="H68" i="1"/>
  <c r="H65" i="1"/>
  <c r="H66" i="1"/>
  <c r="G66" i="1"/>
  <c r="G65" i="1"/>
  <c r="H60" i="1"/>
  <c r="H61" i="1"/>
  <c r="G61" i="1"/>
  <c r="G60" i="1"/>
  <c r="Q104" i="1"/>
  <c r="P104" i="1"/>
  <c r="Q103" i="1"/>
  <c r="P103" i="1"/>
  <c r="P101" i="1"/>
  <c r="Q101" i="1"/>
  <c r="Q100" i="1"/>
  <c r="P100" i="1"/>
  <c r="R71" i="1"/>
  <c r="R70" i="1"/>
  <c r="I88" i="1" l="1"/>
  <c r="L88" i="1" s="1"/>
  <c r="I116" i="1"/>
  <c r="L116" i="1" s="1"/>
  <c r="I105" i="1"/>
  <c r="L105" i="1" s="1"/>
  <c r="I103" i="1"/>
  <c r="L103" i="1" s="1"/>
  <c r="I101" i="1"/>
  <c r="L101" i="1" s="1"/>
  <c r="I98" i="1"/>
  <c r="L98" i="1" s="1"/>
  <c r="I97" i="1"/>
  <c r="L97" i="1" s="1"/>
  <c r="I87" i="1"/>
  <c r="L87" i="1" s="1"/>
  <c r="I106" i="1"/>
  <c r="L106" i="1" s="1"/>
  <c r="I95" i="1"/>
  <c r="L95" i="1" s="1"/>
  <c r="I104" i="1"/>
  <c r="L104" i="1" s="1"/>
  <c r="I93" i="1"/>
  <c r="L93" i="1" s="1"/>
  <c r="I102" i="1"/>
  <c r="L102" i="1" s="1"/>
  <c r="I86" i="1"/>
  <c r="L86" i="1" s="1"/>
  <c r="I111" i="1"/>
  <c r="L111" i="1" s="1"/>
  <c r="I91" i="1"/>
  <c r="L91" i="1" s="1"/>
  <c r="I118" i="1"/>
  <c r="L118" i="1" s="1"/>
  <c r="I107" i="1"/>
  <c r="L107" i="1" s="1"/>
  <c r="I114" i="1"/>
  <c r="L114" i="1" s="1"/>
  <c r="I112" i="1"/>
  <c r="L112" i="1" s="1"/>
  <c r="I110" i="1"/>
  <c r="L110" i="1" s="1"/>
  <c r="I100" i="1"/>
  <c r="L100" i="1" s="1"/>
  <c r="I108" i="1"/>
  <c r="L108" i="1" s="1"/>
  <c r="I117" i="1"/>
  <c r="L117" i="1" s="1"/>
  <c r="I96" i="1"/>
  <c r="L96" i="1" s="1"/>
  <c r="I115" i="1"/>
  <c r="L115" i="1" s="1"/>
  <c r="I94" i="1"/>
  <c r="L94" i="1" s="1"/>
  <c r="I113" i="1"/>
  <c r="L113" i="1" s="1"/>
  <c r="I92" i="1"/>
  <c r="L92" i="1" s="1"/>
  <c r="I121" i="1"/>
  <c r="L121" i="1" s="1"/>
  <c r="I120" i="1"/>
  <c r="L120" i="1" s="1"/>
  <c r="R79" i="1"/>
  <c r="R85" i="1" s="1"/>
  <c r="Q78" i="1"/>
  <c r="Q88" i="1" s="1"/>
  <c r="R77" i="1"/>
  <c r="Q77" i="1"/>
  <c r="R78" i="1"/>
  <c r="Q79" i="1"/>
  <c r="Q80" i="1"/>
  <c r="R80" i="1"/>
  <c r="R76" i="1"/>
  <c r="Q76" i="1"/>
  <c r="O11" i="1"/>
  <c r="O12" i="1"/>
  <c r="R12" i="1" s="1"/>
  <c r="O13" i="1"/>
  <c r="O14" i="1"/>
  <c r="R14" i="1" s="1"/>
  <c r="O10" i="1"/>
  <c r="R10" i="1" s="1"/>
  <c r="N11" i="1"/>
  <c r="Q11" i="1" s="1"/>
  <c r="N12" i="1"/>
  <c r="N13" i="1"/>
  <c r="Q13" i="1" s="1"/>
  <c r="N14" i="1"/>
  <c r="N10" i="1"/>
  <c r="Q12" i="1" l="1"/>
  <c r="R13" i="1"/>
  <c r="R11" i="1"/>
  <c r="R16" i="1" s="1"/>
  <c r="Q10" i="1"/>
  <c r="Q14" i="1"/>
  <c r="R82" i="1"/>
  <c r="R84" i="1"/>
  <c r="Q87" i="1"/>
  <c r="Q82" i="1"/>
  <c r="H27" i="1"/>
  <c r="Q16" i="1" l="1"/>
  <c r="R87" i="1"/>
  <c r="R88" i="1"/>
  <c r="Q85" i="1"/>
  <c r="Q84" i="1"/>
  <c r="H36" i="1"/>
  <c r="H35" i="1"/>
  <c r="H38" i="1" s="1"/>
  <c r="H34" i="1"/>
  <c r="H33" i="1"/>
  <c r="H39" i="1" s="1"/>
  <c r="H28" i="1"/>
  <c r="B81" i="1"/>
  <c r="B80" i="1"/>
  <c r="B77" i="1"/>
  <c r="B76" i="1"/>
</calcChain>
</file>

<file path=xl/sharedStrings.xml><?xml version="1.0" encoding="utf-8"?>
<sst xmlns="http://schemas.openxmlformats.org/spreadsheetml/2006/main" count="117" uniqueCount="92">
  <si>
    <t>point 2</t>
  </si>
  <si>
    <t>UNION PLAZA:</t>
  </si>
  <si>
    <t>name of the file: "union-plaza-ocad-4000-04-09-2021.png"</t>
  </si>
  <si>
    <t>We find the following information:</t>
  </si>
  <si>
    <t>Reference point (the center tooth of the dam, south end): latitude=40.81147001400959°, longitude=-96.68791604213915°</t>
  </si>
  <si>
    <t>Scale: 1/4000 (version 1/4000 because the format is a tabloid format 11" x 17" -information on the map-)</t>
  </si>
  <si>
    <t>Date: 04-09-2021</t>
  </si>
  <si>
    <t>point 1</t>
  </si>
  <si>
    <t>https://maps.app.goo.gl/5kGhTRHsTmQ7oncNA</t>
  </si>
  <si>
    <t>40.81908575866586, -96.69120127972548</t>
  </si>
  <si>
    <t>https://maps.app.goo.gl/orPfK8FduzNU1MMz6</t>
  </si>
  <si>
    <t>https://github.com/Frederic-jyrg/ouitoo/wiki#:~:text=9%2D20%2D2019-,UNION%20PLAZA%3A,-name%20of%20the</t>
  </si>
  <si>
    <t>wiki ----&gt;</t>
  </si>
  <si>
    <t>latitude [DEC]</t>
  </si>
  <si>
    <t>longitude [DEC]</t>
  </si>
  <si>
    <t>40.81147001400959, -96.68791604213915</t>
  </si>
  <si>
    <t>latitude [DMS]</t>
  </si>
  <si>
    <t>longitude [DMS]</t>
  </si>
  <si>
    <t>40°48'41.3"N</t>
  </si>
  <si>
    <t>96°41'16.5"W</t>
  </si>
  <si>
    <t xml:space="preserve">40°49'08.7"N </t>
  </si>
  <si>
    <t>96°41'28.3"W</t>
  </si>
  <si>
    <t>basic information and formulas for use of the app ouitoo trackplotter</t>
  </si>
  <si>
    <t>test case UNION PLAZA</t>
  </si>
  <si>
    <t>Measure distance</t>
  </si>
  <si>
    <t>Total distance: 2,922.33 ft (890.73 m)</t>
  </si>
  <si>
    <t>Plugging points - point 1 and point 2</t>
  </si>
  <si>
    <t>Distance in [m]</t>
  </si>
  <si>
    <t>latitude (DEC)</t>
  </si>
  <si>
    <t>longitude (DEC)</t>
  </si>
  <si>
    <t>Example of track (from start to post #1)</t>
  </si>
  <si>
    <t>Scale</t>
  </si>
  <si>
    <t>1:_________</t>
  </si>
  <si>
    <t>rotation_angle (clokwise)</t>
  </si>
  <si>
    <t>(in degrees, DEC)</t>
  </si>
  <si>
    <t>North Direction</t>
  </si>
  <si>
    <t>P</t>
  </si>
  <si>
    <t>Example of display (360x800 pixels)</t>
  </si>
  <si>
    <t>ref</t>
  </si>
  <si>
    <t>density</t>
  </si>
  <si>
    <t>height</t>
  </si>
  <si>
    <t>width</t>
  </si>
  <si>
    <t>inches</t>
  </si>
  <si>
    <t>mm</t>
  </si>
  <si>
    <t>Example of initialization</t>
  </si>
  <si>
    <t>Distance @ zoom 100%</t>
  </si>
  <si>
    <t>[m]</t>
  </si>
  <si>
    <t>[mm]</t>
  </si>
  <si>
    <t>--1</t>
  </si>
  <si>
    <t>--2</t>
  </si>
  <si>
    <t>Vertical and horizontal resolutions</t>
  </si>
  <si>
    <t>LAT1</t>
  </si>
  <si>
    <t>LAT2</t>
  </si>
  <si>
    <t>LONG1</t>
  </si>
  <si>
    <t>LONG2</t>
  </si>
  <si>
    <t>COEF</t>
  </si>
  <si>
    <t>D^2=RES_LAT^2*(LAT1-LAT2)^2+RES_LONG^2*(LONG1-LONG2)^2</t>
  </si>
  <si>
    <t>COEF=RES_LAT/RES_LONG</t>
  </si>
  <si>
    <t>LAT1-LAT2</t>
  </si>
  <si>
    <t>LONG1-LONG2</t>
  </si>
  <si>
    <t>RES_LONG</t>
  </si>
  <si>
    <t>RES_LAT</t>
  </si>
  <si>
    <t>X [in]</t>
  </si>
  <si>
    <t>Y [in]</t>
  </si>
  <si>
    <t>Map size</t>
  </si>
  <si>
    <t>11 x 17</t>
  </si>
  <si>
    <t>Magnetic North Orientation (original value)</t>
  </si>
  <si>
    <t>Rotated map</t>
  </si>
  <si>
    <t>rotation angle</t>
  </si>
  <si>
    <t>Polaris North Orientation (original value)</t>
  </si>
  <si>
    <t>Device size</t>
  </si>
  <si>
    <t>8.333 x 3.75</t>
  </si>
  <si>
    <t>move</t>
  </si>
  <si>
    <t>Xmoves</t>
  </si>
  <si>
    <t>Ymoves</t>
  </si>
  <si>
    <t>center</t>
  </si>
  <si>
    <t>pt1</t>
  </si>
  <si>
    <t>pt2</t>
  </si>
  <si>
    <t>==============================OR ============================</t>
  </si>
  <si>
    <t>variables needed to map the track</t>
  </si>
  <si>
    <t>point1</t>
  </si>
  <si>
    <t>GPS [DEC]</t>
  </si>
  <si>
    <t>X [mm]</t>
  </si>
  <si>
    <t>point2</t>
  </si>
  <si>
    <t>Y,X [mm]</t>
  </si>
  <si>
    <t>1/COEF</t>
  </si>
  <si>
    <t>Latitudes</t>
  </si>
  <si>
    <t>a=</t>
  </si>
  <si>
    <t>b=</t>
  </si>
  <si>
    <t>Longitudes</t>
  </si>
  <si>
    <t>Y [mm]</t>
  </si>
  <si>
    <t>DELTA_Y/DELTA_X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</si>
</sst>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Aptos Narrow"/>
      <family val="2"/>
      <scheme val="minor"/>
    </font>
    <font>
      <sz val="12"/>
      <color rgb="FF1F2328"/>
      <name val="Segoe UI"/>
      <family val="2"/>
    </font>
    <font>
      <u/>
      <sz val="11"/>
      <color theme="10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1"/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126820857439487E-2"/>
          <c:y val="1.2084084084084085E-2"/>
          <c:w val="0.91756673404158651"/>
          <c:h val="0.97990790790790805"/>
        </c:manualLayout>
      </c:layout>
      <c:scatterChart>
        <c:scatterStyle val="lineMarker"/>
        <c:varyColors val="0"/>
        <c:ser>
          <c:idx val="0"/>
          <c:order val="0"/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Sheet1!$Q$3:$Q$7</c:f>
              <c:numCache>
                <c:formatCode>General</c:formatCode>
                <c:ptCount val="5"/>
                <c:pt idx="0">
                  <c:v>0</c:v>
                </c:pt>
                <c:pt idx="1">
                  <c:v>11</c:v>
                </c:pt>
                <c:pt idx="2">
                  <c:v>11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Sheet1!$R$3:$R$7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-17</c:v>
                </c:pt>
                <c:pt idx="3">
                  <c:v>-17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2-4083-B88A-F7C735C1C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54335"/>
        <c:axId val="119164207"/>
      </c:scatterChart>
      <c:valAx>
        <c:axId val="270254335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64207"/>
        <c:crosses val="autoZero"/>
        <c:crossBetween val="midCat"/>
        <c:majorUnit val="1"/>
      </c:valAx>
      <c:valAx>
        <c:axId val="119164207"/>
        <c:scaling>
          <c:orientation val="minMax"/>
          <c:min val="-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254335"/>
        <c:crosses val="autoZero"/>
        <c:crossBetween val="midCat"/>
        <c:majorUnit val="1"/>
      </c:valAx>
      <c:spPr>
        <a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006863185029569"/>
          <c:y val="7.881764651549332E-2"/>
          <c:w val="0.62542052733981701"/>
          <c:h val="0.7848674611022121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Sheet1!$Q$10:$Q$14</c:f>
              <c:numCache>
                <c:formatCode>General</c:formatCode>
                <c:ptCount val="5"/>
                <c:pt idx="0">
                  <c:v>0</c:v>
                </c:pt>
                <c:pt idx="1">
                  <c:v>10.973204552858066</c:v>
                </c:pt>
                <c:pt idx="2">
                  <c:v>9.7873444992079364</c:v>
                </c:pt>
                <c:pt idx="3">
                  <c:v>-1.18586005365013</c:v>
                </c:pt>
                <c:pt idx="4">
                  <c:v>0</c:v>
                </c:pt>
              </c:numCache>
            </c:numRef>
          </c:xVal>
          <c:yVal>
            <c:numRef>
              <c:f>Sheet1!$R$10:$R$14</c:f>
              <c:numCache>
                <c:formatCode>General</c:formatCode>
                <c:ptCount val="5"/>
                <c:pt idx="0">
                  <c:v>0</c:v>
                </c:pt>
                <c:pt idx="1">
                  <c:v>-0.76732121118537833</c:v>
                </c:pt>
                <c:pt idx="2">
                  <c:v>-17.725910065602392</c:v>
                </c:pt>
                <c:pt idx="3">
                  <c:v>-16.958588854417012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F-48DB-9C16-0196368B487F}"/>
            </c:ext>
          </c:extLst>
        </c:ser>
        <c:ser>
          <c:idx val="1"/>
          <c:order val="1"/>
          <c:spPr>
            <a:ln w="698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Sheet1!$Q$76:$Q$80</c:f>
              <c:numCache>
                <c:formatCode>General</c:formatCode>
                <c:ptCount val="5"/>
                <c:pt idx="0">
                  <c:v>3.3</c:v>
                </c:pt>
                <c:pt idx="1">
                  <c:v>7.05</c:v>
                </c:pt>
                <c:pt idx="2">
                  <c:v>7.05</c:v>
                </c:pt>
                <c:pt idx="3">
                  <c:v>3.3</c:v>
                </c:pt>
                <c:pt idx="4">
                  <c:v>3.3</c:v>
                </c:pt>
              </c:numCache>
            </c:numRef>
          </c:xVal>
          <c:yVal>
            <c:numRef>
              <c:f>Sheet1!$R$76:$R$80</c:f>
              <c:numCache>
                <c:formatCode>General</c:formatCode>
                <c:ptCount val="5"/>
                <c:pt idx="0">
                  <c:v>-9</c:v>
                </c:pt>
                <c:pt idx="1">
                  <c:v>-9</c:v>
                </c:pt>
                <c:pt idx="2">
                  <c:v>-17.332999999999998</c:v>
                </c:pt>
                <c:pt idx="3">
                  <c:v>-17.332999999999998</c:v>
                </c:pt>
                <c:pt idx="4">
                  <c:v>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7F-48DB-9C16-0196368B487F}"/>
            </c:ext>
          </c:extLst>
        </c:ser>
        <c:ser>
          <c:idx val="2"/>
          <c:order val="2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Sheet1!$Q$84:$Q$85</c:f>
              <c:numCache>
                <c:formatCode>General</c:formatCode>
                <c:ptCount val="2"/>
                <c:pt idx="0">
                  <c:v>5.1749999999999998</c:v>
                </c:pt>
                <c:pt idx="1">
                  <c:v>5.1749999999999998</c:v>
                </c:pt>
              </c:numCache>
            </c:numRef>
          </c:xVal>
          <c:yVal>
            <c:numRef>
              <c:f>Sheet1!$R$84:$R$85</c:f>
              <c:numCache>
                <c:formatCode>General</c:formatCode>
                <c:ptCount val="2"/>
                <c:pt idx="0">
                  <c:v>-9</c:v>
                </c:pt>
                <c:pt idx="1">
                  <c:v>-17.332999999999998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4-4732-B312-5C69F6524F39}"/>
            </c:ext>
          </c:extLst>
        </c:ser>
        <c:ser>
          <c:idx val="3"/>
          <c:order val="3"/>
          <c:spPr>
            <a:ln w="95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Sheet1!$Q$87:$Q$88</c:f>
              <c:numCache>
                <c:formatCode>General</c:formatCode>
                <c:ptCount val="2"/>
                <c:pt idx="0">
                  <c:v>3.3</c:v>
                </c:pt>
                <c:pt idx="1">
                  <c:v>7.05</c:v>
                </c:pt>
              </c:numCache>
            </c:numRef>
          </c:xVal>
          <c:yVal>
            <c:numRef>
              <c:f>Sheet1!$R$87:$R$88</c:f>
              <c:numCache>
                <c:formatCode>General</c:formatCode>
                <c:ptCount val="2"/>
                <c:pt idx="0">
                  <c:v>-13.166499999999999</c:v>
                </c:pt>
                <c:pt idx="1">
                  <c:v>-13.166499999999999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4-4732-B312-5C69F6524F39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000">
                  <a:alpha val="25000"/>
                </a:srgbClr>
              </a:solidFill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Sheet1!$K$86:$K$121</c:f>
              <c:numCache>
                <c:formatCode>General</c:formatCode>
                <c:ptCount val="36"/>
                <c:pt idx="0">
                  <c:v>5.1958523296080097</c:v>
                </c:pt>
                <c:pt idx="1">
                  <c:v>5.1905069932319581</c:v>
                </c:pt>
                <c:pt idx="2">
                  <c:v>5.1755081389033366</c:v>
                </c:pt>
                <c:pt idx="3">
                  <c:v>5.1691256476910858</c:v>
                </c:pt>
                <c:pt idx="4">
                  <c:v>5.1755081389033366</c:v>
                </c:pt>
                <c:pt idx="5">
                  <c:v>5.1968894844258751</c:v>
                </c:pt>
                <c:pt idx="6">
                  <c:v>5.2108511839457972</c:v>
                </c:pt>
                <c:pt idx="7">
                  <c:v>5.2482685386331562</c:v>
                </c:pt>
                <c:pt idx="8">
                  <c:v>5.3033973064134265</c:v>
                </c:pt>
                <c:pt idx="9">
                  <c:v>5.3467184654620343</c:v>
                </c:pt>
                <c:pt idx="10">
                  <c:v>5.3862899109284861</c:v>
                </c:pt>
                <c:pt idx="11">
                  <c:v>5.4601672466286999</c:v>
                </c:pt>
                <c:pt idx="12">
                  <c:v>5.51473754643294</c:v>
                </c:pt>
                <c:pt idx="13">
                  <c:v>5.5468095647350806</c:v>
                </c:pt>
                <c:pt idx="14">
                  <c:v>5.5511177462932668</c:v>
                </c:pt>
                <c:pt idx="15">
                  <c:v>5.5810356738163147</c:v>
                </c:pt>
                <c:pt idx="16">
                  <c:v>5.6324147280144299</c:v>
                </c:pt>
                <c:pt idx="17">
                  <c:v>5.6399141551787402</c:v>
                </c:pt>
                <c:pt idx="18">
                  <c:v>5.612230099578146</c:v>
                </c:pt>
                <c:pt idx="19">
                  <c:v>5.5661963817652493</c:v>
                </c:pt>
                <c:pt idx="20">
                  <c:v>5.5255877814809322</c:v>
                </c:pt>
                <c:pt idx="21">
                  <c:v>5.4795540636680347</c:v>
                </c:pt>
                <c:pt idx="22">
                  <c:v>5.4763628180619097</c:v>
                </c:pt>
                <c:pt idx="23">
                  <c:v>5.511067613984979</c:v>
                </c:pt>
                <c:pt idx="24">
                  <c:v>5.5266249362987976</c:v>
                </c:pt>
                <c:pt idx="25">
                  <c:v>5.5458521910514103</c:v>
                </c:pt>
                <c:pt idx="26">
                  <c:v>5.5608510453800317</c:v>
                </c:pt>
                <c:pt idx="27">
                  <c:v>5.5897318180852142</c:v>
                </c:pt>
                <c:pt idx="28">
                  <c:v>5.6357655358981109</c:v>
                </c:pt>
                <c:pt idx="29">
                  <c:v>5.6999893536457549</c:v>
                </c:pt>
                <c:pt idx="30">
                  <c:v>5.7791322445786584</c:v>
                </c:pt>
                <c:pt idx="31">
                  <c:v>5.8337025443828985</c:v>
                </c:pt>
                <c:pt idx="32">
                  <c:v>5.9161164620652889</c:v>
                </c:pt>
                <c:pt idx="33">
                  <c:v>5.9845686802369231</c:v>
                </c:pt>
                <c:pt idx="34">
                  <c:v>6.0466384071963075</c:v>
                </c:pt>
                <c:pt idx="35">
                  <c:v>6.0867683206479564</c:v>
                </c:pt>
              </c:numCache>
            </c:numRef>
          </c:xVal>
          <c:yVal>
            <c:numRef>
              <c:f>Sheet1!$L$86:$L$121</c:f>
              <c:numCache>
                <c:formatCode>General</c:formatCode>
                <c:ptCount val="36"/>
                <c:pt idx="0">
                  <c:v>-13.065135674835293</c:v>
                </c:pt>
                <c:pt idx="1">
                  <c:v>-13.00757786272805</c:v>
                </c:pt>
                <c:pt idx="2">
                  <c:v>-12.911321142849726</c:v>
                </c:pt>
                <c:pt idx="3">
                  <c:v>-12.8305439860835</c:v>
                </c:pt>
                <c:pt idx="4">
                  <c:v>-12.708887701403116</c:v>
                </c:pt>
                <c:pt idx="5">
                  <c:v>-12.621460873166129</c:v>
                </c:pt>
                <c:pt idx="6">
                  <c:v>-12.584397130513814</c:v>
                </c:pt>
                <c:pt idx="7">
                  <c:v>-12.545044156704392</c:v>
                </c:pt>
                <c:pt idx="8">
                  <c:v>-12.51626525065077</c:v>
                </c:pt>
                <c:pt idx="9">
                  <c:v>-12.494136016067911</c:v>
                </c:pt>
                <c:pt idx="10">
                  <c:v>-12.475931177770089</c:v>
                </c:pt>
                <c:pt idx="11">
                  <c:v>-12.457617328467405</c:v>
                </c:pt>
                <c:pt idx="12">
                  <c:v>-12.422297761938719</c:v>
                </c:pt>
                <c:pt idx="13">
                  <c:v>-12.350350496804666</c:v>
                </c:pt>
                <c:pt idx="14">
                  <c:v>-12.241884544060941</c:v>
                </c:pt>
                <c:pt idx="15">
                  <c:v>-12.192066513500581</c:v>
                </c:pt>
                <c:pt idx="16">
                  <c:v>-12.115758808062038</c:v>
                </c:pt>
                <c:pt idx="17">
                  <c:v>-12.03825198152418</c:v>
                </c:pt>
                <c:pt idx="18">
                  <c:v>-11.94635570195951</c:v>
                </c:pt>
                <c:pt idx="19">
                  <c:v>-11.89653767139915</c:v>
                </c:pt>
                <c:pt idx="20">
                  <c:v>-11.865578545193284</c:v>
                </c:pt>
                <c:pt idx="21">
                  <c:v>-11.779241827023252</c:v>
                </c:pt>
                <c:pt idx="22">
                  <c:v>-11.729532807476922</c:v>
                </c:pt>
                <c:pt idx="23">
                  <c:v>-11.627171471170481</c:v>
                </c:pt>
                <c:pt idx="24">
                  <c:v>-11.53364002649621</c:v>
                </c:pt>
                <c:pt idx="25">
                  <c:v>-11.485021117026001</c:v>
                </c:pt>
                <c:pt idx="26">
                  <c:v>-11.431823745223246</c:v>
                </c:pt>
                <c:pt idx="27">
                  <c:v>-11.387565276066693</c:v>
                </c:pt>
                <c:pt idx="28">
                  <c:v>-11.372085712963759</c:v>
                </c:pt>
                <c:pt idx="29">
                  <c:v>-11.379825494510643</c:v>
                </c:pt>
                <c:pt idx="30">
                  <c:v>-11.400864619017382</c:v>
                </c:pt>
                <c:pt idx="31">
                  <c:v>-11.432913855308536</c:v>
                </c:pt>
                <c:pt idx="32">
                  <c:v>-11.449592539492453</c:v>
                </c:pt>
                <c:pt idx="33">
                  <c:v>-11.462782871438279</c:v>
                </c:pt>
                <c:pt idx="34">
                  <c:v>-11.466162212680674</c:v>
                </c:pt>
                <c:pt idx="35">
                  <c:v>-11.471176719032668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D4-4732-B312-5C69F6524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209967"/>
        <c:axId val="273033711"/>
      </c:scatterChart>
      <c:valAx>
        <c:axId val="327209967"/>
        <c:scaling>
          <c:orientation val="minMax"/>
          <c:max val="10.9732"/>
          <c:min val="-1.1859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73033711"/>
        <c:crosses val="autoZero"/>
        <c:crossBetween val="midCat"/>
        <c:majorUnit val="1"/>
      </c:valAx>
      <c:valAx>
        <c:axId val="273033711"/>
        <c:scaling>
          <c:orientation val="minMax"/>
          <c:max val="0"/>
          <c:min val="-17.725999999999999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27209967"/>
        <c:crosses val="autoZero"/>
        <c:crossBetween val="midCat"/>
        <c:majorUnit val="1"/>
      </c:valAx>
      <c:spPr>
        <a:blipFill>
          <a:blip xmlns:r="http://schemas.openxmlformats.org/officeDocument/2006/relationships" r:embed="rId3"/>
          <a:stretch>
            <a:fillRect/>
          </a:stretch>
        </a:blip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rgbClr val="B2B2B2">
        <a:alpha val="25098"/>
      </a:srgb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45</xdr:col>
      <xdr:colOff>363455</xdr:colOff>
      <xdr:row>9</xdr:row>
      <xdr:rowOff>24313</xdr:rowOff>
    </xdr:from>
    <xdr:to>
      <xdr:col>61</xdr:col>
      <xdr:colOff>509759</xdr:colOff>
      <xdr:row>97</xdr:row>
      <xdr:rowOff>77463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9F8AA51D-4AA0-4CF2-878E-E953827B0C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96268" y="1810251"/>
          <a:ext cx="11195304" cy="16912400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6</xdr:row>
      <xdr:rowOff>0</xdr:rowOff>
    </xdr:from>
    <xdr:to>
      <xdr:col>35</xdr:col>
      <xdr:colOff>457199</xdr:colOff>
      <xdr:row>90</xdr:row>
      <xdr:rowOff>80282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C3D0E97-A6BD-4D0D-B218-AC6F9D5BC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10652" y="1126435"/>
          <a:ext cx="10081590" cy="15610173"/>
        </a:xfrm>
        <a:prstGeom prst="rect">
          <a:avLst/>
        </a:prstGeom>
      </xdr:spPr>
    </xdr:pic>
    <xdr:clientData/>
  </xdr:twoCellAnchor>
  <xdr:twoCellAnchor>
    <xdr:from>
      <xdr:col>19</xdr:col>
      <xdr:colOff>685799</xdr:colOff>
      <xdr:row>5</xdr:row>
      <xdr:rowOff>9524</xdr:rowOff>
    </xdr:from>
    <xdr:to>
      <xdr:col>36</xdr:col>
      <xdr:colOff>9525</xdr:colOff>
      <xdr:row>91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9FACBB9-0EEF-4217-B577-F29E42AA2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404812</xdr:colOff>
      <xdr:row>0</xdr:row>
      <xdr:rowOff>119062</xdr:rowOff>
    </xdr:from>
    <xdr:to>
      <xdr:col>65</xdr:col>
      <xdr:colOff>342900</xdr:colOff>
      <xdr:row>113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5C1D2AC-7ABA-4D35-B7E8-CACDAF0D0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rederic-jyrg/ouitoo/wiki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maps.app.goo.gl/5kGhTRHsTmQ7oncNA" TargetMode="External"/><Relationship Id="rId1" Type="http://schemas.openxmlformats.org/officeDocument/2006/relationships/hyperlink" Target="https://github.com/Frederic-jyrg/ouitoo/blob/main/info/union-plaza-ocad-4000-04-09-2021.png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en.wikipedia.org/wiki/Pixel_density" TargetMode="External"/><Relationship Id="rId4" Type="http://schemas.openxmlformats.org/officeDocument/2006/relationships/hyperlink" Target="https://maps.app.goo.gl/orPfK8FduzNU1MMz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1"/>
  <sheetViews>
    <sheetView tabSelected="1" topLeftCell="B40" zoomScale="90" zoomScaleNormal="90" workbookViewId="0">
      <selection activeCell="G49" sqref="G49"/>
    </sheetView>
  </sheetViews>
  <sheetFormatPr defaultRowHeight="14.25"/>
  <cols>
    <col min="1" max="1" width="14.125" customWidth="1"/>
    <col min="2" max="2" width="15.25" customWidth="1"/>
    <col min="3" max="3" width="14.375" customWidth="1"/>
    <col min="7" max="7" width="26.5" customWidth="1"/>
    <col min="8" max="8" width="13.5" bestFit="1" customWidth="1"/>
    <col min="10" max="10" width="9.375" bestFit="1" customWidth="1"/>
    <col min="16" max="16" width="10.25" customWidth="1"/>
  </cols>
  <sheetData>
    <row r="1" spans="1:42">
      <c r="A1" s="5" t="s">
        <v>22</v>
      </c>
    </row>
    <row r="2" spans="1:42">
      <c r="A2" t="s">
        <v>23</v>
      </c>
      <c r="P2" t="s">
        <v>64</v>
      </c>
      <c r="Q2" s="8" t="s">
        <v>62</v>
      </c>
      <c r="R2" s="8" t="s">
        <v>63</v>
      </c>
    </row>
    <row r="3" spans="1:42">
      <c r="P3" t="s">
        <v>65</v>
      </c>
      <c r="Q3" s="8">
        <v>0</v>
      </c>
      <c r="R3" s="8">
        <v>0</v>
      </c>
    </row>
    <row r="4" spans="1:42">
      <c r="A4" t="s">
        <v>12</v>
      </c>
      <c r="B4" s="4" t="s">
        <v>11</v>
      </c>
      <c r="Q4" s="8">
        <v>11</v>
      </c>
      <c r="R4" s="8">
        <v>0</v>
      </c>
      <c r="V4" t="s">
        <v>66</v>
      </c>
      <c r="AP4" t="s">
        <v>69</v>
      </c>
    </row>
    <row r="5" spans="1:42">
      <c r="Q5" s="8">
        <v>11</v>
      </c>
      <c r="R5" s="8">
        <v>-17</v>
      </c>
    </row>
    <row r="6" spans="1:42" ht="17.25">
      <c r="A6" s="1" t="s">
        <v>1</v>
      </c>
      <c r="Q6" s="8">
        <v>0</v>
      </c>
      <c r="R6" s="8">
        <v>-17</v>
      </c>
    </row>
    <row r="7" spans="1:42">
      <c r="A7" s="2" t="s">
        <v>2</v>
      </c>
      <c r="Q7" s="8">
        <v>0</v>
      </c>
      <c r="R7" s="8">
        <v>0</v>
      </c>
    </row>
    <row r="8" spans="1:42" ht="17.25">
      <c r="A8" s="3" t="s">
        <v>3</v>
      </c>
      <c r="N8" t="s">
        <v>67</v>
      </c>
    </row>
    <row r="9" spans="1:42" ht="17.25">
      <c r="A9" s="3" t="s">
        <v>4</v>
      </c>
      <c r="N9" t="s">
        <v>68</v>
      </c>
      <c r="O9">
        <v>-4</v>
      </c>
      <c r="Q9" s="8" t="s">
        <v>62</v>
      </c>
      <c r="R9" s="8" t="s">
        <v>63</v>
      </c>
    </row>
    <row r="10" spans="1:42" ht="17.25">
      <c r="A10" s="3" t="s">
        <v>5</v>
      </c>
      <c r="N10">
        <f>COS($O$9*PI()/180)</f>
        <v>0.9975640502598242</v>
      </c>
      <c r="O10">
        <f>SIN($O$9*PI()/180)</f>
        <v>-6.9756473744125302E-2</v>
      </c>
      <c r="Q10" s="8">
        <f>N10*Q3-O10*R3</f>
        <v>0</v>
      </c>
      <c r="R10" s="8">
        <f>O10*Q3+N10*R3</f>
        <v>0</v>
      </c>
    </row>
    <row r="11" spans="1:42" ht="17.25">
      <c r="A11" s="3" t="s">
        <v>6</v>
      </c>
      <c r="N11">
        <f t="shared" ref="N11:N14" si="0">COS($O$9*PI()/180)</f>
        <v>0.9975640502598242</v>
      </c>
      <c r="O11">
        <f t="shared" ref="O11:O14" si="1">SIN($O$9*PI()/180)</f>
        <v>-6.9756473744125302E-2</v>
      </c>
      <c r="Q11" s="8">
        <f t="shared" ref="Q11:Q14" si="2">N11*Q4-O11*R4</f>
        <v>10.973204552858066</v>
      </c>
      <c r="R11" s="8">
        <f t="shared" ref="R11:R14" si="3">O11*Q4+N11*R4</f>
        <v>-0.76732121118537833</v>
      </c>
    </row>
    <row r="12" spans="1:42" ht="17.25">
      <c r="A12" s="3"/>
      <c r="N12">
        <f t="shared" si="0"/>
        <v>0.9975640502598242</v>
      </c>
      <c r="O12">
        <f t="shared" si="1"/>
        <v>-6.9756473744125302E-2</v>
      </c>
      <c r="Q12" s="8">
        <f t="shared" si="2"/>
        <v>9.7873444992079364</v>
      </c>
      <c r="R12" s="8">
        <f t="shared" si="3"/>
        <v>-17.725910065602392</v>
      </c>
    </row>
    <row r="13" spans="1:42" ht="17.25">
      <c r="A13" s="3" t="s">
        <v>7</v>
      </c>
      <c r="B13" s="4" t="s">
        <v>10</v>
      </c>
      <c r="N13">
        <f t="shared" si="0"/>
        <v>0.9975640502598242</v>
      </c>
      <c r="O13">
        <f t="shared" si="1"/>
        <v>-6.9756473744125302E-2</v>
      </c>
      <c r="Q13" s="8">
        <f t="shared" si="2"/>
        <v>-1.18586005365013</v>
      </c>
      <c r="R13" s="8">
        <f t="shared" si="3"/>
        <v>-16.958588854417012</v>
      </c>
    </row>
    <row r="14" spans="1:42">
      <c r="A14" t="s">
        <v>15</v>
      </c>
      <c r="N14">
        <f t="shared" si="0"/>
        <v>0.9975640502598242</v>
      </c>
      <c r="O14">
        <f t="shared" si="1"/>
        <v>-6.9756473744125302E-2</v>
      </c>
      <c r="Q14" s="8">
        <f t="shared" si="2"/>
        <v>0</v>
      </c>
      <c r="R14" s="8">
        <f t="shared" si="3"/>
        <v>0</v>
      </c>
    </row>
    <row r="15" spans="1:42" ht="17.25">
      <c r="A15" s="3" t="s">
        <v>0</v>
      </c>
      <c r="B15" s="4" t="s">
        <v>8</v>
      </c>
    </row>
    <row r="16" spans="1:42">
      <c r="A16" t="s">
        <v>9</v>
      </c>
      <c r="Q16" s="8">
        <f>-MIN(Q10:Q14)+MAX(Q10:Q14)</f>
        <v>12.159064606508196</v>
      </c>
      <c r="R16" s="8">
        <f>MIN(R10:R14)+MAX(R10:R14)</f>
        <v>-17.725910065602392</v>
      </c>
    </row>
    <row r="18" spans="1:17">
      <c r="A18" t="s">
        <v>26</v>
      </c>
      <c r="E18" t="s">
        <v>24</v>
      </c>
    </row>
    <row r="19" spans="1:17">
      <c r="E19" t="s">
        <v>25</v>
      </c>
    </row>
    <row r="20" spans="1:17" ht="13.5" customHeight="1">
      <c r="B20" t="s">
        <v>7</v>
      </c>
      <c r="C20" t="s">
        <v>0</v>
      </c>
      <c r="I20" t="s">
        <v>31</v>
      </c>
      <c r="K20" t="s">
        <v>33</v>
      </c>
      <c r="N20" t="s">
        <v>35</v>
      </c>
    </row>
    <row r="21" spans="1:17">
      <c r="A21" t="s">
        <v>13</v>
      </c>
      <c r="B21">
        <v>40.811470014009501</v>
      </c>
      <c r="C21">
        <v>40.8190857586658</v>
      </c>
      <c r="E21" t="s">
        <v>27</v>
      </c>
      <c r="I21" s="5" t="s">
        <v>32</v>
      </c>
      <c r="K21" t="s">
        <v>34</v>
      </c>
    </row>
    <row r="22" spans="1:17">
      <c r="A22" t="s">
        <v>14</v>
      </c>
      <c r="B22">
        <v>-96.687916042139094</v>
      </c>
      <c r="C22">
        <v>-96.691201279725405</v>
      </c>
      <c r="E22">
        <v>890.73</v>
      </c>
      <c r="I22">
        <v>4000</v>
      </c>
      <c r="K22">
        <v>4</v>
      </c>
      <c r="N22" t="s">
        <v>36</v>
      </c>
      <c r="Q22" s="5"/>
    </row>
    <row r="24" spans="1:17">
      <c r="G24" t="s">
        <v>44</v>
      </c>
    </row>
    <row r="25" spans="1:17">
      <c r="A25" s="6"/>
      <c r="B25" s="6" t="s">
        <v>7</v>
      </c>
      <c r="C25" s="6" t="s">
        <v>0</v>
      </c>
    </row>
    <row r="26" spans="1:17">
      <c r="A26" s="6" t="s">
        <v>16</v>
      </c>
      <c r="B26" s="7" t="s">
        <v>18</v>
      </c>
      <c r="C26" s="7" t="s">
        <v>20</v>
      </c>
      <c r="F26" s="5" t="s">
        <v>48</v>
      </c>
      <c r="G26" t="s">
        <v>45</v>
      </c>
    </row>
    <row r="27" spans="1:17">
      <c r="A27" s="6" t="s">
        <v>17</v>
      </c>
      <c r="B27" s="7" t="s">
        <v>19</v>
      </c>
      <c r="C27" s="7" t="s">
        <v>21</v>
      </c>
      <c r="G27" t="s">
        <v>46</v>
      </c>
      <c r="H27">
        <f>E22/I22</f>
        <v>0.22268250000000001</v>
      </c>
    </row>
    <row r="28" spans="1:17">
      <c r="G28" t="s">
        <v>47</v>
      </c>
      <c r="H28">
        <f>H27*1000</f>
        <v>222.6825</v>
      </c>
    </row>
    <row r="30" spans="1:17">
      <c r="A30" t="s">
        <v>30</v>
      </c>
      <c r="F30" s="5" t="s">
        <v>49</v>
      </c>
      <c r="G30" t="s">
        <v>50</v>
      </c>
    </row>
    <row r="31" spans="1:17">
      <c r="B31" t="s">
        <v>28</v>
      </c>
      <c r="C31" t="s">
        <v>29</v>
      </c>
      <c r="G31" s="5" t="s">
        <v>56</v>
      </c>
    </row>
    <row r="32" spans="1:17">
      <c r="B32">
        <v>40.810494300000002</v>
      </c>
      <c r="C32">
        <v>-96.689130800000001</v>
      </c>
      <c r="G32" s="5"/>
    </row>
    <row r="33" spans="2:9">
      <c r="B33">
        <v>40.810547100000001</v>
      </c>
      <c r="C33">
        <v>-96.689137500000001</v>
      </c>
      <c r="G33" t="s">
        <v>51</v>
      </c>
      <c r="H33">
        <f>B21</f>
        <v>40.811470014009501</v>
      </c>
    </row>
    <row r="34" spans="2:9">
      <c r="B34">
        <v>40.810635400000002</v>
      </c>
      <c r="C34">
        <v>-96.689156299999993</v>
      </c>
      <c r="G34" t="s">
        <v>52</v>
      </c>
      <c r="H34">
        <f>C21</f>
        <v>40.8190857586658</v>
      </c>
    </row>
    <row r="35" spans="2:9">
      <c r="B35">
        <v>40.810709500000002</v>
      </c>
      <c r="C35">
        <v>-96.689164300000002</v>
      </c>
      <c r="G35" t="s">
        <v>53</v>
      </c>
      <c r="H35">
        <f>B22</f>
        <v>-96.687916042139094</v>
      </c>
    </row>
    <row r="36" spans="2:9">
      <c r="B36">
        <v>40.810821099999998</v>
      </c>
      <c r="C36">
        <v>-96.689156299999993</v>
      </c>
      <c r="G36" t="s">
        <v>54</v>
      </c>
      <c r="H36">
        <f>C22</f>
        <v>-96.691201279725405</v>
      </c>
    </row>
    <row r="37" spans="2:9">
      <c r="B37">
        <v>40.810901299999998</v>
      </c>
      <c r="C37">
        <v>-96.689129500000007</v>
      </c>
    </row>
    <row r="38" spans="2:9">
      <c r="B38">
        <v>40.810935299999997</v>
      </c>
      <c r="C38">
        <v>-96.689111999999994</v>
      </c>
      <c r="G38" t="s">
        <v>59</v>
      </c>
      <c r="H38">
        <f>H35-H36</f>
        <v>3.2852375863114958E-3</v>
      </c>
    </row>
    <row r="39" spans="2:9">
      <c r="B39">
        <v>40.8109714</v>
      </c>
      <c r="C39">
        <v>-96.689065099999993</v>
      </c>
      <c r="G39" t="s">
        <v>58</v>
      </c>
      <c r="H39">
        <f>H33-H34</f>
        <v>-7.615744656298773E-3</v>
      </c>
    </row>
    <row r="40" spans="2:9">
      <c r="B40">
        <v>40.810997800000003</v>
      </c>
      <c r="C40">
        <v>-96.688996000000003</v>
      </c>
    </row>
    <row r="41" spans="2:9">
      <c r="B41">
        <v>40.811018099999998</v>
      </c>
      <c r="C41">
        <v>-96.688941700000001</v>
      </c>
      <c r="G41" s="5" t="s">
        <v>57</v>
      </c>
    </row>
    <row r="42" spans="2:9">
      <c r="B42">
        <v>40.811034800000002</v>
      </c>
      <c r="C42">
        <v>-96.688892100000004</v>
      </c>
    </row>
    <row r="43" spans="2:9">
      <c r="B43">
        <v>40.811051599999999</v>
      </c>
      <c r="C43">
        <v>-96.688799500000002</v>
      </c>
    </row>
    <row r="44" spans="2:9">
      <c r="B44">
        <v>40.811084000000001</v>
      </c>
      <c r="C44">
        <v>-96.688731099999998</v>
      </c>
      <c r="G44" t="s">
        <v>91</v>
      </c>
      <c r="H44">
        <v>-3.1415899999999999</v>
      </c>
      <c r="I44">
        <f>H44*180/PI()</f>
        <v>-179.99984796050427</v>
      </c>
    </row>
    <row r="45" spans="2:9">
      <c r="B45">
        <v>40.811149999999998</v>
      </c>
      <c r="C45">
        <v>-96.688690899999997</v>
      </c>
    </row>
    <row r="46" spans="2:9">
      <c r="B46">
        <v>40.811249500000002</v>
      </c>
      <c r="C46">
        <v>-96.688685500000005</v>
      </c>
      <c r="G46" t="s">
        <v>61</v>
      </c>
      <c r="H46">
        <f>1/(H39)*H44*H28/SQRT(1+H44^2)</f>
        <v>27862.282018158359</v>
      </c>
    </row>
    <row r="47" spans="2:9">
      <c r="B47">
        <v>40.811295200000004</v>
      </c>
      <c r="C47">
        <v>-96.688648000000001</v>
      </c>
      <c r="G47" t="s">
        <v>60</v>
      </c>
      <c r="H47">
        <f>1/H44*H46*H39/H38</f>
        <v>20559.510454926225</v>
      </c>
    </row>
    <row r="48" spans="2:9">
      <c r="B48">
        <v>40.811365199999997</v>
      </c>
      <c r="C48">
        <v>-96.688583600000001</v>
      </c>
    </row>
    <row r="49" spans="2:10">
      <c r="B49">
        <v>40.811436299999997</v>
      </c>
      <c r="C49">
        <v>-96.688574200000005</v>
      </c>
      <c r="G49" t="s">
        <v>55</v>
      </c>
      <c r="H49">
        <f>H46/H47</f>
        <v>1.3552016269668683</v>
      </c>
    </row>
    <row r="50" spans="2:10">
      <c r="B50">
        <v>40.811520600000001</v>
      </c>
      <c r="C50">
        <v>-96.688608900000006</v>
      </c>
    </row>
    <row r="51" spans="2:10">
      <c r="B51">
        <v>40.811566300000003</v>
      </c>
      <c r="C51">
        <v>-96.688666600000005</v>
      </c>
      <c r="G51" s="5"/>
    </row>
    <row r="52" spans="2:10">
      <c r="B52">
        <v>40.811594700000001</v>
      </c>
      <c r="C52">
        <v>-96.688717499999996</v>
      </c>
      <c r="G52" s="5"/>
    </row>
    <row r="53" spans="2:10">
      <c r="B53">
        <v>40.811673900000002</v>
      </c>
      <c r="C53">
        <v>-96.688775199999995</v>
      </c>
    </row>
    <row r="54" spans="2:10">
      <c r="B54">
        <v>40.811719500000002</v>
      </c>
      <c r="C54">
        <v>-96.688779199999999</v>
      </c>
      <c r="G54" s="5" t="s">
        <v>78</v>
      </c>
    </row>
    <row r="55" spans="2:10">
      <c r="B55">
        <v>40.811813399999998</v>
      </c>
      <c r="C55">
        <v>-96.688735699999995</v>
      </c>
    </row>
    <row r="56" spans="2:10">
      <c r="B56">
        <v>40.811899199999999</v>
      </c>
      <c r="C56">
        <v>-96.688716200000002</v>
      </c>
      <c r="G56" t="s">
        <v>79</v>
      </c>
    </row>
    <row r="57" spans="2:10">
      <c r="B57">
        <v>40.811943800000002</v>
      </c>
      <c r="C57">
        <v>-96.688692099999997</v>
      </c>
    </row>
    <row r="58" spans="2:10">
      <c r="B58">
        <v>40.811992600000004</v>
      </c>
      <c r="C58">
        <v>-96.688673300000005</v>
      </c>
      <c r="G58" t="s">
        <v>80</v>
      </c>
    </row>
    <row r="59" spans="2:10">
      <c r="B59">
        <v>40.812033200000002</v>
      </c>
      <c r="C59">
        <v>-96.688637099999994</v>
      </c>
      <c r="G59" t="s">
        <v>81</v>
      </c>
      <c r="H59" t="s">
        <v>84</v>
      </c>
      <c r="J59">
        <f>(H61-H66)^2+(H60-H65)^2</f>
        <v>48898.511880199985</v>
      </c>
    </row>
    <row r="60" spans="2:10">
      <c r="B60">
        <v>40.812047399999997</v>
      </c>
      <c r="C60">
        <v>-96.688579399999995</v>
      </c>
      <c r="G60">
        <f>B21</f>
        <v>40.811470014009501</v>
      </c>
      <c r="H60">
        <f>Q101</f>
        <v>-304.8381</v>
      </c>
      <c r="J60">
        <f>SQRT(J59)</f>
        <v>221.1300790941838</v>
      </c>
    </row>
    <row r="61" spans="2:10">
      <c r="B61">
        <v>40.8120403</v>
      </c>
      <c r="C61">
        <v>-96.688498899999999</v>
      </c>
      <c r="G61">
        <f>B22</f>
        <v>-96.687916042139094</v>
      </c>
      <c r="H61">
        <f>P101</f>
        <v>156.59099999999998</v>
      </c>
    </row>
    <row r="62" spans="2:10">
      <c r="B62">
        <v>40.812021000000001</v>
      </c>
      <c r="C62">
        <v>-96.688399700000005</v>
      </c>
    </row>
    <row r="63" spans="2:10">
      <c r="B63">
        <v>40.811991599999999</v>
      </c>
      <c r="C63">
        <v>-96.688331300000002</v>
      </c>
      <c r="G63" t="s">
        <v>83</v>
      </c>
    </row>
    <row r="64" spans="2:10">
      <c r="B64">
        <v>40.811976299999998</v>
      </c>
      <c r="C64">
        <v>-96.688227999999995</v>
      </c>
      <c r="G64" t="s">
        <v>81</v>
      </c>
      <c r="H64" t="s">
        <v>84</v>
      </c>
    </row>
    <row r="65" spans="1:18">
      <c r="B65">
        <v>40.811964199999998</v>
      </c>
      <c r="C65">
        <v>-96.688142200000001</v>
      </c>
      <c r="G65">
        <f>C21</f>
        <v>40.8190857586658</v>
      </c>
      <c r="H65">
        <f>Q104</f>
        <v>-93.967300000000009</v>
      </c>
    </row>
    <row r="66" spans="1:18">
      <c r="B66">
        <v>40.811961099999998</v>
      </c>
      <c r="C66">
        <v>-96.688064400000002</v>
      </c>
      <c r="G66">
        <f>C22</f>
        <v>-96.691201279725405</v>
      </c>
      <c r="H66">
        <f>P104</f>
        <v>90.017600000000002</v>
      </c>
    </row>
    <row r="67" spans="1:18">
      <c r="B67">
        <v>40.811956500000001</v>
      </c>
      <c r="C67">
        <v>-96.688014100000004</v>
      </c>
    </row>
    <row r="68" spans="1:18">
      <c r="G68" t="s">
        <v>61</v>
      </c>
      <c r="H68">
        <f>(H60-H65)/H39</f>
        <v>27688.795976844434</v>
      </c>
    </row>
    <row r="69" spans="1:18">
      <c r="A69" t="s">
        <v>37</v>
      </c>
      <c r="C69" s="4" t="s">
        <v>38</v>
      </c>
      <c r="G69" t="s">
        <v>60</v>
      </c>
      <c r="H69">
        <f>(H61-H66)/H38</f>
        <v>20264.409574938942</v>
      </c>
    </row>
    <row r="70" spans="1:18">
      <c r="P70" t="s">
        <v>73</v>
      </c>
      <c r="Q70">
        <v>-1.18586005365013</v>
      </c>
      <c r="R70">
        <f>10.9732045528581-3.75</f>
        <v>7.2232045528580997</v>
      </c>
    </row>
    <row r="71" spans="1:18">
      <c r="A71" t="s">
        <v>39</v>
      </c>
      <c r="B71">
        <v>96</v>
      </c>
      <c r="G71" t="s">
        <v>55</v>
      </c>
      <c r="H71">
        <f>H68/H69</f>
        <v>1.3663756584888245</v>
      </c>
      <c r="P71" t="s">
        <v>74</v>
      </c>
      <c r="Q71">
        <v>0</v>
      </c>
      <c r="R71">
        <f>-17.7259100656024-(-8.333)</f>
        <v>-9.3929100656023987</v>
      </c>
    </row>
    <row r="72" spans="1:18">
      <c r="A72" t="s">
        <v>40</v>
      </c>
      <c r="B72">
        <v>800</v>
      </c>
      <c r="G72" t="s">
        <v>85</v>
      </c>
      <c r="H72">
        <f>1/H71</f>
        <v>0.73186315475348385</v>
      </c>
    </row>
    <row r="73" spans="1:18">
      <c r="A73" t="s">
        <v>41</v>
      </c>
      <c r="B73">
        <v>360</v>
      </c>
      <c r="P73" t="s">
        <v>72</v>
      </c>
      <c r="Q73">
        <v>3.3</v>
      </c>
      <c r="R73">
        <v>-9</v>
      </c>
    </row>
    <row r="74" spans="1:18">
      <c r="G74" t="s">
        <v>89</v>
      </c>
    </row>
    <row r="75" spans="1:18">
      <c r="A75" t="s">
        <v>42</v>
      </c>
      <c r="P75" t="s">
        <v>70</v>
      </c>
      <c r="Q75" s="8" t="s">
        <v>62</v>
      </c>
      <c r="R75" s="8" t="s">
        <v>63</v>
      </c>
    </row>
    <row r="76" spans="1:18">
      <c r="A76" t="s">
        <v>40</v>
      </c>
      <c r="B76">
        <f>B72/$B$71</f>
        <v>8.3333333333333339</v>
      </c>
      <c r="G76" t="s">
        <v>87</v>
      </c>
      <c r="H76">
        <f>(H61-H66)/(G61-G66)</f>
        <v>20264.409574938942</v>
      </c>
      <c r="P76" t="s">
        <v>71</v>
      </c>
      <c r="Q76" s="8">
        <f>0+$Q$73</f>
        <v>3.3</v>
      </c>
      <c r="R76" s="8">
        <f>0+$R$73</f>
        <v>-9</v>
      </c>
    </row>
    <row r="77" spans="1:18">
      <c r="A77" t="s">
        <v>41</v>
      </c>
      <c r="B77">
        <f>B73/$B$71</f>
        <v>3.75</v>
      </c>
      <c r="G77" t="s">
        <v>88</v>
      </c>
      <c r="H77">
        <f>H61-G61*H76</f>
        <v>1959480.1226252159</v>
      </c>
      <c r="Q77" s="8">
        <f>3.75+$Q$73</f>
        <v>7.05</v>
      </c>
      <c r="R77" s="8">
        <f>0+$R$73</f>
        <v>-9</v>
      </c>
    </row>
    <row r="78" spans="1:18">
      <c r="Q78" s="8">
        <f>3.75+$Q$73</f>
        <v>7.05</v>
      </c>
      <c r="R78" s="8">
        <f>-8.333+$R$73</f>
        <v>-17.332999999999998</v>
      </c>
    </row>
    <row r="79" spans="1:18">
      <c r="A79" t="s">
        <v>43</v>
      </c>
      <c r="G79" t="s">
        <v>86</v>
      </c>
      <c r="Q79" s="8">
        <f t="shared" ref="Q79:Q80" si="4">0+$Q$73</f>
        <v>3.3</v>
      </c>
      <c r="R79" s="8">
        <f>-8.333+$R$73</f>
        <v>-17.332999999999998</v>
      </c>
    </row>
    <row r="80" spans="1:18">
      <c r="A80" t="s">
        <v>40</v>
      </c>
      <c r="B80">
        <f>B72/$B$71*25.4</f>
        <v>211.66666666666666</v>
      </c>
      <c r="Q80" s="8">
        <f t="shared" si="4"/>
        <v>3.3</v>
      </c>
      <c r="R80" s="8">
        <f t="shared" ref="R80" si="5">0+$R$73</f>
        <v>-9</v>
      </c>
    </row>
    <row r="81" spans="1:18">
      <c r="A81" t="s">
        <v>41</v>
      </c>
      <c r="B81">
        <f>B73/$B$71*25.4</f>
        <v>95.25</v>
      </c>
      <c r="G81" t="s">
        <v>87</v>
      </c>
      <c r="H81">
        <f>(H60-H65)/(G60-G65)</f>
        <v>27688.795976844434</v>
      </c>
      <c r="Q81" s="8"/>
      <c r="R81" s="8"/>
    </row>
    <row r="82" spans="1:18">
      <c r="G82" t="s">
        <v>88</v>
      </c>
      <c r="H82">
        <f>H60-G60*H81</f>
        <v>-1130325.3048330136</v>
      </c>
      <c r="P82" t="s">
        <v>75</v>
      </c>
      <c r="Q82" s="8">
        <f>AVERAGE(Q76:Q79)</f>
        <v>5.1749999999999998</v>
      </c>
      <c r="R82" s="8">
        <f>AVERAGE(R76:R79)</f>
        <v>-13.166499999999999</v>
      </c>
    </row>
    <row r="83" spans="1:18">
      <c r="Q83" s="8"/>
      <c r="R83" s="8"/>
    </row>
    <row r="84" spans="1:18">
      <c r="Q84">
        <f>Q82</f>
        <v>5.1749999999999998</v>
      </c>
      <c r="R84">
        <f>R76</f>
        <v>-9</v>
      </c>
    </row>
    <row r="85" spans="1:18">
      <c r="H85" t="s">
        <v>82</v>
      </c>
      <c r="I85" t="s">
        <v>90</v>
      </c>
      <c r="K85" t="s">
        <v>62</v>
      </c>
      <c r="L85" t="s">
        <v>63</v>
      </c>
      <c r="Q85">
        <f>Q82</f>
        <v>5.1749999999999998</v>
      </c>
      <c r="R85">
        <f>R79</f>
        <v>-17.332999999999998</v>
      </c>
    </row>
    <row r="86" spans="1:18">
      <c r="H86">
        <f>$H$76*C32+$H$77</f>
        <v>131.97464917204343</v>
      </c>
      <c r="I86">
        <f>B32*$H$81+$H$82</f>
        <v>-331.85444614081644</v>
      </c>
      <c r="K86">
        <f>H86/25.4</f>
        <v>5.1958523296080097</v>
      </c>
      <c r="L86">
        <f>I86/25.4</f>
        <v>-13.065135674835293</v>
      </c>
    </row>
    <row r="87" spans="1:18">
      <c r="H87">
        <f t="shared" ref="H87:H121" si="6">$H$76*C33+$H$77</f>
        <v>131.83887762809172</v>
      </c>
      <c r="I87">
        <f t="shared" ref="I87:I121" si="7">B33*$H$81+$H$82</f>
        <v>-330.39247771329246</v>
      </c>
      <c r="K87">
        <f t="shared" ref="K87:K121" si="8">H87/25.4</f>
        <v>5.1905069932319581</v>
      </c>
      <c r="L87">
        <f t="shared" ref="L87:L121" si="9">I87/25.4</f>
        <v>-13.00757786272805</v>
      </c>
      <c r="Q87">
        <f>Q76</f>
        <v>3.3</v>
      </c>
      <c r="R87">
        <f>R82</f>
        <v>-13.166499999999999</v>
      </c>
    </row>
    <row r="88" spans="1:18">
      <c r="H88">
        <f t="shared" si="6"/>
        <v>131.45790672814474</v>
      </c>
      <c r="I88">
        <f t="shared" si="7"/>
        <v>-327.94755702838302</v>
      </c>
      <c r="K88">
        <f t="shared" si="8"/>
        <v>5.1755081389033366</v>
      </c>
      <c r="L88">
        <f t="shared" si="9"/>
        <v>-12.911321142849726</v>
      </c>
      <c r="Q88">
        <f>Q78</f>
        <v>7.05</v>
      </c>
      <c r="R88">
        <f>R82</f>
        <v>-13.166499999999999</v>
      </c>
    </row>
    <row r="89" spans="1:18">
      <c r="H89">
        <f t="shared" si="6"/>
        <v>131.29579145135358</v>
      </c>
      <c r="I89">
        <f t="shared" si="7"/>
        <v>-325.89581724652089</v>
      </c>
      <c r="K89">
        <f t="shared" si="8"/>
        <v>5.1691256476910858</v>
      </c>
      <c r="L89">
        <f t="shared" si="9"/>
        <v>-12.8305439860835</v>
      </c>
    </row>
    <row r="90" spans="1:18">
      <c r="H90">
        <f t="shared" si="6"/>
        <v>131.45790672814474</v>
      </c>
      <c r="I90">
        <f t="shared" si="7"/>
        <v>-322.80574761563912</v>
      </c>
      <c r="K90">
        <f t="shared" si="8"/>
        <v>5.1755081389033366</v>
      </c>
      <c r="L90">
        <f t="shared" si="9"/>
        <v>-12.708887701403116</v>
      </c>
      <c r="P90" t="s">
        <v>42</v>
      </c>
    </row>
    <row r="91" spans="1:18">
      <c r="H91">
        <f t="shared" si="6"/>
        <v>132.00099290441722</v>
      </c>
      <c r="I91">
        <f t="shared" si="7"/>
        <v>-320.58510617841966</v>
      </c>
      <c r="K91">
        <f t="shared" si="8"/>
        <v>5.1968894844258751</v>
      </c>
      <c r="L91">
        <f t="shared" si="9"/>
        <v>-12.621460873166129</v>
      </c>
      <c r="P91" t="s">
        <v>76</v>
      </c>
    </row>
    <row r="92" spans="1:18">
      <c r="H92">
        <f t="shared" si="6"/>
        <v>132.35562007222325</v>
      </c>
      <c r="I92">
        <f t="shared" si="7"/>
        <v>-319.64368711505085</v>
      </c>
      <c r="K92">
        <f t="shared" si="8"/>
        <v>5.2108511839457972</v>
      </c>
      <c r="L92">
        <f t="shared" si="9"/>
        <v>-12.584397130513814</v>
      </c>
      <c r="P92">
        <v>4.29</v>
      </c>
      <c r="Q92">
        <v>-7.835</v>
      </c>
    </row>
    <row r="93" spans="1:18">
      <c r="H93">
        <f t="shared" si="6"/>
        <v>133.30602088128217</v>
      </c>
      <c r="I93">
        <f t="shared" si="7"/>
        <v>-318.64412158029154</v>
      </c>
      <c r="K93">
        <f t="shared" si="8"/>
        <v>5.2482685386331562</v>
      </c>
      <c r="L93">
        <f t="shared" si="9"/>
        <v>-12.545044156704392</v>
      </c>
      <c r="P93">
        <v>6.1649999999999991</v>
      </c>
      <c r="Q93">
        <v>-12.0015</v>
      </c>
    </row>
    <row r="94" spans="1:18">
      <c r="H94">
        <f t="shared" si="6"/>
        <v>134.70629158290103</v>
      </c>
      <c r="I94">
        <f t="shared" si="7"/>
        <v>-317.91313736652955</v>
      </c>
      <c r="K94">
        <f t="shared" si="8"/>
        <v>5.3033973064134265</v>
      </c>
      <c r="L94">
        <f t="shared" si="9"/>
        <v>-12.51626525065077</v>
      </c>
      <c r="P94" t="s">
        <v>77</v>
      </c>
    </row>
    <row r="95" spans="1:18">
      <c r="H95">
        <f t="shared" si="6"/>
        <v>135.80664902273566</v>
      </c>
      <c r="I95">
        <f t="shared" si="7"/>
        <v>-317.3510548081249</v>
      </c>
      <c r="K95">
        <f t="shared" si="8"/>
        <v>5.3467184654620343</v>
      </c>
      <c r="L95">
        <f t="shared" si="9"/>
        <v>-12.494136016067911</v>
      </c>
      <c r="P95">
        <v>1.669</v>
      </c>
      <c r="Q95">
        <v>0.46700000000000003</v>
      </c>
    </row>
    <row r="96" spans="1:18">
      <c r="H96">
        <f t="shared" si="6"/>
        <v>136.81176373758353</v>
      </c>
      <c r="I96">
        <f t="shared" si="7"/>
        <v>-316.88865191536024</v>
      </c>
      <c r="K96">
        <f t="shared" si="8"/>
        <v>5.3862899109284861</v>
      </c>
      <c r="L96">
        <f t="shared" si="9"/>
        <v>-12.475931177770089</v>
      </c>
      <c r="P96">
        <v>3.5440000000000005</v>
      </c>
      <c r="Q96">
        <v>-3.6995000000000005</v>
      </c>
    </row>
    <row r="97" spans="8:17">
      <c r="H97">
        <f t="shared" si="6"/>
        <v>138.68824806436896</v>
      </c>
      <c r="I97">
        <f t="shared" si="7"/>
        <v>-316.42348014307208</v>
      </c>
      <c r="K97">
        <f t="shared" si="8"/>
        <v>5.4601672466286999</v>
      </c>
      <c r="L97">
        <f t="shared" si="9"/>
        <v>-12.457617328467405</v>
      </c>
    </row>
    <row r="98" spans="8:17">
      <c r="H98">
        <f t="shared" si="6"/>
        <v>140.07433367939666</v>
      </c>
      <c r="I98">
        <f t="shared" si="7"/>
        <v>-315.52636315324344</v>
      </c>
      <c r="K98">
        <f t="shared" si="8"/>
        <v>5.51473754643294</v>
      </c>
      <c r="L98">
        <f t="shared" si="9"/>
        <v>-12.422297761938719</v>
      </c>
      <c r="P98" t="s">
        <v>43</v>
      </c>
    </row>
    <row r="99" spans="8:17">
      <c r="H99">
        <f t="shared" si="6"/>
        <v>140.88896294427104</v>
      </c>
      <c r="I99">
        <f t="shared" si="7"/>
        <v>-313.69890261883847</v>
      </c>
      <c r="K99">
        <f t="shared" si="8"/>
        <v>5.5468095647350806</v>
      </c>
      <c r="L99">
        <f t="shared" si="9"/>
        <v>-12.350350496804666</v>
      </c>
      <c r="P99" t="s">
        <v>76</v>
      </c>
    </row>
    <row r="100" spans="8:17">
      <c r="H100">
        <f t="shared" si="6"/>
        <v>140.99839075584896</v>
      </c>
      <c r="I100">
        <f t="shared" si="7"/>
        <v>-310.94386741914786</v>
      </c>
      <c r="K100">
        <f t="shared" si="8"/>
        <v>5.5511177462932668</v>
      </c>
      <c r="L100">
        <f t="shared" si="9"/>
        <v>-12.241884544060941</v>
      </c>
      <c r="P100">
        <f>P92*25.4</f>
        <v>108.96599999999999</v>
      </c>
      <c r="Q100">
        <f>Q92*25.4</f>
        <v>-199.00899999999999</v>
      </c>
    </row>
    <row r="101" spans="8:17">
      <c r="H101">
        <f t="shared" si="6"/>
        <v>141.75830611493438</v>
      </c>
      <c r="I101">
        <f t="shared" si="7"/>
        <v>-309.67848944291472</v>
      </c>
      <c r="K101">
        <f t="shared" si="8"/>
        <v>5.5810356738163147</v>
      </c>
      <c r="L101">
        <f t="shared" si="9"/>
        <v>-12.192066513500581</v>
      </c>
      <c r="P101">
        <f>P93*25.4</f>
        <v>156.59099999999998</v>
      </c>
      <c r="Q101">
        <f>Q93*25.4</f>
        <v>-304.8381</v>
      </c>
    </row>
    <row r="102" spans="8:17">
      <c r="H102">
        <f t="shared" si="6"/>
        <v>143.0633340915665</v>
      </c>
      <c r="I102">
        <f t="shared" si="7"/>
        <v>-307.74027372477576</v>
      </c>
      <c r="K102">
        <f t="shared" si="8"/>
        <v>5.6324147280144299</v>
      </c>
      <c r="L102">
        <f t="shared" si="9"/>
        <v>-12.115758808062038</v>
      </c>
      <c r="P102" t="s">
        <v>77</v>
      </c>
    </row>
    <row r="103" spans="8:17">
      <c r="H103">
        <f t="shared" si="6"/>
        <v>143.25381954154</v>
      </c>
      <c r="I103">
        <f t="shared" si="7"/>
        <v>-305.77160033071414</v>
      </c>
      <c r="K103">
        <f t="shared" si="8"/>
        <v>5.6399141551787402</v>
      </c>
      <c r="L103">
        <f t="shared" si="9"/>
        <v>-12.03825198152418</v>
      </c>
      <c r="P103">
        <f>P95*25.4</f>
        <v>42.392600000000002</v>
      </c>
      <c r="Q103">
        <f>Q95*25.4</f>
        <v>11.861800000000001</v>
      </c>
    </row>
    <row r="104" spans="8:17">
      <c r="H104">
        <f t="shared" si="6"/>
        <v>142.55064452928491</v>
      </c>
      <c r="I104">
        <f t="shared" si="7"/>
        <v>-303.43743482977152</v>
      </c>
      <c r="K104">
        <f t="shared" si="8"/>
        <v>5.612230099578146</v>
      </c>
      <c r="L104">
        <f t="shared" si="9"/>
        <v>-11.94635570195951</v>
      </c>
      <c r="P104">
        <f>P96*25.4</f>
        <v>90.017600000000002</v>
      </c>
      <c r="Q104">
        <f>Q96*25.4</f>
        <v>-93.967300000000009</v>
      </c>
    </row>
    <row r="105" spans="8:17">
      <c r="H105">
        <f t="shared" si="6"/>
        <v>141.38138809683733</v>
      </c>
      <c r="I105">
        <f t="shared" si="7"/>
        <v>-302.17205685353838</v>
      </c>
      <c r="K105">
        <f t="shared" si="8"/>
        <v>5.5661963817652493</v>
      </c>
      <c r="L105">
        <f t="shared" si="9"/>
        <v>-11.89653767139915</v>
      </c>
    </row>
    <row r="106" spans="8:17">
      <c r="H106">
        <f t="shared" si="6"/>
        <v>140.34992964961566</v>
      </c>
      <c r="I106">
        <f t="shared" si="7"/>
        <v>-301.38569504790939</v>
      </c>
      <c r="K106">
        <f t="shared" si="8"/>
        <v>5.5255877814809322</v>
      </c>
      <c r="L106">
        <f t="shared" si="9"/>
        <v>-11.865578545193284</v>
      </c>
    </row>
    <row r="107" spans="8:17">
      <c r="H107">
        <f t="shared" si="6"/>
        <v>139.18067321716808</v>
      </c>
      <c r="I107">
        <f t="shared" si="7"/>
        <v>-299.19274240639061</v>
      </c>
      <c r="K107">
        <f t="shared" si="8"/>
        <v>5.4795540636680347</v>
      </c>
      <c r="L107">
        <f t="shared" si="9"/>
        <v>-11.779241827023252</v>
      </c>
    </row>
    <row r="108" spans="8:17">
      <c r="H108">
        <f t="shared" si="6"/>
        <v>139.0996155787725</v>
      </c>
      <c r="I108">
        <f t="shared" si="7"/>
        <v>-297.9301333099138</v>
      </c>
      <c r="K108">
        <f t="shared" si="8"/>
        <v>5.4763628180619097</v>
      </c>
      <c r="L108">
        <f t="shared" si="9"/>
        <v>-11.729532807476922</v>
      </c>
    </row>
    <row r="109" spans="8:17">
      <c r="H109">
        <f t="shared" si="6"/>
        <v>139.98111739521846</v>
      </c>
      <c r="I109">
        <f t="shared" si="7"/>
        <v>-295.33015536773019</v>
      </c>
      <c r="K109">
        <f t="shared" si="8"/>
        <v>5.511067613984979</v>
      </c>
      <c r="L109">
        <f t="shared" si="9"/>
        <v>-11.627171471170481</v>
      </c>
    </row>
    <row r="110" spans="8:17">
      <c r="H110">
        <f t="shared" si="6"/>
        <v>140.37627338198945</v>
      </c>
      <c r="I110">
        <f t="shared" si="7"/>
        <v>-292.95445667300373</v>
      </c>
      <c r="K110">
        <f t="shared" si="8"/>
        <v>5.5266249362987976</v>
      </c>
      <c r="L110">
        <f t="shared" si="9"/>
        <v>-11.53364002649621</v>
      </c>
    </row>
    <row r="111" spans="8:17">
      <c r="H111">
        <f t="shared" si="6"/>
        <v>140.8646456527058</v>
      </c>
      <c r="I111">
        <f t="shared" si="7"/>
        <v>-291.71953637246042</v>
      </c>
      <c r="K111">
        <f t="shared" si="8"/>
        <v>5.5458521910514103</v>
      </c>
      <c r="L111">
        <f t="shared" si="9"/>
        <v>-11.485021117026001</v>
      </c>
    </row>
    <row r="112" spans="8:17">
      <c r="H112">
        <f t="shared" si="6"/>
        <v>141.24561655265279</v>
      </c>
      <c r="I112">
        <f t="shared" si="7"/>
        <v>-290.36832312867045</v>
      </c>
      <c r="K112">
        <f t="shared" si="8"/>
        <v>5.5608510453800317</v>
      </c>
      <c r="L112">
        <f t="shared" si="9"/>
        <v>-11.431823745223246</v>
      </c>
    </row>
    <row r="113" spans="8:12">
      <c r="H113">
        <f t="shared" si="6"/>
        <v>141.97918817936443</v>
      </c>
      <c r="I113">
        <f t="shared" si="7"/>
        <v>-289.24415801209398</v>
      </c>
      <c r="K113">
        <f t="shared" si="8"/>
        <v>5.5897318180852142</v>
      </c>
      <c r="L113">
        <f t="shared" si="9"/>
        <v>-11.387565276066693</v>
      </c>
    </row>
    <row r="114" spans="8:12">
      <c r="H114">
        <f t="shared" si="6"/>
        <v>143.14844461181201</v>
      </c>
      <c r="I114">
        <f t="shared" si="7"/>
        <v>-288.85097710927948</v>
      </c>
      <c r="K114">
        <f t="shared" si="8"/>
        <v>5.6357655358981109</v>
      </c>
      <c r="L114">
        <f t="shared" si="9"/>
        <v>-11.372085712963759</v>
      </c>
    </row>
    <row r="115" spans="8:12">
      <c r="H115">
        <f t="shared" si="6"/>
        <v>144.77972958260216</v>
      </c>
      <c r="I115">
        <f t="shared" si="7"/>
        <v>-289.04756756057031</v>
      </c>
      <c r="K115">
        <f t="shared" si="8"/>
        <v>5.6999893536457549</v>
      </c>
      <c r="L115">
        <f t="shared" si="9"/>
        <v>-11.379825494510643</v>
      </c>
    </row>
    <row r="116" spans="8:12">
      <c r="H116">
        <f t="shared" si="6"/>
        <v>146.78995901229791</v>
      </c>
      <c r="I116">
        <f t="shared" si="7"/>
        <v>-289.58196132304147</v>
      </c>
      <c r="K116">
        <f t="shared" si="8"/>
        <v>5.7791322445786584</v>
      </c>
      <c r="L116">
        <f t="shared" si="9"/>
        <v>-11.400864619017382</v>
      </c>
    </row>
    <row r="117" spans="8:12">
      <c r="H117">
        <f t="shared" si="6"/>
        <v>148.17604462732561</v>
      </c>
      <c r="I117">
        <f t="shared" si="7"/>
        <v>-290.39601192483678</v>
      </c>
      <c r="K117">
        <f t="shared" si="8"/>
        <v>5.8337025443828985</v>
      </c>
      <c r="L117">
        <f t="shared" si="9"/>
        <v>-11.432913855308536</v>
      </c>
    </row>
    <row r="118" spans="8:12">
      <c r="H118">
        <f t="shared" si="6"/>
        <v>150.26935813645832</v>
      </c>
      <c r="I118">
        <f t="shared" si="7"/>
        <v>-290.81965050310828</v>
      </c>
      <c r="K118">
        <f t="shared" si="8"/>
        <v>5.9161164620652889</v>
      </c>
      <c r="L118">
        <f t="shared" si="9"/>
        <v>-11.449592539492453</v>
      </c>
    </row>
    <row r="119" spans="8:12">
      <c r="H119">
        <f t="shared" si="6"/>
        <v>152.00804447801784</v>
      </c>
      <c r="I119">
        <f t="shared" si="7"/>
        <v>-291.15468493453227</v>
      </c>
      <c r="K119">
        <f t="shared" si="8"/>
        <v>5.9845686802369231</v>
      </c>
      <c r="L119">
        <f t="shared" si="9"/>
        <v>-11.462782871438279</v>
      </c>
    </row>
    <row r="120" spans="8:12">
      <c r="H120">
        <f t="shared" si="6"/>
        <v>153.5846155427862</v>
      </c>
      <c r="I120">
        <f t="shared" si="7"/>
        <v>-291.2405202020891</v>
      </c>
      <c r="K120">
        <f t="shared" si="8"/>
        <v>6.0466384071963075</v>
      </c>
      <c r="L120">
        <f t="shared" si="9"/>
        <v>-11.466162212680674</v>
      </c>
    </row>
    <row r="121" spans="8:12">
      <c r="H121">
        <f t="shared" si="6"/>
        <v>154.60391534445807</v>
      </c>
      <c r="I121">
        <f t="shared" si="7"/>
        <v>-291.36788866342977</v>
      </c>
      <c r="K121">
        <f t="shared" si="8"/>
        <v>6.0867683206479564</v>
      </c>
      <c r="L121">
        <f t="shared" si="9"/>
        <v>-11.471176719032668</v>
      </c>
    </row>
  </sheetData>
  <hyperlinks>
    <hyperlink ref="A7" r:id="rId1" display="https://github.com/Frederic-jyrg/ouitoo/blob/main/info/union-plaza-ocad-4000-04-09-2021.png"/>
    <hyperlink ref="B15" r:id="rId2"/>
    <hyperlink ref="B4" r:id="rId3" location=":~:text=9%2D20%2D2019-,UNION%20PLAZA%3A,-name%20of%20the"/>
    <hyperlink ref="B13" r:id="rId4"/>
    <hyperlink ref="C69" r:id="rId5"/>
  </hyperlinks>
  <pageMargins left="0.7" right="0.7" top="0.75" bottom="0.75" header="0.3" footer="0.3"/>
  <pageSetup orientation="portrait" horizontalDpi="300" verticalDpi="300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Welcome to MLK Library</dc:creator>
  <cp:lastModifiedBy>Welcome to MLK Library</cp:lastModifiedBy>
  <dcterms:created xsi:type="dcterms:W3CDTF">2024-12-19T17:34:37Z</dcterms:created>
  <dcterms:modified xsi:type="dcterms:W3CDTF">2024-12-21T16:10:57Z</dcterms:modified>
</cp:coreProperties>
</file>