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dcpl\Documents\"/>
    </mc:Choice>
  </mc:AlternateContent>
  <xr:revisionPtr revIDLastSave="0" documentId="13_ncr:1_{0C04B993-3E97-4EEF-B203-213DF54735A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5" i="1" l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34" i="1"/>
  <c r="U131" i="1"/>
  <c r="U130" i="1"/>
  <c r="U127" i="1"/>
  <c r="U128" i="1"/>
  <c r="U125" i="1"/>
  <c r="U124" i="1"/>
  <c r="U120" i="1"/>
  <c r="U119" i="1"/>
  <c r="J63" i="1" l="1"/>
  <c r="J62" i="1"/>
  <c r="H68" i="1" l="1"/>
  <c r="Y112" i="1"/>
  <c r="Y111" i="1"/>
  <c r="X111" i="1"/>
  <c r="V112" i="1"/>
  <c r="V109" i="1"/>
  <c r="X112" i="1"/>
  <c r="V111" i="1"/>
  <c r="W111" i="1"/>
  <c r="V108" i="1"/>
  <c r="W108" i="1"/>
  <c r="H60" i="1"/>
  <c r="J59" i="1"/>
  <c r="J60" i="1"/>
  <c r="H27" i="1"/>
  <c r="P112" i="1"/>
  <c r="Q112" i="1"/>
  <c r="Q111" i="1"/>
  <c r="P111" i="1"/>
  <c r="P109" i="1"/>
  <c r="Q109" i="1"/>
  <c r="Q108" i="1"/>
  <c r="P108" i="1"/>
  <c r="N62" i="1"/>
  <c r="N61" i="1"/>
  <c r="N58" i="1"/>
  <c r="N57" i="1"/>
  <c r="P53" i="1"/>
  <c r="P52" i="1"/>
  <c r="W112" i="1" l="1"/>
  <c r="X114" i="1"/>
  <c r="W109" i="1"/>
  <c r="J44" i="1"/>
  <c r="G66" i="1" l="1"/>
  <c r="G65" i="1"/>
  <c r="H61" i="1"/>
  <c r="G61" i="1"/>
  <c r="G60" i="1"/>
  <c r="Q104" i="1"/>
  <c r="H65" i="1" s="1"/>
  <c r="P104" i="1"/>
  <c r="H66" i="1" s="1"/>
  <c r="Q103" i="1"/>
  <c r="P103" i="1"/>
  <c r="P101" i="1"/>
  <c r="Q101" i="1"/>
  <c r="Q100" i="1"/>
  <c r="P100" i="1"/>
  <c r="R71" i="1"/>
  <c r="R70" i="1"/>
  <c r="H81" i="1" l="1"/>
  <c r="H76" i="1"/>
  <c r="H77" i="1"/>
  <c r="R79" i="1"/>
  <c r="R85" i="1" s="1"/>
  <c r="Q78" i="1"/>
  <c r="Q88" i="1" s="1"/>
  <c r="R77" i="1"/>
  <c r="Q77" i="1"/>
  <c r="R78" i="1"/>
  <c r="Q79" i="1"/>
  <c r="Q80" i="1"/>
  <c r="R80" i="1"/>
  <c r="R76" i="1"/>
  <c r="Q76" i="1"/>
  <c r="O11" i="1"/>
  <c r="O12" i="1"/>
  <c r="O13" i="1"/>
  <c r="O14" i="1"/>
  <c r="O10" i="1"/>
  <c r="N11" i="1"/>
  <c r="Q11" i="1" s="1"/>
  <c r="N12" i="1"/>
  <c r="N13" i="1"/>
  <c r="Q13" i="1" s="1"/>
  <c r="N14" i="1"/>
  <c r="N10" i="1"/>
  <c r="R10" i="1" l="1"/>
  <c r="H94" i="1"/>
  <c r="K94" i="1" s="1"/>
  <c r="H105" i="1"/>
  <c r="K105" i="1" s="1"/>
  <c r="H116" i="1"/>
  <c r="K116" i="1" s="1"/>
  <c r="H86" i="1"/>
  <c r="K86" i="1" s="1"/>
  <c r="H92" i="1"/>
  <c r="K92" i="1" s="1"/>
  <c r="H104" i="1"/>
  <c r="K104" i="1" s="1"/>
  <c r="H95" i="1"/>
  <c r="K95" i="1" s="1"/>
  <c r="H106" i="1"/>
  <c r="K106" i="1" s="1"/>
  <c r="H117" i="1"/>
  <c r="K117" i="1" s="1"/>
  <c r="H87" i="1"/>
  <c r="K87" i="1" s="1"/>
  <c r="H109" i="1"/>
  <c r="K109" i="1" s="1"/>
  <c r="H111" i="1"/>
  <c r="K111" i="1" s="1"/>
  <c r="H103" i="1"/>
  <c r="K103" i="1" s="1"/>
  <c r="H96" i="1"/>
  <c r="K96" i="1" s="1"/>
  <c r="H107" i="1"/>
  <c r="K107" i="1" s="1"/>
  <c r="H118" i="1"/>
  <c r="K118" i="1" s="1"/>
  <c r="H97" i="1"/>
  <c r="K97" i="1" s="1"/>
  <c r="H108" i="1"/>
  <c r="K108" i="1" s="1"/>
  <c r="H119" i="1"/>
  <c r="K119" i="1" s="1"/>
  <c r="H98" i="1"/>
  <c r="K98" i="1" s="1"/>
  <c r="H88" i="1"/>
  <c r="K88" i="1" s="1"/>
  <c r="H99" i="1"/>
  <c r="K99" i="1" s="1"/>
  <c r="H120" i="1"/>
  <c r="K120" i="1" s="1"/>
  <c r="H121" i="1"/>
  <c r="K121" i="1" s="1"/>
  <c r="H114" i="1"/>
  <c r="K114" i="1" s="1"/>
  <c r="H89" i="1"/>
  <c r="K89" i="1" s="1"/>
  <c r="H110" i="1"/>
  <c r="K110" i="1" s="1"/>
  <c r="H100" i="1"/>
  <c r="K100" i="1" s="1"/>
  <c r="H93" i="1"/>
  <c r="K93" i="1" s="1"/>
  <c r="H90" i="1"/>
  <c r="K90" i="1" s="1"/>
  <c r="H101" i="1"/>
  <c r="K101" i="1" s="1"/>
  <c r="H112" i="1"/>
  <c r="K112" i="1" s="1"/>
  <c r="H115" i="1"/>
  <c r="K115" i="1" s="1"/>
  <c r="H91" i="1"/>
  <c r="K91" i="1" s="1"/>
  <c r="H102" i="1"/>
  <c r="K102" i="1" s="1"/>
  <c r="H113" i="1"/>
  <c r="K113" i="1" s="1"/>
  <c r="R12" i="1"/>
  <c r="H82" i="1"/>
  <c r="I89" i="1" s="1"/>
  <c r="L89" i="1" s="1"/>
  <c r="R14" i="1"/>
  <c r="I112" i="1"/>
  <c r="L112" i="1" s="1"/>
  <c r="Q12" i="1"/>
  <c r="R13" i="1"/>
  <c r="R11" i="1"/>
  <c r="R16" i="1" s="1"/>
  <c r="Q10" i="1"/>
  <c r="Q14" i="1"/>
  <c r="R82" i="1"/>
  <c r="R84" i="1"/>
  <c r="Q87" i="1"/>
  <c r="Q82" i="1"/>
  <c r="I120" i="1" l="1"/>
  <c r="L120" i="1" s="1"/>
  <c r="I97" i="1"/>
  <c r="L97" i="1" s="1"/>
  <c r="I114" i="1"/>
  <c r="L114" i="1" s="1"/>
  <c r="I90" i="1"/>
  <c r="L90" i="1" s="1"/>
  <c r="I93" i="1"/>
  <c r="L93" i="1" s="1"/>
  <c r="I96" i="1"/>
  <c r="L96" i="1" s="1"/>
  <c r="I115" i="1"/>
  <c r="L115" i="1" s="1"/>
  <c r="I103" i="1"/>
  <c r="L103" i="1" s="1"/>
  <c r="I117" i="1"/>
  <c r="L117" i="1" s="1"/>
  <c r="I86" i="1"/>
  <c r="L86" i="1" s="1"/>
  <c r="I92" i="1"/>
  <c r="L92" i="1" s="1"/>
  <c r="I108" i="1"/>
  <c r="L108" i="1" s="1"/>
  <c r="I102" i="1"/>
  <c r="L102" i="1" s="1"/>
  <c r="I105" i="1"/>
  <c r="L105" i="1" s="1"/>
  <c r="I106" i="1"/>
  <c r="L106" i="1" s="1"/>
  <c r="I110" i="1"/>
  <c r="L110" i="1" s="1"/>
  <c r="I95" i="1"/>
  <c r="L95" i="1" s="1"/>
  <c r="I100" i="1"/>
  <c r="L100" i="1" s="1"/>
  <c r="I91" i="1"/>
  <c r="L91" i="1" s="1"/>
  <c r="I104" i="1"/>
  <c r="L104" i="1" s="1"/>
  <c r="I113" i="1"/>
  <c r="L113" i="1" s="1"/>
  <c r="I94" i="1"/>
  <c r="L94" i="1" s="1"/>
  <c r="I88" i="1"/>
  <c r="L88" i="1" s="1"/>
  <c r="I101" i="1"/>
  <c r="L101" i="1" s="1"/>
  <c r="I116" i="1"/>
  <c r="L116" i="1" s="1"/>
  <c r="I118" i="1"/>
  <c r="L118" i="1" s="1"/>
  <c r="I111" i="1"/>
  <c r="L111" i="1" s="1"/>
  <c r="I98" i="1"/>
  <c r="L98" i="1" s="1"/>
  <c r="I99" i="1"/>
  <c r="L99" i="1" s="1"/>
  <c r="I107" i="1"/>
  <c r="L107" i="1" s="1"/>
  <c r="I109" i="1"/>
  <c r="L109" i="1" s="1"/>
  <c r="I121" i="1"/>
  <c r="L121" i="1" s="1"/>
  <c r="I119" i="1"/>
  <c r="L119" i="1" s="1"/>
  <c r="I87" i="1"/>
  <c r="L87" i="1" s="1"/>
  <c r="Q16" i="1"/>
  <c r="R87" i="1"/>
  <c r="R88" i="1"/>
  <c r="Q85" i="1"/>
  <c r="Q84" i="1"/>
  <c r="H36" i="1"/>
  <c r="H35" i="1"/>
  <c r="H38" i="1" s="1"/>
  <c r="H69" i="1" s="1"/>
  <c r="H34" i="1"/>
  <c r="H33" i="1"/>
  <c r="H39" i="1" s="1"/>
  <c r="H28" i="1"/>
  <c r="B81" i="1"/>
  <c r="B80" i="1"/>
  <c r="B77" i="1"/>
  <c r="B76" i="1"/>
  <c r="H46" i="1" l="1"/>
  <c r="H71" i="1"/>
  <c r="H72" i="1" s="1"/>
  <c r="H47" i="1" l="1"/>
  <c r="H49" i="1" s="1"/>
</calcChain>
</file>

<file path=xl/sharedStrings.xml><?xml version="1.0" encoding="utf-8"?>
<sst xmlns="http://schemas.openxmlformats.org/spreadsheetml/2006/main" count="150" uniqueCount="108">
  <si>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</si>
  <si>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</si>
  <si>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</si>
  <si>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</si>
  <si>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</si>
  <si>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</si>
  <si>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</si>
  <si>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</si>
  <si>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</si>
  <si>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</si>
  <si>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</si>
  <si>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</si>
  <si>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</si>
  <si>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</si>
  <si>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</si>
  <si>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</si>
  <si>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</si>
  <si>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</si>
  <si>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</si>
  <si>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</si>
  <si>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</si>
  <si>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</si>
  <si>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</si>
  <si>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</si>
  <si>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</si>
  <si>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</si>
  <si>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</si>
  <si>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</si>
  <si>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</si>
  <si>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</si>
  <si>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</si>
  <si>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</si>
  <si>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</si>
  <si>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</si>
  <si>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</si>
  <si>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</si>
  <si>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</si>
  <si>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</si>
  <si>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</si>
  <si>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</si>
  <si>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</si>
  <si>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</si>
  <si>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</si>
  <si>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</si>
  <si>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</si>
  <si>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</si>
  <si>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</si>
  <si>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</si>
  <si>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</si>
  <si>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</si>
  <si>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</si>
  <si>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</si>
  <si>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</si>
  <si>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</si>
  <si>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</si>
  <si>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</si>
  <si>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</si>
  <si>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</si>
  <si>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</si>
  <si>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</si>
  <si>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</si>
  <si>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</si>
  <si>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</si>
  <si>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</si>
  <si>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</si>
  <si>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</si>
  <si>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</si>
  <si>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</si>
  <si>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</si>
  <si>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</si>
  <si>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</si>
  <si>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</si>
  <si>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</si>
  <si>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</si>
  <si>
    <t>pt1</t>
  </si>
  <si>
    <t>pt2</t>
  </si>
  <si>
    <t>==============================OR ============================</t>
  </si>
  <si>
    <t>variables needed to map the track</t>
  </si>
  <si>
    <t>point1</t>
  </si>
  <si>
    <t>GPS [DEC]</t>
  </si>
  <si>
    <t>X [mm]</t>
  </si>
  <si>
    <t>point2</t>
  </si>
  <si>
    <t>Y,X [mm]</t>
  </si>
  <si>
    <t>1/COEF</t>
  </si>
  <si>
    <t>Latitudes</t>
  </si>
  <si>
    <t>a=</t>
  </si>
  <si>
    <t>b=</t>
  </si>
  <si>
    <t>Longitudes</t>
  </si>
  <si>
    <t>Y [mm]</t>
  </si>
  <si>
    <t>DELTA_Y/DELTA_X</t>
  </si>
  <si>
    <t>Device size (px)</t>
  </si>
  <si>
    <t>Screen Width</t>
  </si>
  <si>
    <t>Screen Height</t>
  </si>
  <si>
    <t>px</t>
  </si>
  <si>
    <t>size</t>
  </si>
  <si>
    <t>from center</t>
  </si>
  <si>
    <t>moves from center</t>
  </si>
  <si>
    <t>moves from pt1 (REF)</t>
  </si>
  <si>
    <t>RES_LAT [mm/deg]</t>
  </si>
  <si>
    <t>RES_LONG [mm/deg]</t>
  </si>
  <si>
    <t>ACTUAL SCALE</t>
  </si>
  <si>
    <t>deviation</t>
  </si>
  <si>
    <t>a</t>
  </si>
  <si>
    <t>b</t>
  </si>
  <si>
    <t>latitudes</t>
  </si>
  <si>
    <t>longitudes</t>
  </si>
  <si>
    <t>Y [px]</t>
  </si>
  <si>
    <t>X [px]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</si>
</sst>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3.3</c:v>
                </c:pt>
                <c:pt idx="1">
                  <c:v>7.05</c:v>
                </c:pt>
                <c:pt idx="2">
                  <c:v>7.05</c:v>
                </c:pt>
                <c:pt idx="3">
                  <c:v>3.3</c:v>
                </c:pt>
                <c:pt idx="4">
                  <c:v>3.3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-9</c:v>
                </c:pt>
                <c:pt idx="1">
                  <c:v>-9</c:v>
                </c:pt>
                <c:pt idx="2">
                  <c:v>-17.332999999999998</c:v>
                </c:pt>
                <c:pt idx="3">
                  <c:v>-17.332999999999998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5.1749999999999998</c:v>
                </c:pt>
                <c:pt idx="1">
                  <c:v>5.1749999999999998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-9</c:v>
                </c:pt>
                <c:pt idx="1">
                  <c:v>-17.332999999999998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3.3</c:v>
                </c:pt>
                <c:pt idx="1">
                  <c:v>7.05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-13.166499999999999</c:v>
                </c:pt>
                <c:pt idx="1">
                  <c:v>-13.166499999999999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>
                  <a:alpha val="25000"/>
                </a:srgb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Sheet1!$K$86:$K$121</c:f>
              <c:numCache>
                <c:formatCode>General</c:formatCode>
                <c:ptCount val="36"/>
                <c:pt idx="0">
                  <c:v>5.1958523296080097</c:v>
                </c:pt>
                <c:pt idx="1">
                  <c:v>5.1905069932319581</c:v>
                </c:pt>
                <c:pt idx="2">
                  <c:v>5.1755081389033366</c:v>
                </c:pt>
                <c:pt idx="3">
                  <c:v>5.1691256476910858</c:v>
                </c:pt>
                <c:pt idx="4">
                  <c:v>5.1755081389033366</c:v>
                </c:pt>
                <c:pt idx="5">
                  <c:v>5.1968894844258751</c:v>
                </c:pt>
                <c:pt idx="6">
                  <c:v>5.2108511839457972</c:v>
                </c:pt>
                <c:pt idx="7">
                  <c:v>5.2482685386331562</c:v>
                </c:pt>
                <c:pt idx="8">
                  <c:v>5.3033973064134265</c:v>
                </c:pt>
                <c:pt idx="9">
                  <c:v>5.3467184654620343</c:v>
                </c:pt>
                <c:pt idx="10">
                  <c:v>5.3862899109284861</c:v>
                </c:pt>
                <c:pt idx="11">
                  <c:v>5.4601672466286999</c:v>
                </c:pt>
                <c:pt idx="12">
                  <c:v>5.51473754643294</c:v>
                </c:pt>
                <c:pt idx="13">
                  <c:v>5.5468095647350806</c:v>
                </c:pt>
                <c:pt idx="14">
                  <c:v>5.5511177462932668</c:v>
                </c:pt>
                <c:pt idx="15">
                  <c:v>5.5810356738163147</c:v>
                </c:pt>
                <c:pt idx="16">
                  <c:v>5.6324147280144299</c:v>
                </c:pt>
                <c:pt idx="17">
                  <c:v>5.6399141551787402</c:v>
                </c:pt>
                <c:pt idx="18">
                  <c:v>5.612230099578146</c:v>
                </c:pt>
                <c:pt idx="19">
                  <c:v>5.5661963817652493</c:v>
                </c:pt>
                <c:pt idx="20">
                  <c:v>5.5255877814809322</c:v>
                </c:pt>
                <c:pt idx="21">
                  <c:v>5.4795540636680347</c:v>
                </c:pt>
                <c:pt idx="22">
                  <c:v>5.4763628180619097</c:v>
                </c:pt>
                <c:pt idx="23">
                  <c:v>5.511067613984979</c:v>
                </c:pt>
                <c:pt idx="24">
                  <c:v>5.5266249362987976</c:v>
                </c:pt>
                <c:pt idx="25">
                  <c:v>5.5458521910514103</c:v>
                </c:pt>
                <c:pt idx="26">
                  <c:v>5.5608510453800317</c:v>
                </c:pt>
                <c:pt idx="27">
                  <c:v>5.5897318180852142</c:v>
                </c:pt>
                <c:pt idx="28">
                  <c:v>5.6357655358981109</c:v>
                </c:pt>
                <c:pt idx="29">
                  <c:v>5.6999893536457549</c:v>
                </c:pt>
                <c:pt idx="30">
                  <c:v>5.7791322445786584</c:v>
                </c:pt>
                <c:pt idx="31">
                  <c:v>5.8337025443828985</c:v>
                </c:pt>
                <c:pt idx="32">
                  <c:v>5.9161164620652889</c:v>
                </c:pt>
                <c:pt idx="33">
                  <c:v>5.9845686802369231</c:v>
                </c:pt>
                <c:pt idx="34">
                  <c:v>6.0466384071963075</c:v>
                </c:pt>
                <c:pt idx="35">
                  <c:v>6.0867683206479564</c:v>
                </c:pt>
              </c:numCache>
            </c:numRef>
          </c:xVal>
          <c:yVal>
            <c:numRef>
              <c:f>Sheet1!$L$86:$L$121</c:f>
              <c:numCache>
                <c:formatCode>General</c:formatCode>
                <c:ptCount val="36"/>
                <c:pt idx="0">
                  <c:v>-13.065135674835293</c:v>
                </c:pt>
                <c:pt idx="1">
                  <c:v>-13.00757786272805</c:v>
                </c:pt>
                <c:pt idx="2">
                  <c:v>-12.911321142849726</c:v>
                </c:pt>
                <c:pt idx="3">
                  <c:v>-12.8305439860835</c:v>
                </c:pt>
                <c:pt idx="4">
                  <c:v>-12.708887701403116</c:v>
                </c:pt>
                <c:pt idx="5">
                  <c:v>-12.621460873166129</c:v>
                </c:pt>
                <c:pt idx="6">
                  <c:v>-12.584397130513814</c:v>
                </c:pt>
                <c:pt idx="7">
                  <c:v>-12.545044156704392</c:v>
                </c:pt>
                <c:pt idx="8">
                  <c:v>-12.51626525065077</c:v>
                </c:pt>
                <c:pt idx="9">
                  <c:v>-12.494136016067911</c:v>
                </c:pt>
                <c:pt idx="10">
                  <c:v>-12.475931177770089</c:v>
                </c:pt>
                <c:pt idx="11">
                  <c:v>-12.457617328467405</c:v>
                </c:pt>
                <c:pt idx="12">
                  <c:v>-12.422297761938719</c:v>
                </c:pt>
                <c:pt idx="13">
                  <c:v>-12.350350496804666</c:v>
                </c:pt>
                <c:pt idx="14">
                  <c:v>-12.241884544060941</c:v>
                </c:pt>
                <c:pt idx="15">
                  <c:v>-12.192066513500581</c:v>
                </c:pt>
                <c:pt idx="16">
                  <c:v>-12.115758808062038</c:v>
                </c:pt>
                <c:pt idx="17">
                  <c:v>-12.03825198152418</c:v>
                </c:pt>
                <c:pt idx="18">
                  <c:v>-11.94635570195951</c:v>
                </c:pt>
                <c:pt idx="19">
                  <c:v>-11.89653767139915</c:v>
                </c:pt>
                <c:pt idx="20">
                  <c:v>-11.865578545193284</c:v>
                </c:pt>
                <c:pt idx="21">
                  <c:v>-11.779241827023252</c:v>
                </c:pt>
                <c:pt idx="22">
                  <c:v>-11.729532807476922</c:v>
                </c:pt>
                <c:pt idx="23">
                  <c:v>-11.627171471170481</c:v>
                </c:pt>
                <c:pt idx="24">
                  <c:v>-11.53364002649621</c:v>
                </c:pt>
                <c:pt idx="25">
                  <c:v>-11.485021117026001</c:v>
                </c:pt>
                <c:pt idx="26">
                  <c:v>-11.431823745223246</c:v>
                </c:pt>
                <c:pt idx="27">
                  <c:v>-11.387565276066693</c:v>
                </c:pt>
                <c:pt idx="28">
                  <c:v>-11.372085712963759</c:v>
                </c:pt>
                <c:pt idx="29">
                  <c:v>-11.379825494510643</c:v>
                </c:pt>
                <c:pt idx="30">
                  <c:v>-11.400864619017382</c:v>
                </c:pt>
                <c:pt idx="31">
                  <c:v>-11.432913855308536</c:v>
                </c:pt>
                <c:pt idx="32">
                  <c:v>-11.449592539492453</c:v>
                </c:pt>
                <c:pt idx="33">
                  <c:v>-11.462782871438279</c:v>
                </c:pt>
                <c:pt idx="34">
                  <c:v>-11.466162212680674</c:v>
                </c:pt>
                <c:pt idx="35">
                  <c:v>-11.471176719032668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Sheet1!$U$134:$U$169</c:f>
              <c:numCache>
                <c:formatCode>General</c:formatCode>
                <c:ptCount val="36"/>
                <c:pt idx="0">
                  <c:v>-29.198176356963813</c:v>
                </c:pt>
                <c:pt idx="1">
                  <c:v>-29.711328649893403</c:v>
                </c:pt>
                <c:pt idx="2">
                  <c:v>-31.151218664832413</c:v>
                </c:pt>
                <c:pt idx="3">
                  <c:v>-31.763937820680439</c:v>
                </c:pt>
                <c:pt idx="4">
                  <c:v>-31.151218664832413</c:v>
                </c:pt>
                <c:pt idx="5">
                  <c:v>-29.098609494045377</c:v>
                </c:pt>
                <c:pt idx="6">
                  <c:v>-27.758286340162158</c:v>
                </c:pt>
                <c:pt idx="7">
                  <c:v>-24.166220290586352</c:v>
                </c:pt>
                <c:pt idx="8">
                  <c:v>-18.873858584091067</c:v>
                </c:pt>
                <c:pt idx="9">
                  <c:v>-14.715027314610779</c:v>
                </c:pt>
                <c:pt idx="10">
                  <c:v>-10.916168550029397</c:v>
                </c:pt>
                <c:pt idx="11">
                  <c:v>-3.8239443236961961</c:v>
                </c:pt>
                <c:pt idx="12">
                  <c:v>1.4148044576868415</c:v>
                </c:pt>
                <c:pt idx="13">
                  <c:v>4.49371821526438</c:v>
                </c:pt>
                <c:pt idx="14">
                  <c:v>4.9073036443442106</c:v>
                </c:pt>
                <c:pt idx="15">
                  <c:v>7.7794246869161725</c:v>
                </c:pt>
                <c:pt idx="16">
                  <c:v>12.711813889443874</c:v>
                </c:pt>
                <c:pt idx="17">
                  <c:v>13.431758897379041</c:v>
                </c:pt>
                <c:pt idx="18">
                  <c:v>10.774089559912682</c:v>
                </c:pt>
                <c:pt idx="19">
                  <c:v>6.3548526493832469</c:v>
                </c:pt>
                <c:pt idx="20">
                  <c:v>2.4564270228147507</c:v>
                </c:pt>
                <c:pt idx="21">
                  <c:v>-1.962809887714684</c:v>
                </c:pt>
                <c:pt idx="22">
                  <c:v>-2.2691694656386971</c:v>
                </c:pt>
                <c:pt idx="23">
                  <c:v>1.0624909438192844</c:v>
                </c:pt>
                <c:pt idx="24">
                  <c:v>2.5559938848018646</c:v>
                </c:pt>
                <c:pt idx="25">
                  <c:v>4.401810341514647</c:v>
                </c:pt>
                <c:pt idx="26">
                  <c:v>5.8417003564536572</c:v>
                </c:pt>
                <c:pt idx="27">
                  <c:v>8.6142545370385051</c:v>
                </c:pt>
                <c:pt idx="28">
                  <c:v>13.033491446636617</c:v>
                </c:pt>
                <c:pt idx="29">
                  <c:v>19.198977950029075</c:v>
                </c:pt>
                <c:pt idx="30">
                  <c:v>26.796695480123162</c:v>
                </c:pt>
                <c:pt idx="31">
                  <c:v>32.0354442615062</c:v>
                </c:pt>
                <c:pt idx="32">
                  <c:v>39.947180358693004</c:v>
                </c:pt>
                <c:pt idx="33">
                  <c:v>46.518593302927911</c:v>
                </c:pt>
                <c:pt idx="34">
                  <c:v>52.477287091314793</c:v>
                </c:pt>
                <c:pt idx="35">
                  <c:v>56.329758782871068</c:v>
                </c:pt>
              </c:numCache>
            </c:numRef>
          </c:xVal>
          <c:yVal>
            <c:numRef>
              <c:f>Sheet1!$V$134:$V$169</c:f>
              <c:numCache>
                <c:formatCode>General</c:formatCode>
                <c:ptCount val="36"/>
                <c:pt idx="0">
                  <c:v>-438.25302478484809</c:v>
                </c:pt>
                <c:pt idx="1">
                  <c:v>-432.72747482173145</c:v>
                </c:pt>
                <c:pt idx="2">
                  <c:v>-423.48682971391827</c:v>
                </c:pt>
                <c:pt idx="3">
                  <c:v>-415.73222266510129</c:v>
                </c:pt>
                <c:pt idx="4">
                  <c:v>-404.0532193351537</c:v>
                </c:pt>
                <c:pt idx="5">
                  <c:v>-395.66024382412434</c:v>
                </c:pt>
                <c:pt idx="6">
                  <c:v>-392.10212452989072</c:v>
                </c:pt>
                <c:pt idx="7">
                  <c:v>-388.32423904445022</c:v>
                </c:pt>
                <c:pt idx="8">
                  <c:v>-385.5614640628919</c:v>
                </c:pt>
                <c:pt idx="9">
                  <c:v>-383.43705754354596</c:v>
                </c:pt>
                <c:pt idx="10">
                  <c:v>-381.68939306586981</c:v>
                </c:pt>
                <c:pt idx="11">
                  <c:v>-379.93126353342086</c:v>
                </c:pt>
                <c:pt idx="12">
                  <c:v>-376.54058514628559</c:v>
                </c:pt>
                <c:pt idx="13">
                  <c:v>-369.63364769425243</c:v>
                </c:pt>
                <c:pt idx="14">
                  <c:v>-359.22091623023152</c:v>
                </c:pt>
                <c:pt idx="15">
                  <c:v>-354.43838529661298</c:v>
                </c:pt>
                <c:pt idx="16">
                  <c:v>-347.11284557450563</c:v>
                </c:pt>
                <c:pt idx="17">
                  <c:v>-339.67219022661448</c:v>
                </c:pt>
                <c:pt idx="18">
                  <c:v>-330.85014738887548</c:v>
                </c:pt>
                <c:pt idx="19">
                  <c:v>-326.06761645525694</c:v>
                </c:pt>
                <c:pt idx="20">
                  <c:v>-323.09554033912718</c:v>
                </c:pt>
                <c:pt idx="21">
                  <c:v>-314.80721539538354</c:v>
                </c:pt>
                <c:pt idx="22">
                  <c:v>-310.03514951840043</c:v>
                </c:pt>
                <c:pt idx="23">
                  <c:v>-300.20846123341471</c:v>
                </c:pt>
                <c:pt idx="24">
                  <c:v>-291.22944254428148</c:v>
                </c:pt>
                <c:pt idx="25">
                  <c:v>-286.56202723458409</c:v>
                </c:pt>
                <c:pt idx="26">
                  <c:v>-281.45507954154164</c:v>
                </c:pt>
                <c:pt idx="27">
                  <c:v>-277.20626650284976</c:v>
                </c:pt>
                <c:pt idx="28">
                  <c:v>-275.72022844478488</c:v>
                </c:pt>
                <c:pt idx="29">
                  <c:v>-276.46324747335166</c:v>
                </c:pt>
                <c:pt idx="30">
                  <c:v>-278.48300342541188</c:v>
                </c:pt>
                <c:pt idx="31">
                  <c:v>-281.55973010975868</c:v>
                </c:pt>
                <c:pt idx="32">
                  <c:v>-283.16088379174471</c:v>
                </c:pt>
                <c:pt idx="33">
                  <c:v>-284.42715565860271</c:v>
                </c:pt>
                <c:pt idx="34">
                  <c:v>-284.75157241802663</c:v>
                </c:pt>
                <c:pt idx="35">
                  <c:v>-285.23296502791345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A-4174-8515-66B74554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74352"/>
        <c:axId val="1222293632"/>
      </c:scatterChart>
      <c:valAx>
        <c:axId val="18301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3632"/>
        <c:crosses val="autoZero"/>
        <c:crossBetween val="midCat"/>
      </c:valAx>
      <c:valAx>
        <c:axId val="12222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509760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433917</xdr:colOff>
      <xdr:row>54</xdr:row>
      <xdr:rowOff>84667</xdr:rowOff>
    </xdr:from>
    <xdr:to>
      <xdr:col>15</xdr:col>
      <xdr:colOff>568960</xdr:colOff>
      <xdr:row>64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1129B7-26B5-4A5C-BE37-79099F7FBBA7}"/>
            </a:ext>
          </a:extLst>
        </xdr:cNvPr>
        <xdr:cNvSpPr>
          <a:spLocks noChangeAspect="1"/>
        </xdr:cNvSpPr>
      </xdr:nvSpPr>
      <xdr:spPr>
        <a:xfrm>
          <a:off x="13292667" y="10128250"/>
          <a:ext cx="822960" cy="182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433913</xdr:colOff>
      <xdr:row>55</xdr:row>
      <xdr:rowOff>179915</xdr:rowOff>
    </xdr:from>
    <xdr:to>
      <xdr:col>15</xdr:col>
      <xdr:colOff>574611</xdr:colOff>
      <xdr:row>63</xdr:row>
      <xdr:rowOff>21168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FE60935-6262-4898-BD70-8AA154A41B5D}"/>
            </a:ext>
          </a:extLst>
        </xdr:cNvPr>
        <xdr:cNvSpPr>
          <a:spLocks noChangeAspect="1"/>
        </xdr:cNvSpPr>
      </xdr:nvSpPr>
      <xdr:spPr>
        <a:xfrm>
          <a:off x="13292663" y="10403415"/>
          <a:ext cx="828615" cy="12805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465667</xdr:colOff>
      <xdr:row>124</xdr:row>
      <xdr:rowOff>169331</xdr:rowOff>
    </xdr:from>
    <xdr:to>
      <xdr:col>25</xdr:col>
      <xdr:colOff>243416</xdr:colOff>
      <xdr:row>154</xdr:row>
      <xdr:rowOff>10582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0869EB-75CB-4686-9A43-4BC67A9CB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9"/>
  <sheetViews>
    <sheetView tabSelected="1" topLeftCell="P98" zoomScale="90" zoomScaleNormal="90" workbookViewId="0">
      <selection activeCell="T124" sqref="T124:T125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3.5" bestFit="1" customWidth="1"/>
    <col min="9" max="9" width="12.25" bestFit="1" customWidth="1"/>
    <col min="10" max="10" width="9.375" bestFit="1" customWidth="1"/>
    <col min="16" max="16" width="10.25" customWidth="1"/>
  </cols>
  <sheetData>
    <row r="1" spans="1:42">
      <c r="A1" s="5" t="s">
        <v>22</v>
      </c>
    </row>
    <row r="2" spans="1:42">
      <c r="A2" t="s">
        <v>23</v>
      </c>
      <c r="P2" t="s">
        <v>62</v>
      </c>
      <c r="Q2" s="8" t="s">
        <v>60</v>
      </c>
      <c r="R2" s="8" t="s">
        <v>61</v>
      </c>
    </row>
    <row r="3" spans="1:42">
      <c r="P3" t="s">
        <v>63</v>
      </c>
      <c r="Q3" s="8">
        <v>0</v>
      </c>
      <c r="R3" s="8">
        <v>0</v>
      </c>
    </row>
    <row r="4" spans="1:42">
      <c r="A4" t="s">
        <v>12</v>
      </c>
      <c r="B4" s="4" t="s">
        <v>11</v>
      </c>
      <c r="Q4" s="8">
        <v>11</v>
      </c>
      <c r="R4" s="8">
        <v>0</v>
      </c>
      <c r="V4" t="s">
        <v>64</v>
      </c>
      <c r="AP4" t="s">
        <v>67</v>
      </c>
    </row>
    <row r="5" spans="1:42">
      <c r="Q5" s="8">
        <v>11</v>
      </c>
      <c r="R5" s="8">
        <v>-17</v>
      </c>
    </row>
    <row r="6" spans="1:42" ht="17.25">
      <c r="A6" s="1" t="s">
        <v>1</v>
      </c>
      <c r="Q6" s="8">
        <v>0</v>
      </c>
      <c r="R6" s="8">
        <v>-17</v>
      </c>
    </row>
    <row r="7" spans="1:42">
      <c r="A7" s="2" t="s">
        <v>2</v>
      </c>
      <c r="Q7" s="8">
        <v>0</v>
      </c>
      <c r="R7" s="8">
        <v>0</v>
      </c>
    </row>
    <row r="8" spans="1:42" ht="17.25">
      <c r="A8" s="3" t="s">
        <v>3</v>
      </c>
      <c r="N8" t="s">
        <v>65</v>
      </c>
    </row>
    <row r="9" spans="1:42" ht="17.25">
      <c r="A9" s="3" t="s">
        <v>4</v>
      </c>
      <c r="N9" t="s">
        <v>66</v>
      </c>
      <c r="O9">
        <v>-4</v>
      </c>
      <c r="Q9" s="8" t="s">
        <v>60</v>
      </c>
      <c r="R9" s="8" t="s">
        <v>61</v>
      </c>
    </row>
    <row r="10" spans="1:42" ht="17.25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>
      <c r="A15" s="3" t="s">
        <v>0</v>
      </c>
      <c r="B15" s="4" t="s">
        <v>8</v>
      </c>
    </row>
    <row r="16" spans="1:4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>
      <c r="A18" t="s">
        <v>26</v>
      </c>
      <c r="E18" t="s">
        <v>24</v>
      </c>
    </row>
    <row r="19" spans="1:17">
      <c r="E19" t="s">
        <v>25</v>
      </c>
    </row>
    <row r="20" spans="1:17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>
      <c r="G24" t="s">
        <v>44</v>
      </c>
    </row>
    <row r="25" spans="1:17">
      <c r="A25" s="6"/>
      <c r="B25" s="6" t="s">
        <v>7</v>
      </c>
      <c r="C25" s="6" t="s">
        <v>0</v>
      </c>
    </row>
    <row r="26" spans="1:17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>
      <c r="G28" t="s">
        <v>47</v>
      </c>
      <c r="H28">
        <f>H27*1000</f>
        <v>222.6825</v>
      </c>
    </row>
    <row r="30" spans="1:17">
      <c r="A30" t="s">
        <v>30</v>
      </c>
      <c r="F30" s="5" t="s">
        <v>49</v>
      </c>
      <c r="G30" t="s">
        <v>50</v>
      </c>
    </row>
    <row r="31" spans="1:17">
      <c r="B31" t="s">
        <v>28</v>
      </c>
      <c r="C31" t="s">
        <v>29</v>
      </c>
      <c r="G31" s="5" t="s">
        <v>56</v>
      </c>
    </row>
    <row r="32" spans="1:17">
      <c r="B32">
        <v>40.810494300000002</v>
      </c>
      <c r="C32">
        <v>-96.689130800000001</v>
      </c>
      <c r="G32" s="5"/>
    </row>
    <row r="33" spans="2:10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10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10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10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10">
      <c r="B37">
        <v>40.810901299999998</v>
      </c>
      <c r="C37">
        <v>-96.689129500000007</v>
      </c>
    </row>
    <row r="38" spans="2:10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10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10">
      <c r="B40">
        <v>40.810997800000003</v>
      </c>
      <c r="C40">
        <v>-96.688996000000003</v>
      </c>
    </row>
    <row r="41" spans="2:10">
      <c r="B41">
        <v>40.811018099999998</v>
      </c>
      <c r="C41">
        <v>-96.688941700000001</v>
      </c>
      <c r="G41" s="5" t="s">
        <v>57</v>
      </c>
    </row>
    <row r="42" spans="2:10">
      <c r="B42">
        <v>40.811034800000002</v>
      </c>
      <c r="C42">
        <v>-96.688892100000004</v>
      </c>
    </row>
    <row r="43" spans="2:10">
      <c r="B43">
        <v>40.811051599999999</v>
      </c>
      <c r="C43">
        <v>-96.688799500000002</v>
      </c>
    </row>
    <row r="44" spans="2:10">
      <c r="B44">
        <v>40.811084000000001</v>
      </c>
      <c r="C44">
        <v>-96.688731099999998</v>
      </c>
      <c r="G44" t="s">
        <v>89</v>
      </c>
      <c r="H44">
        <v>-2.9460000000000002</v>
      </c>
      <c r="J44" t="str">
        <f>CONCATENATE("Azimuth P or M [deg]: ",ROUND(90-ABS(ATAN(H44)*180/PI()),2))</f>
        <v>Azimuth P or M [deg]: 18.75</v>
      </c>
    </row>
    <row r="45" spans="2:10">
      <c r="B45">
        <v>40.811149999999998</v>
      </c>
      <c r="C45">
        <v>-96.688690899999997</v>
      </c>
    </row>
    <row r="46" spans="2:10">
      <c r="B46">
        <v>40.811249500000002</v>
      </c>
      <c r="C46">
        <v>-96.688685500000005</v>
      </c>
      <c r="G46" t="s">
        <v>98</v>
      </c>
      <c r="H46">
        <f>1/(H39)*H44*H28/SQRT(1+H44^2)</f>
        <v>27688.096254830434</v>
      </c>
    </row>
    <row r="47" spans="2:10">
      <c r="B47">
        <v>40.811295200000004</v>
      </c>
      <c r="C47">
        <v>-96.688648000000001</v>
      </c>
      <c r="G47" t="s">
        <v>99</v>
      </c>
      <c r="H47">
        <f>1/H44*H46*H39/H38</f>
        <v>21787.427002932927</v>
      </c>
    </row>
    <row r="48" spans="2:10">
      <c r="B48">
        <v>40.811365199999997</v>
      </c>
      <c r="C48">
        <v>-96.688583600000001</v>
      </c>
    </row>
    <row r="49" spans="2:16">
      <c r="B49">
        <v>40.811436299999997</v>
      </c>
      <c r="C49">
        <v>-96.688574200000005</v>
      </c>
      <c r="G49" t="s">
        <v>55</v>
      </c>
      <c r="H49">
        <f>H46/H47</f>
        <v>1.2708291002468159</v>
      </c>
    </row>
    <row r="50" spans="2:16">
      <c r="B50">
        <v>40.811520600000001</v>
      </c>
      <c r="C50">
        <v>-96.688608900000006</v>
      </c>
    </row>
    <row r="51" spans="2:16">
      <c r="B51">
        <v>40.811566300000003</v>
      </c>
      <c r="C51">
        <v>-96.688666600000005</v>
      </c>
      <c r="G51" s="5"/>
      <c r="P51" t="s">
        <v>90</v>
      </c>
    </row>
    <row r="52" spans="2:16">
      <c r="B52">
        <v>40.811594700000001</v>
      </c>
      <c r="C52">
        <v>-96.688717499999996</v>
      </c>
      <c r="G52" s="5"/>
      <c r="O52" t="s">
        <v>91</v>
      </c>
      <c r="P52">
        <f>3.75*96</f>
        <v>360</v>
      </c>
    </row>
    <row r="53" spans="2:16">
      <c r="B53">
        <v>40.811673900000002</v>
      </c>
      <c r="C53">
        <v>-96.688775199999995</v>
      </c>
      <c r="O53" t="s">
        <v>92</v>
      </c>
      <c r="P53">
        <f>96*8.333333333</f>
        <v>799.99999996800011</v>
      </c>
    </row>
    <row r="54" spans="2:16">
      <c r="B54">
        <v>40.811719500000002</v>
      </c>
      <c r="C54">
        <v>-96.688779199999999</v>
      </c>
      <c r="G54" s="5" t="s">
        <v>76</v>
      </c>
    </row>
    <row r="55" spans="2:16">
      <c r="B55">
        <v>40.811813399999998</v>
      </c>
      <c r="C55">
        <v>-96.688735699999995</v>
      </c>
    </row>
    <row r="56" spans="2:16">
      <c r="B56">
        <v>40.811899199999999</v>
      </c>
      <c r="C56">
        <v>-96.688716200000002</v>
      </c>
      <c r="G56" t="s">
        <v>77</v>
      </c>
    </row>
    <row r="57" spans="2:16">
      <c r="B57">
        <v>40.811943800000002</v>
      </c>
      <c r="C57">
        <v>-96.688692099999997</v>
      </c>
      <c r="N57">
        <f>360/1056</f>
        <v>0.34090909090909088</v>
      </c>
    </row>
    <row r="58" spans="2:16">
      <c r="B58">
        <v>40.811992600000004</v>
      </c>
      <c r="C58">
        <v>-96.688673300000005</v>
      </c>
      <c r="G58" t="s">
        <v>78</v>
      </c>
      <c r="N58">
        <f>800/1632</f>
        <v>0.49019607843137253</v>
      </c>
    </row>
    <row r="59" spans="2:16">
      <c r="B59">
        <v>40.812033200000002</v>
      </c>
      <c r="C59">
        <v>-96.688637099999994</v>
      </c>
      <c r="G59" t="s">
        <v>79</v>
      </c>
      <c r="H59" t="s">
        <v>82</v>
      </c>
      <c r="J59">
        <f>(H61-H66)^2+(H60-H65)^2</f>
        <v>48898.511880199985</v>
      </c>
    </row>
    <row r="60" spans="2:16">
      <c r="B60">
        <v>40.812047399999997</v>
      </c>
      <c r="C60">
        <v>-96.688579399999995</v>
      </c>
      <c r="G60">
        <f>B21</f>
        <v>40.811470014009501</v>
      </c>
      <c r="H60">
        <f>Q101</f>
        <v>-304.8381</v>
      </c>
      <c r="J60">
        <f>SQRT(J59)</f>
        <v>221.1300790941838</v>
      </c>
    </row>
    <row r="61" spans="2:16">
      <c r="B61">
        <v>40.8120403</v>
      </c>
      <c r="C61">
        <v>-96.688498899999999</v>
      </c>
      <c r="G61">
        <f>B22</f>
        <v>-96.687916042139094</v>
      </c>
      <c r="H61">
        <f>P101</f>
        <v>156.59099999999998</v>
      </c>
      <c r="N61">
        <f>1056/1632</f>
        <v>0.6470588235294118</v>
      </c>
    </row>
    <row r="62" spans="2:16">
      <c r="B62">
        <v>40.812021000000001</v>
      </c>
      <c r="C62">
        <v>-96.688399700000005</v>
      </c>
      <c r="J62">
        <f>E22*1000/(X114/96*25.4)</f>
        <v>4028.0815873114207</v>
      </c>
      <c r="K62" t="s">
        <v>100</v>
      </c>
      <c r="N62">
        <f>360/800</f>
        <v>0.45</v>
      </c>
    </row>
    <row r="63" spans="2:16">
      <c r="B63">
        <v>40.811991599999999</v>
      </c>
      <c r="C63">
        <v>-96.688331300000002</v>
      </c>
      <c r="G63" t="s">
        <v>81</v>
      </c>
      <c r="J63">
        <f>1-J62/I22</f>
        <v>-7.0203968278552686E-3</v>
      </c>
      <c r="K63" t="s">
        <v>101</v>
      </c>
    </row>
    <row r="64" spans="2:16">
      <c r="B64">
        <v>40.811976299999998</v>
      </c>
      <c r="C64">
        <v>-96.688227999999995</v>
      </c>
      <c r="G64" t="s">
        <v>79</v>
      </c>
      <c r="H64" t="s">
        <v>82</v>
      </c>
    </row>
    <row r="65" spans="1:18">
      <c r="B65">
        <v>40.811964199999998</v>
      </c>
      <c r="C65">
        <v>-96.688142200000001</v>
      </c>
      <c r="G65">
        <f>C21</f>
        <v>40.8190857586658</v>
      </c>
      <c r="H65">
        <f>Q104</f>
        <v>-93.967300000000009</v>
      </c>
    </row>
    <row r="66" spans="1:18">
      <c r="B66">
        <v>40.811961099999998</v>
      </c>
      <c r="C66">
        <v>-96.688064400000002</v>
      </c>
      <c r="G66">
        <f>C22</f>
        <v>-96.691201279725405</v>
      </c>
      <c r="H66">
        <f>P104</f>
        <v>90.017600000000002</v>
      </c>
    </row>
    <row r="67" spans="1:18">
      <c r="B67">
        <v>40.811956500000001</v>
      </c>
      <c r="C67">
        <v>-96.688014100000004</v>
      </c>
    </row>
    <row r="68" spans="1:18">
      <c r="G68" t="s">
        <v>98</v>
      </c>
      <c r="H68">
        <f>(H60-H65)/H39</f>
        <v>27688.795976844434</v>
      </c>
    </row>
    <row r="69" spans="1:18">
      <c r="A69" t="s">
        <v>37</v>
      </c>
      <c r="C69" s="4" t="s">
        <v>38</v>
      </c>
      <c r="G69" t="s">
        <v>99</v>
      </c>
      <c r="H69">
        <f>(H61-H66)/H38</f>
        <v>20264.409574938942</v>
      </c>
    </row>
    <row r="70" spans="1:18">
      <c r="P70" t="s">
        <v>71</v>
      </c>
      <c r="Q70">
        <v>-1.18586005365013</v>
      </c>
      <c r="R70">
        <f>10.9732045528581-3.75</f>
        <v>7.2232045528580997</v>
      </c>
    </row>
    <row r="71" spans="1:18">
      <c r="A71" t="s">
        <v>39</v>
      </c>
      <c r="B71">
        <v>96</v>
      </c>
      <c r="G71" t="s">
        <v>55</v>
      </c>
      <c r="H71">
        <f>H68/H69</f>
        <v>1.3663756584888245</v>
      </c>
      <c r="P71" t="s">
        <v>72</v>
      </c>
      <c r="Q71">
        <v>0</v>
      </c>
      <c r="R71">
        <f>-17.7259100656024-(-8.333)</f>
        <v>-9.3929100656023987</v>
      </c>
    </row>
    <row r="72" spans="1:18">
      <c r="A72" t="s">
        <v>40</v>
      </c>
      <c r="B72">
        <v>800</v>
      </c>
      <c r="G72" t="s">
        <v>83</v>
      </c>
      <c r="H72">
        <f>1/H71</f>
        <v>0.73186315475348385</v>
      </c>
    </row>
    <row r="73" spans="1:18">
      <c r="A73" t="s">
        <v>41</v>
      </c>
      <c r="B73">
        <v>360</v>
      </c>
      <c r="P73" t="s">
        <v>70</v>
      </c>
      <c r="Q73">
        <v>3.3</v>
      </c>
      <c r="R73">
        <v>-9</v>
      </c>
    </row>
    <row r="74" spans="1:18">
      <c r="G74" t="s">
        <v>87</v>
      </c>
    </row>
    <row r="75" spans="1:18">
      <c r="A75" t="s">
        <v>42</v>
      </c>
      <c r="P75" t="s">
        <v>68</v>
      </c>
      <c r="Q75" s="8" t="s">
        <v>60</v>
      </c>
      <c r="R75" s="8" t="s">
        <v>61</v>
      </c>
    </row>
    <row r="76" spans="1:18">
      <c r="A76" t="s">
        <v>40</v>
      </c>
      <c r="B76">
        <f>B72/$B$71</f>
        <v>8.3333333333333339</v>
      </c>
      <c r="G76" t="s">
        <v>85</v>
      </c>
      <c r="H76">
        <f>(H61-H66)/(G61-G66)</f>
        <v>20264.409574938942</v>
      </c>
      <c r="P76" t="s">
        <v>69</v>
      </c>
      <c r="Q76" s="8">
        <f>0+$Q$73</f>
        <v>3.3</v>
      </c>
      <c r="R76" s="8">
        <f>0+$R$73</f>
        <v>-9</v>
      </c>
    </row>
    <row r="77" spans="1:18">
      <c r="A77" t="s">
        <v>41</v>
      </c>
      <c r="B77">
        <f>B73/$B$71</f>
        <v>3.75</v>
      </c>
      <c r="G77" t="s">
        <v>86</v>
      </c>
      <c r="H77">
        <f>H61-G61*H76</f>
        <v>1959480.1226252159</v>
      </c>
      <c r="Q77" s="8">
        <f>3.75+$Q$73</f>
        <v>7.05</v>
      </c>
      <c r="R77" s="8">
        <f>0+$R$73</f>
        <v>-9</v>
      </c>
    </row>
    <row r="78" spans="1:18">
      <c r="Q78" s="8">
        <f>3.75+$Q$73</f>
        <v>7.05</v>
      </c>
      <c r="R78" s="8">
        <f>-8.333+$R$73</f>
        <v>-17.332999999999998</v>
      </c>
    </row>
    <row r="79" spans="1:18">
      <c r="A79" t="s">
        <v>43</v>
      </c>
      <c r="G79" t="s">
        <v>84</v>
      </c>
      <c r="Q79" s="8">
        <f t="shared" ref="Q79:Q80" si="4">0+$Q$73</f>
        <v>3.3</v>
      </c>
      <c r="R79" s="8">
        <f>-8.333+$R$73</f>
        <v>-17.332999999999998</v>
      </c>
    </row>
    <row r="80" spans="1:18">
      <c r="A80" t="s">
        <v>40</v>
      </c>
      <c r="B80">
        <f>B72/$B$71*25.4</f>
        <v>211.66666666666666</v>
      </c>
      <c r="Q80" s="8">
        <f t="shared" si="4"/>
        <v>3.3</v>
      </c>
      <c r="R80" s="8">
        <f t="shared" ref="R80" si="5">0+$R$73</f>
        <v>-9</v>
      </c>
    </row>
    <row r="81" spans="1:18">
      <c r="A81" t="s">
        <v>41</v>
      </c>
      <c r="B81">
        <f>B73/$B$71*25.4</f>
        <v>95.25</v>
      </c>
      <c r="G81" t="s">
        <v>85</v>
      </c>
      <c r="H81">
        <f>(H60-H65)/(G60-G65)</f>
        <v>27688.795976844434</v>
      </c>
      <c r="Q81" s="8"/>
      <c r="R81" s="8"/>
    </row>
    <row r="82" spans="1:18">
      <c r="G82" t="s">
        <v>86</v>
      </c>
      <c r="H82">
        <f>H60-G60*H81</f>
        <v>-1130325.3048330136</v>
      </c>
      <c r="P82" t="s">
        <v>73</v>
      </c>
      <c r="Q82" s="8">
        <f>AVERAGE(Q76:Q79)</f>
        <v>5.1749999999999998</v>
      </c>
      <c r="R82" s="8">
        <f>AVERAGE(R76:R79)</f>
        <v>-13.166499999999999</v>
      </c>
    </row>
    <row r="83" spans="1:18">
      <c r="Q83" s="8"/>
      <c r="R83" s="8"/>
    </row>
    <row r="84" spans="1:18">
      <c r="Q84">
        <f>Q82</f>
        <v>5.1749999999999998</v>
      </c>
      <c r="R84">
        <f>R76</f>
        <v>-9</v>
      </c>
    </row>
    <row r="85" spans="1:18">
      <c r="H85" t="s">
        <v>80</v>
      </c>
      <c r="I85" t="s">
        <v>88</v>
      </c>
      <c r="K85" t="s">
        <v>60</v>
      </c>
      <c r="L85" t="s">
        <v>61</v>
      </c>
      <c r="Q85">
        <f>Q82</f>
        <v>5.1749999999999998</v>
      </c>
      <c r="R85">
        <f>R79</f>
        <v>-17.332999999999998</v>
      </c>
    </row>
    <row r="86" spans="1:18">
      <c r="H86">
        <f>$H$76*C32+$H$77</f>
        <v>131.97464917204343</v>
      </c>
      <c r="I86">
        <f>B32*$H$81+$H$82</f>
        <v>-331.85444614081644</v>
      </c>
      <c r="K86">
        <f>H86/25.4</f>
        <v>5.1958523296080097</v>
      </c>
      <c r="L86">
        <f>I86/25.4</f>
        <v>-13.065135674835293</v>
      </c>
    </row>
    <row r="87" spans="1:18">
      <c r="H87">
        <f t="shared" ref="H87:H121" si="6">$H$76*C33+$H$77</f>
        <v>131.83887762809172</v>
      </c>
      <c r="I87">
        <f t="shared" ref="I87:I121" si="7">B33*$H$81+$H$82</f>
        <v>-330.39247771329246</v>
      </c>
      <c r="K87">
        <f t="shared" ref="K87:K121" si="8">H87/25.4</f>
        <v>5.1905069932319581</v>
      </c>
      <c r="L87">
        <f t="shared" ref="L87:L121" si="9">I87/25.4</f>
        <v>-13.00757786272805</v>
      </c>
      <c r="Q87">
        <f>Q76</f>
        <v>3.3</v>
      </c>
      <c r="R87">
        <f>R82</f>
        <v>-13.166499999999999</v>
      </c>
    </row>
    <row r="88" spans="1:18">
      <c r="H88">
        <f t="shared" si="6"/>
        <v>131.45790672814474</v>
      </c>
      <c r="I88">
        <f t="shared" si="7"/>
        <v>-327.94755702838302</v>
      </c>
      <c r="K88">
        <f t="shared" si="8"/>
        <v>5.1755081389033366</v>
      </c>
      <c r="L88">
        <f t="shared" si="9"/>
        <v>-12.911321142849726</v>
      </c>
      <c r="Q88">
        <f>Q78</f>
        <v>7.05</v>
      </c>
      <c r="R88">
        <f>R82</f>
        <v>-13.166499999999999</v>
      </c>
    </row>
    <row r="89" spans="1:18">
      <c r="H89">
        <f t="shared" si="6"/>
        <v>131.29579145135358</v>
      </c>
      <c r="I89">
        <f t="shared" si="7"/>
        <v>-325.89581724652089</v>
      </c>
      <c r="K89">
        <f t="shared" si="8"/>
        <v>5.1691256476910858</v>
      </c>
      <c r="L89">
        <f t="shared" si="9"/>
        <v>-12.8305439860835</v>
      </c>
    </row>
    <row r="90" spans="1:18">
      <c r="H90">
        <f t="shared" si="6"/>
        <v>131.45790672814474</v>
      </c>
      <c r="I90">
        <f t="shared" si="7"/>
        <v>-322.80574761563912</v>
      </c>
      <c r="K90">
        <f t="shared" si="8"/>
        <v>5.1755081389033366</v>
      </c>
      <c r="L90">
        <f t="shared" si="9"/>
        <v>-12.708887701403116</v>
      </c>
      <c r="P90" t="s">
        <v>42</v>
      </c>
    </row>
    <row r="91" spans="1:18">
      <c r="H91">
        <f t="shared" si="6"/>
        <v>132.00099290441722</v>
      </c>
      <c r="I91">
        <f t="shared" si="7"/>
        <v>-320.58510617841966</v>
      </c>
      <c r="K91">
        <f t="shared" si="8"/>
        <v>5.1968894844258751</v>
      </c>
      <c r="L91">
        <f t="shared" si="9"/>
        <v>-12.621460873166129</v>
      </c>
      <c r="P91" t="s">
        <v>74</v>
      </c>
    </row>
    <row r="92" spans="1:18">
      <c r="H92">
        <f t="shared" si="6"/>
        <v>132.35562007222325</v>
      </c>
      <c r="I92">
        <f t="shared" si="7"/>
        <v>-319.64368711505085</v>
      </c>
      <c r="K92">
        <f t="shared" si="8"/>
        <v>5.2108511839457972</v>
      </c>
      <c r="L92">
        <f t="shared" si="9"/>
        <v>-12.584397130513814</v>
      </c>
      <c r="P92">
        <v>4.29</v>
      </c>
      <c r="Q92">
        <v>-7.835</v>
      </c>
    </row>
    <row r="93" spans="1:18">
      <c r="H93">
        <f t="shared" si="6"/>
        <v>133.30602088128217</v>
      </c>
      <c r="I93">
        <f t="shared" si="7"/>
        <v>-318.64412158029154</v>
      </c>
      <c r="K93">
        <f t="shared" si="8"/>
        <v>5.2482685386331562</v>
      </c>
      <c r="L93">
        <f t="shared" si="9"/>
        <v>-12.545044156704392</v>
      </c>
      <c r="P93">
        <v>6.1649999999999991</v>
      </c>
      <c r="Q93">
        <v>-12.0015</v>
      </c>
    </row>
    <row r="94" spans="1:18">
      <c r="H94">
        <f t="shared" si="6"/>
        <v>134.70629158290103</v>
      </c>
      <c r="I94">
        <f t="shared" si="7"/>
        <v>-317.91313736652955</v>
      </c>
      <c r="K94">
        <f t="shared" si="8"/>
        <v>5.3033973064134265</v>
      </c>
      <c r="L94">
        <f t="shared" si="9"/>
        <v>-12.51626525065077</v>
      </c>
      <c r="P94" t="s">
        <v>75</v>
      </c>
    </row>
    <row r="95" spans="1:18">
      <c r="H95">
        <f t="shared" si="6"/>
        <v>135.80664902273566</v>
      </c>
      <c r="I95">
        <f t="shared" si="7"/>
        <v>-317.3510548081249</v>
      </c>
      <c r="K95">
        <f t="shared" si="8"/>
        <v>5.3467184654620343</v>
      </c>
      <c r="L95">
        <f t="shared" si="9"/>
        <v>-12.494136016067911</v>
      </c>
      <c r="P95">
        <v>1.669</v>
      </c>
      <c r="Q95">
        <v>0.46700000000000003</v>
      </c>
    </row>
    <row r="96" spans="1:18">
      <c r="H96">
        <f t="shared" si="6"/>
        <v>136.81176373758353</v>
      </c>
      <c r="I96">
        <f t="shared" si="7"/>
        <v>-316.88865191536024</v>
      </c>
      <c r="K96">
        <f t="shared" si="8"/>
        <v>5.3862899109284861</v>
      </c>
      <c r="L96">
        <f t="shared" si="9"/>
        <v>-12.475931177770089</v>
      </c>
      <c r="P96">
        <v>3.5440000000000005</v>
      </c>
      <c r="Q96">
        <v>-3.6995000000000005</v>
      </c>
    </row>
    <row r="97" spans="8:25">
      <c r="H97">
        <f t="shared" si="6"/>
        <v>138.68824806436896</v>
      </c>
      <c r="I97">
        <f t="shared" si="7"/>
        <v>-316.42348014307208</v>
      </c>
      <c r="K97">
        <f t="shared" si="8"/>
        <v>5.4601672466286999</v>
      </c>
      <c r="L97">
        <f t="shared" si="9"/>
        <v>-12.457617328467405</v>
      </c>
    </row>
    <row r="98" spans="8:25">
      <c r="H98">
        <f t="shared" si="6"/>
        <v>140.07433367939666</v>
      </c>
      <c r="I98">
        <f t="shared" si="7"/>
        <v>-315.52636315324344</v>
      </c>
      <c r="K98">
        <f t="shared" si="8"/>
        <v>5.51473754643294</v>
      </c>
      <c r="L98">
        <f t="shared" si="9"/>
        <v>-12.422297761938719</v>
      </c>
      <c r="P98" t="s">
        <v>43</v>
      </c>
    </row>
    <row r="99" spans="8:25">
      <c r="H99">
        <f t="shared" si="6"/>
        <v>140.88896294427104</v>
      </c>
      <c r="I99">
        <f t="shared" si="7"/>
        <v>-313.69890261883847</v>
      </c>
      <c r="K99">
        <f t="shared" si="8"/>
        <v>5.5468095647350806</v>
      </c>
      <c r="L99">
        <f t="shared" si="9"/>
        <v>-12.350350496804666</v>
      </c>
      <c r="P99" t="s">
        <v>74</v>
      </c>
    </row>
    <row r="100" spans="8:25">
      <c r="H100">
        <f t="shared" si="6"/>
        <v>140.99839075584896</v>
      </c>
      <c r="I100">
        <f t="shared" si="7"/>
        <v>-310.94386741914786</v>
      </c>
      <c r="K100">
        <f t="shared" si="8"/>
        <v>5.5511177462932668</v>
      </c>
      <c r="L100">
        <f t="shared" si="9"/>
        <v>-12.241884544060941</v>
      </c>
      <c r="P100">
        <f>P92*25.4</f>
        <v>108.96599999999999</v>
      </c>
      <c r="Q100">
        <f>Q92*25.4</f>
        <v>-199.00899999999999</v>
      </c>
    </row>
    <row r="101" spans="8:25">
      <c r="H101">
        <f t="shared" si="6"/>
        <v>141.75830611493438</v>
      </c>
      <c r="I101">
        <f t="shared" si="7"/>
        <v>-309.67848944291472</v>
      </c>
      <c r="K101">
        <f t="shared" si="8"/>
        <v>5.5810356738163147</v>
      </c>
      <c r="L101">
        <f t="shared" si="9"/>
        <v>-12.192066513500581</v>
      </c>
      <c r="P101">
        <f>P93*25.4</f>
        <v>156.59099999999998</v>
      </c>
      <c r="Q101">
        <f>Q93*25.4</f>
        <v>-304.8381</v>
      </c>
    </row>
    <row r="102" spans="8:25">
      <c r="H102">
        <f t="shared" si="6"/>
        <v>143.0633340915665</v>
      </c>
      <c r="I102">
        <f t="shared" si="7"/>
        <v>-307.74027372477576</v>
      </c>
      <c r="K102">
        <f t="shared" si="8"/>
        <v>5.6324147280144299</v>
      </c>
      <c r="L102">
        <f t="shared" si="9"/>
        <v>-12.115758808062038</v>
      </c>
      <c r="P102" t="s">
        <v>75</v>
      </c>
    </row>
    <row r="103" spans="8:25">
      <c r="H103">
        <f t="shared" si="6"/>
        <v>143.25381954154</v>
      </c>
      <c r="I103">
        <f t="shared" si="7"/>
        <v>-305.77160033071414</v>
      </c>
      <c r="K103">
        <f t="shared" si="8"/>
        <v>5.6399141551787402</v>
      </c>
      <c r="L103">
        <f t="shared" si="9"/>
        <v>-12.03825198152418</v>
      </c>
      <c r="P103">
        <f>P95*25.4</f>
        <v>42.392600000000002</v>
      </c>
      <c r="Q103">
        <f>Q95*25.4</f>
        <v>11.861800000000001</v>
      </c>
    </row>
    <row r="104" spans="8:25">
      <c r="H104">
        <f t="shared" si="6"/>
        <v>142.55064452928491</v>
      </c>
      <c r="I104">
        <f t="shared" si="7"/>
        <v>-303.43743482977152</v>
      </c>
      <c r="K104">
        <f t="shared" si="8"/>
        <v>5.612230099578146</v>
      </c>
      <c r="L104">
        <f t="shared" si="9"/>
        <v>-11.94635570195951</v>
      </c>
      <c r="P104">
        <f>P96*25.4</f>
        <v>90.017600000000002</v>
      </c>
      <c r="Q104">
        <f>Q96*25.4</f>
        <v>-93.967300000000009</v>
      </c>
    </row>
    <row r="105" spans="8:25">
      <c r="H105">
        <f t="shared" si="6"/>
        <v>141.38138809683733</v>
      </c>
      <c r="I105">
        <f t="shared" si="7"/>
        <v>-302.17205685353838</v>
      </c>
      <c r="K105">
        <f t="shared" si="8"/>
        <v>5.5661963817652493</v>
      </c>
      <c r="L105">
        <f t="shared" si="9"/>
        <v>-11.89653767139915</v>
      </c>
    </row>
    <row r="106" spans="8:25">
      <c r="H106">
        <f t="shared" si="6"/>
        <v>140.34992964961566</v>
      </c>
      <c r="I106">
        <f t="shared" si="7"/>
        <v>-301.38569504790939</v>
      </c>
      <c r="K106">
        <f t="shared" si="8"/>
        <v>5.5255877814809322</v>
      </c>
      <c r="L106">
        <f t="shared" si="9"/>
        <v>-11.865578545193284</v>
      </c>
      <c r="P106" t="s">
        <v>93</v>
      </c>
    </row>
    <row r="107" spans="8:25">
      <c r="H107">
        <f t="shared" si="6"/>
        <v>139.18067321716808</v>
      </c>
      <c r="I107">
        <f t="shared" si="7"/>
        <v>-299.19274240639061</v>
      </c>
      <c r="K107">
        <f t="shared" si="8"/>
        <v>5.4795540636680347</v>
      </c>
      <c r="L107">
        <f t="shared" si="9"/>
        <v>-11.779241827023252</v>
      </c>
      <c r="P107" t="s">
        <v>74</v>
      </c>
      <c r="T107" t="s">
        <v>94</v>
      </c>
      <c r="U107" t="s">
        <v>73</v>
      </c>
      <c r="V107" t="s">
        <v>95</v>
      </c>
      <c r="W107" t="s">
        <v>96</v>
      </c>
    </row>
    <row r="108" spans="8:25">
      <c r="H108">
        <f t="shared" si="6"/>
        <v>139.0996155787725</v>
      </c>
      <c r="I108">
        <f t="shared" si="7"/>
        <v>-297.9301333099138</v>
      </c>
      <c r="K108">
        <f t="shared" si="8"/>
        <v>5.4763628180619097</v>
      </c>
      <c r="L108">
        <f t="shared" si="9"/>
        <v>-11.729532807476922</v>
      </c>
      <c r="P108">
        <f>P92*96</f>
        <v>411.84000000000003</v>
      </c>
      <c r="Q108">
        <f>Q92*96</f>
        <v>-752.16</v>
      </c>
      <c r="T108">
        <v>1056</v>
      </c>
      <c r="U108">
        <v>528</v>
      </c>
      <c r="V108">
        <f>P109-U108</f>
        <v>63.839999999999918</v>
      </c>
      <c r="W108">
        <f>-V108</f>
        <v>-63.839999999999918</v>
      </c>
    </row>
    <row r="109" spans="8:25">
      <c r="H109">
        <f t="shared" si="6"/>
        <v>139.98111739521846</v>
      </c>
      <c r="I109">
        <f t="shared" si="7"/>
        <v>-295.33015536773019</v>
      </c>
      <c r="K109">
        <f t="shared" si="8"/>
        <v>5.511067613984979</v>
      </c>
      <c r="L109">
        <f t="shared" si="9"/>
        <v>-11.627171471170481</v>
      </c>
      <c r="P109">
        <f>P93*96</f>
        <v>591.83999999999992</v>
      </c>
      <c r="Q109">
        <f>Q93*96</f>
        <v>-1152.144</v>
      </c>
      <c r="T109">
        <v>1632</v>
      </c>
      <c r="U109">
        <v>-816</v>
      </c>
      <c r="V109">
        <f>-(Q109-U109)</f>
        <v>336.14400000000001</v>
      </c>
      <c r="W109">
        <f>-V109</f>
        <v>-336.14400000000001</v>
      </c>
    </row>
    <row r="110" spans="8:25">
      <c r="H110">
        <f t="shared" si="6"/>
        <v>140.37627338198945</v>
      </c>
      <c r="I110">
        <f t="shared" si="7"/>
        <v>-292.95445667300373</v>
      </c>
      <c r="K110">
        <f t="shared" si="8"/>
        <v>5.5266249362987976</v>
      </c>
      <c r="L110">
        <f t="shared" si="9"/>
        <v>-11.53364002649621</v>
      </c>
      <c r="P110" t="s">
        <v>75</v>
      </c>
      <c r="T110" t="s">
        <v>94</v>
      </c>
      <c r="U110" t="s">
        <v>73</v>
      </c>
      <c r="V110" t="s">
        <v>95</v>
      </c>
      <c r="W110" t="s">
        <v>96</v>
      </c>
      <c r="X110" t="s">
        <v>97</v>
      </c>
    </row>
    <row r="111" spans="8:25">
      <c r="H111">
        <f t="shared" si="6"/>
        <v>140.8646456527058</v>
      </c>
      <c r="I111">
        <f t="shared" si="7"/>
        <v>-291.71953637246042</v>
      </c>
      <c r="K111">
        <f t="shared" si="8"/>
        <v>5.5458521910514103</v>
      </c>
      <c r="L111">
        <f t="shared" si="9"/>
        <v>-11.485021117026001</v>
      </c>
      <c r="P111">
        <f>P95*96</f>
        <v>160.22399999999999</v>
      </c>
      <c r="Q111">
        <f>Q95*96</f>
        <v>44.832000000000001</v>
      </c>
      <c r="T111">
        <v>1056</v>
      </c>
      <c r="U111">
        <v>528</v>
      </c>
      <c r="V111">
        <f>P112-U111</f>
        <v>-187.77599999999995</v>
      </c>
      <c r="W111">
        <f>-V111</f>
        <v>187.77599999999995</v>
      </c>
      <c r="X111">
        <f>-(V111-V108)</f>
        <v>251.61599999999987</v>
      </c>
      <c r="Y111">
        <f>(W111-W108)</f>
        <v>251.61599999999987</v>
      </c>
    </row>
    <row r="112" spans="8:25">
      <c r="H112">
        <f t="shared" si="6"/>
        <v>141.24561655265279</v>
      </c>
      <c r="I112">
        <f t="shared" si="7"/>
        <v>-290.36832312867045</v>
      </c>
      <c r="K112">
        <f t="shared" si="8"/>
        <v>5.5608510453800317</v>
      </c>
      <c r="L112">
        <f t="shared" si="9"/>
        <v>-11.431823745223246</v>
      </c>
      <c r="P112">
        <f>P96*96</f>
        <v>340.22400000000005</v>
      </c>
      <c r="Q112">
        <f>Q96*96</f>
        <v>-355.15200000000004</v>
      </c>
      <c r="T112">
        <v>1632</v>
      </c>
      <c r="U112">
        <v>-816</v>
      </c>
      <c r="V112">
        <f>-(Q112-U112)</f>
        <v>-460.84799999999996</v>
      </c>
      <c r="W112">
        <f>-V112</f>
        <v>460.84799999999996</v>
      </c>
      <c r="X112">
        <f>-(V112-V109)</f>
        <v>796.99199999999996</v>
      </c>
      <c r="Y112">
        <f>(W112-W109)</f>
        <v>796.99199999999996</v>
      </c>
    </row>
    <row r="113" spans="8:24">
      <c r="H113">
        <f t="shared" si="6"/>
        <v>141.97918817936443</v>
      </c>
      <c r="I113">
        <f t="shared" si="7"/>
        <v>-289.24415801209398</v>
      </c>
      <c r="K113">
        <f t="shared" si="8"/>
        <v>5.5897318180852142</v>
      </c>
      <c r="L113">
        <f t="shared" si="9"/>
        <v>-11.387565276066693</v>
      </c>
    </row>
    <row r="114" spans="8:24">
      <c r="H114">
        <f t="shared" si="6"/>
        <v>143.14844461181201</v>
      </c>
      <c r="I114">
        <f t="shared" si="7"/>
        <v>-288.85097710927948</v>
      </c>
      <c r="K114">
        <f t="shared" si="8"/>
        <v>5.6357655358981109</v>
      </c>
      <c r="L114">
        <f t="shared" si="9"/>
        <v>-11.372085712963759</v>
      </c>
      <c r="X114">
        <f>SQRT(X111^2+X112^2)</f>
        <v>835.76722807250576</v>
      </c>
    </row>
    <row r="115" spans="8:24">
      <c r="H115">
        <f t="shared" si="6"/>
        <v>144.77972958260216</v>
      </c>
      <c r="I115">
        <f t="shared" si="7"/>
        <v>-289.04756756057031</v>
      </c>
      <c r="K115">
        <f t="shared" si="8"/>
        <v>5.6999893536457549</v>
      </c>
      <c r="L115">
        <f t="shared" si="9"/>
        <v>-11.379825494510643</v>
      </c>
    </row>
    <row r="116" spans="8:24">
      <c r="H116">
        <f t="shared" si="6"/>
        <v>146.78995901229791</v>
      </c>
      <c r="I116">
        <f t="shared" si="7"/>
        <v>-289.58196132304147</v>
      </c>
      <c r="K116">
        <f t="shared" si="8"/>
        <v>5.7791322445786584</v>
      </c>
      <c r="L116">
        <f t="shared" si="9"/>
        <v>-11.400864619017382</v>
      </c>
    </row>
    <row r="117" spans="8:24">
      <c r="H117">
        <f t="shared" si="6"/>
        <v>148.17604462732561</v>
      </c>
      <c r="I117">
        <f t="shared" si="7"/>
        <v>-290.39601192483678</v>
      </c>
      <c r="K117">
        <f t="shared" si="8"/>
        <v>5.8337025443828985</v>
      </c>
      <c r="L117">
        <f t="shared" si="9"/>
        <v>-11.432913855308536</v>
      </c>
      <c r="T117" t="s">
        <v>78</v>
      </c>
    </row>
    <row r="118" spans="8:24">
      <c r="H118">
        <f t="shared" si="6"/>
        <v>150.26935813645832</v>
      </c>
      <c r="I118">
        <f t="shared" si="7"/>
        <v>-290.81965050310828</v>
      </c>
      <c r="K118">
        <f t="shared" si="8"/>
        <v>5.9161164620652889</v>
      </c>
      <c r="L118">
        <f t="shared" si="9"/>
        <v>-11.449592539492453</v>
      </c>
      <c r="T118" t="s">
        <v>79</v>
      </c>
      <c r="U118" t="s">
        <v>82</v>
      </c>
    </row>
    <row r="119" spans="8:24">
      <c r="H119">
        <f t="shared" si="6"/>
        <v>152.00804447801784</v>
      </c>
      <c r="I119">
        <f t="shared" si="7"/>
        <v>-291.15468493453227</v>
      </c>
      <c r="K119">
        <f t="shared" si="8"/>
        <v>5.9845686802369231</v>
      </c>
      <c r="L119">
        <f t="shared" si="9"/>
        <v>-11.462782871438279</v>
      </c>
      <c r="T119">
        <v>40.811470014009501</v>
      </c>
      <c r="U119">
        <f>V109</f>
        <v>336.14400000000001</v>
      </c>
    </row>
    <row r="120" spans="8:24">
      <c r="H120">
        <f t="shared" si="6"/>
        <v>153.5846155427862</v>
      </c>
      <c r="I120">
        <f t="shared" si="7"/>
        <v>-291.2405202020891</v>
      </c>
      <c r="K120">
        <f t="shared" si="8"/>
        <v>6.0466384071963075</v>
      </c>
      <c r="L120">
        <f t="shared" si="9"/>
        <v>-11.466162212680674</v>
      </c>
      <c r="T120">
        <v>-96.687916042139094</v>
      </c>
      <c r="U120">
        <f>V108</f>
        <v>63.839999999999918</v>
      </c>
    </row>
    <row r="121" spans="8:24">
      <c r="H121">
        <f t="shared" si="6"/>
        <v>154.60391534445807</v>
      </c>
      <c r="I121">
        <f t="shared" si="7"/>
        <v>-291.36788866342977</v>
      </c>
      <c r="K121">
        <f t="shared" si="8"/>
        <v>6.0867683206479564</v>
      </c>
      <c r="L121">
        <f t="shared" si="9"/>
        <v>-11.471176719032668</v>
      </c>
    </row>
    <row r="122" spans="8:24">
      <c r="T122" t="s">
        <v>81</v>
      </c>
    </row>
    <row r="123" spans="8:24">
      <c r="T123" t="s">
        <v>79</v>
      </c>
      <c r="U123" t="s">
        <v>82</v>
      </c>
    </row>
    <row r="124" spans="8:24">
      <c r="T124">
        <v>40.8190857586658</v>
      </c>
      <c r="U124">
        <f>V112</f>
        <v>-460.84799999999996</v>
      </c>
    </row>
    <row r="125" spans="8:24">
      <c r="T125">
        <v>-96.691201279725405</v>
      </c>
      <c r="U125">
        <f>V111</f>
        <v>-187.77599999999995</v>
      </c>
    </row>
    <row r="127" spans="8:24">
      <c r="S127" t="s">
        <v>104</v>
      </c>
      <c r="T127" t="s">
        <v>102</v>
      </c>
      <c r="U127">
        <f>(U119-U124)/(T119-T124)</f>
        <v>-104650.56747153803</v>
      </c>
    </row>
    <row r="128" spans="8:24">
      <c r="T128" t="s">
        <v>103</v>
      </c>
      <c r="U128">
        <f>U119-U127*T119</f>
        <v>4271279.6403137529</v>
      </c>
    </row>
    <row r="130" spans="18:22">
      <c r="S130" t="s">
        <v>105</v>
      </c>
      <c r="T130" t="s">
        <v>102</v>
      </c>
      <c r="U130">
        <f>(U120-U125)/(T120-T125)</f>
        <v>76589.894456462134</v>
      </c>
    </row>
    <row r="131" spans="18:22">
      <c r="T131" t="s">
        <v>103</v>
      </c>
      <c r="U131">
        <f>U120-T120*U130</f>
        <v>7405381.1248827055</v>
      </c>
    </row>
    <row r="133" spans="18:22">
      <c r="R133" t="s">
        <v>28</v>
      </c>
      <c r="S133" t="s">
        <v>29</v>
      </c>
      <c r="U133" t="s">
        <v>107</v>
      </c>
      <c r="V133" t="s">
        <v>106</v>
      </c>
    </row>
    <row r="134" spans="18:22">
      <c r="R134">
        <v>40.810494300000002</v>
      </c>
      <c r="S134">
        <v>-96.689130800000001</v>
      </c>
      <c r="U134">
        <f>$U$130*S134+$U$131</f>
        <v>-29.198176356963813</v>
      </c>
      <c r="V134">
        <f>-($U$127*R134+$U$128)</f>
        <v>-438.25302478484809</v>
      </c>
    </row>
    <row r="135" spans="18:22">
      <c r="R135">
        <v>40.810547100000001</v>
      </c>
      <c r="S135">
        <v>-96.689137500000001</v>
      </c>
      <c r="U135">
        <f>$U$130*S135+$U$131</f>
        <v>-29.711328649893403</v>
      </c>
      <c r="V135">
        <f t="shared" ref="V135:V169" si="10">-($U$127*R135+$U$128)</f>
        <v>-432.72747482173145</v>
      </c>
    </row>
    <row r="136" spans="18:22">
      <c r="R136">
        <v>40.810635400000002</v>
      </c>
      <c r="S136">
        <v>-96.689156299999993</v>
      </c>
      <c r="U136">
        <f>$U$130*S136+$U$131</f>
        <v>-31.151218664832413</v>
      </c>
      <c r="V136">
        <f t="shared" si="10"/>
        <v>-423.48682971391827</v>
      </c>
    </row>
    <row r="137" spans="18:22">
      <c r="R137">
        <v>40.810709500000002</v>
      </c>
      <c r="S137">
        <v>-96.689164300000002</v>
      </c>
      <c r="U137">
        <f>$U$130*S137+$U$131</f>
        <v>-31.763937820680439</v>
      </c>
      <c r="V137">
        <f t="shared" si="10"/>
        <v>-415.73222266510129</v>
      </c>
    </row>
    <row r="138" spans="18:22">
      <c r="R138">
        <v>40.810821099999998</v>
      </c>
      <c r="S138">
        <v>-96.689156299999993</v>
      </c>
      <c r="U138">
        <f>$U$130*S138+$U$131</f>
        <v>-31.151218664832413</v>
      </c>
      <c r="V138">
        <f t="shared" si="10"/>
        <v>-404.0532193351537</v>
      </c>
    </row>
    <row r="139" spans="18:22">
      <c r="R139">
        <v>40.810901299999998</v>
      </c>
      <c r="S139">
        <v>-96.689129500000007</v>
      </c>
      <c r="U139">
        <f>$U$130*S139+$U$131</f>
        <v>-29.098609494045377</v>
      </c>
      <c r="V139">
        <f t="shared" si="10"/>
        <v>-395.66024382412434</v>
      </c>
    </row>
    <row r="140" spans="18:22">
      <c r="R140">
        <v>40.810935299999997</v>
      </c>
      <c r="S140">
        <v>-96.689111999999994</v>
      </c>
      <c r="U140">
        <f>$U$130*S140+$U$131</f>
        <v>-27.758286340162158</v>
      </c>
      <c r="V140">
        <f t="shared" si="10"/>
        <v>-392.10212452989072</v>
      </c>
    </row>
    <row r="141" spans="18:22">
      <c r="R141">
        <v>40.8109714</v>
      </c>
      <c r="S141">
        <v>-96.689065099999993</v>
      </c>
      <c r="U141">
        <f>$U$130*S141+$U$131</f>
        <v>-24.166220290586352</v>
      </c>
      <c r="V141">
        <f t="shared" si="10"/>
        <v>-388.32423904445022</v>
      </c>
    </row>
    <row r="142" spans="18:22">
      <c r="R142">
        <v>40.810997800000003</v>
      </c>
      <c r="S142">
        <v>-96.688996000000003</v>
      </c>
      <c r="U142">
        <f>$U$130*S142+$U$131</f>
        <v>-18.873858584091067</v>
      </c>
      <c r="V142">
        <f t="shared" si="10"/>
        <v>-385.5614640628919</v>
      </c>
    </row>
    <row r="143" spans="18:22">
      <c r="R143">
        <v>40.811018099999998</v>
      </c>
      <c r="S143">
        <v>-96.688941700000001</v>
      </c>
      <c r="U143">
        <f>$U$130*S143+$U$131</f>
        <v>-14.715027314610779</v>
      </c>
      <c r="V143">
        <f t="shared" si="10"/>
        <v>-383.43705754354596</v>
      </c>
    </row>
    <row r="144" spans="18:22">
      <c r="R144">
        <v>40.811034800000002</v>
      </c>
      <c r="S144">
        <v>-96.688892100000004</v>
      </c>
      <c r="U144">
        <f>$U$130*S144+$U$131</f>
        <v>-10.916168550029397</v>
      </c>
      <c r="V144">
        <f t="shared" si="10"/>
        <v>-381.68939306586981</v>
      </c>
    </row>
    <row r="145" spans="18:22">
      <c r="R145">
        <v>40.811051599999999</v>
      </c>
      <c r="S145">
        <v>-96.688799500000002</v>
      </c>
      <c r="U145">
        <f>$U$130*S145+$U$131</f>
        <v>-3.8239443236961961</v>
      </c>
      <c r="V145">
        <f t="shared" si="10"/>
        <v>-379.93126353342086</v>
      </c>
    </row>
    <row r="146" spans="18:22">
      <c r="R146">
        <v>40.811084000000001</v>
      </c>
      <c r="S146">
        <v>-96.688731099999998</v>
      </c>
      <c r="U146">
        <f>$U$130*S146+$U$131</f>
        <v>1.4148044576868415</v>
      </c>
      <c r="V146">
        <f t="shared" si="10"/>
        <v>-376.54058514628559</v>
      </c>
    </row>
    <row r="147" spans="18:22">
      <c r="R147">
        <v>40.811149999999998</v>
      </c>
      <c r="S147">
        <v>-96.688690899999997</v>
      </c>
      <c r="U147">
        <f>$U$130*S147+$U$131</f>
        <v>4.49371821526438</v>
      </c>
      <c r="V147">
        <f t="shared" si="10"/>
        <v>-369.63364769425243</v>
      </c>
    </row>
    <row r="148" spans="18:22">
      <c r="R148">
        <v>40.811249500000002</v>
      </c>
      <c r="S148">
        <v>-96.688685500000005</v>
      </c>
      <c r="U148">
        <f>$U$130*S148+$U$131</f>
        <v>4.9073036443442106</v>
      </c>
      <c r="V148">
        <f t="shared" si="10"/>
        <v>-359.22091623023152</v>
      </c>
    </row>
    <row r="149" spans="18:22">
      <c r="R149">
        <v>40.811295200000004</v>
      </c>
      <c r="S149">
        <v>-96.688648000000001</v>
      </c>
      <c r="U149">
        <f>$U$130*S149+$U$131</f>
        <v>7.7794246869161725</v>
      </c>
      <c r="V149">
        <f t="shared" si="10"/>
        <v>-354.43838529661298</v>
      </c>
    </row>
    <row r="150" spans="18:22">
      <c r="R150">
        <v>40.811365199999997</v>
      </c>
      <c r="S150">
        <v>-96.688583600000001</v>
      </c>
      <c r="U150">
        <f>$U$130*S150+$U$131</f>
        <v>12.711813889443874</v>
      </c>
      <c r="V150">
        <f t="shared" si="10"/>
        <v>-347.11284557450563</v>
      </c>
    </row>
    <row r="151" spans="18:22">
      <c r="R151">
        <v>40.811436299999997</v>
      </c>
      <c r="S151">
        <v>-96.688574200000005</v>
      </c>
      <c r="U151">
        <f>$U$130*S151+$U$131</f>
        <v>13.431758897379041</v>
      </c>
      <c r="V151">
        <f t="shared" si="10"/>
        <v>-339.67219022661448</v>
      </c>
    </row>
    <row r="152" spans="18:22">
      <c r="R152">
        <v>40.811520600000001</v>
      </c>
      <c r="S152">
        <v>-96.688608900000006</v>
      </c>
      <c r="U152">
        <f>$U$130*S152+$U$131</f>
        <v>10.774089559912682</v>
      </c>
      <c r="V152">
        <f t="shared" si="10"/>
        <v>-330.85014738887548</v>
      </c>
    </row>
    <row r="153" spans="18:22">
      <c r="R153">
        <v>40.811566300000003</v>
      </c>
      <c r="S153">
        <v>-96.688666600000005</v>
      </c>
      <c r="U153">
        <f>$U$130*S153+$U$131</f>
        <v>6.3548526493832469</v>
      </c>
      <c r="V153">
        <f t="shared" si="10"/>
        <v>-326.06761645525694</v>
      </c>
    </row>
    <row r="154" spans="18:22">
      <c r="R154">
        <v>40.811594700000001</v>
      </c>
      <c r="S154">
        <v>-96.688717499999996</v>
      </c>
      <c r="U154">
        <f>$U$130*S154+$U$131</f>
        <v>2.4564270228147507</v>
      </c>
      <c r="V154">
        <f t="shared" si="10"/>
        <v>-323.09554033912718</v>
      </c>
    </row>
    <row r="155" spans="18:22">
      <c r="R155">
        <v>40.811673900000002</v>
      </c>
      <c r="S155">
        <v>-96.688775199999995</v>
      </c>
      <c r="U155">
        <f>$U$130*S155+$U$131</f>
        <v>-1.962809887714684</v>
      </c>
      <c r="V155">
        <f t="shared" si="10"/>
        <v>-314.80721539538354</v>
      </c>
    </row>
    <row r="156" spans="18:22">
      <c r="R156">
        <v>40.811719500000002</v>
      </c>
      <c r="S156">
        <v>-96.688779199999999</v>
      </c>
      <c r="U156">
        <f>$U$130*S156+$U$131</f>
        <v>-2.2691694656386971</v>
      </c>
      <c r="V156">
        <f t="shared" si="10"/>
        <v>-310.03514951840043</v>
      </c>
    </row>
    <row r="157" spans="18:22">
      <c r="R157">
        <v>40.811813399999998</v>
      </c>
      <c r="S157">
        <v>-96.688735699999995</v>
      </c>
      <c r="U157">
        <f>$U$130*S157+$U$131</f>
        <v>1.0624909438192844</v>
      </c>
      <c r="V157">
        <f t="shared" si="10"/>
        <v>-300.20846123341471</v>
      </c>
    </row>
    <row r="158" spans="18:22">
      <c r="R158">
        <v>40.811899199999999</v>
      </c>
      <c r="S158">
        <v>-96.688716200000002</v>
      </c>
      <c r="U158">
        <f>$U$130*S158+$U$131</f>
        <v>2.5559938848018646</v>
      </c>
      <c r="V158">
        <f t="shared" si="10"/>
        <v>-291.22944254428148</v>
      </c>
    </row>
    <row r="159" spans="18:22">
      <c r="R159">
        <v>40.811943800000002</v>
      </c>
      <c r="S159">
        <v>-96.688692099999997</v>
      </c>
      <c r="U159">
        <f>$U$130*S159+$U$131</f>
        <v>4.401810341514647</v>
      </c>
      <c r="V159">
        <f t="shared" si="10"/>
        <v>-286.56202723458409</v>
      </c>
    </row>
    <row r="160" spans="18:22">
      <c r="R160">
        <v>40.811992600000004</v>
      </c>
      <c r="S160">
        <v>-96.688673300000005</v>
      </c>
      <c r="U160">
        <f>$U$130*S160+$U$131</f>
        <v>5.8417003564536572</v>
      </c>
      <c r="V160">
        <f t="shared" si="10"/>
        <v>-281.45507954154164</v>
      </c>
    </row>
    <row r="161" spans="18:22">
      <c r="R161">
        <v>40.812033200000002</v>
      </c>
      <c r="S161">
        <v>-96.688637099999994</v>
      </c>
      <c r="U161">
        <f>$U$130*S161+$U$131</f>
        <v>8.6142545370385051</v>
      </c>
      <c r="V161">
        <f t="shared" si="10"/>
        <v>-277.20626650284976</v>
      </c>
    </row>
    <row r="162" spans="18:22">
      <c r="R162">
        <v>40.812047399999997</v>
      </c>
      <c r="S162">
        <v>-96.688579399999995</v>
      </c>
      <c r="U162">
        <f>$U$130*S162+$U$131</f>
        <v>13.033491446636617</v>
      </c>
      <c r="V162">
        <f t="shared" si="10"/>
        <v>-275.72022844478488</v>
      </c>
    </row>
    <row r="163" spans="18:22">
      <c r="R163">
        <v>40.8120403</v>
      </c>
      <c r="S163">
        <v>-96.688498899999999</v>
      </c>
      <c r="U163">
        <f>$U$130*S163+$U$131</f>
        <v>19.198977950029075</v>
      </c>
      <c r="V163">
        <f t="shared" si="10"/>
        <v>-276.46324747335166</v>
      </c>
    </row>
    <row r="164" spans="18:22">
      <c r="R164">
        <v>40.812021000000001</v>
      </c>
      <c r="S164">
        <v>-96.688399700000005</v>
      </c>
      <c r="U164">
        <f>$U$130*S164+$U$131</f>
        <v>26.796695480123162</v>
      </c>
      <c r="V164">
        <f t="shared" si="10"/>
        <v>-278.48300342541188</v>
      </c>
    </row>
    <row r="165" spans="18:22">
      <c r="R165">
        <v>40.811991599999999</v>
      </c>
      <c r="S165">
        <v>-96.688331300000002</v>
      </c>
      <c r="U165">
        <f>$U$130*S165+$U$131</f>
        <v>32.0354442615062</v>
      </c>
      <c r="V165">
        <f t="shared" si="10"/>
        <v>-281.55973010975868</v>
      </c>
    </row>
    <row r="166" spans="18:22">
      <c r="R166">
        <v>40.811976299999998</v>
      </c>
      <c r="S166">
        <v>-96.688227999999995</v>
      </c>
      <c r="U166">
        <f>$U$130*S166+$U$131</f>
        <v>39.947180358693004</v>
      </c>
      <c r="V166">
        <f t="shared" si="10"/>
        <v>-283.16088379174471</v>
      </c>
    </row>
    <row r="167" spans="18:22">
      <c r="R167">
        <v>40.811964199999998</v>
      </c>
      <c r="S167">
        <v>-96.688142200000001</v>
      </c>
      <c r="U167">
        <f>$U$130*S167+$U$131</f>
        <v>46.518593302927911</v>
      </c>
      <c r="V167">
        <f t="shared" si="10"/>
        <v>-284.42715565860271</v>
      </c>
    </row>
    <row r="168" spans="18:22">
      <c r="R168">
        <v>40.811961099999998</v>
      </c>
      <c r="S168">
        <v>-96.688064400000002</v>
      </c>
      <c r="U168">
        <f>$U$130*S168+$U$131</f>
        <v>52.477287091314793</v>
      </c>
      <c r="V168">
        <f t="shared" si="10"/>
        <v>-284.75157241802663</v>
      </c>
    </row>
    <row r="169" spans="18:22">
      <c r="R169">
        <v>40.811956500000001</v>
      </c>
      <c r="S169">
        <v>-96.688014100000004</v>
      </c>
      <c r="U169">
        <f>$U$130*S169+$U$131</f>
        <v>56.329758782871068</v>
      </c>
      <c r="V169">
        <f t="shared" si="10"/>
        <v>-285.23296502791345</v>
      </c>
    </row>
  </sheetData>
  <hyperlinks>
    <hyperlink ref="A7" r:id="rId1" display="https://github.com/Frederic-jyrg/ouitoo/blob/main/info/union-plaza-ocad-4000-04-09-2021.png" xr:uid="{00000000-0004-0000-0000-000000000000}"/>
    <hyperlink ref="B15" r:id="rId2" xr:uid="{00000000-0004-0000-0000-000001000000}"/>
    <hyperlink ref="B4" r:id="rId3" location=":~:text=9%2D20%2D2019-,UNION%20PLAZA%3A,-name%20of%20the" xr:uid="{00000000-0004-0000-0000-000002000000}"/>
    <hyperlink ref="B13" r:id="rId4" xr:uid="{00000000-0004-0000-0000-000003000000}"/>
    <hyperlink ref="C69" r:id="rId5" xr:uid="{00000000-0004-0000-0000-000004000000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PUBLIC</cp:lastModifiedBy>
  <dcterms:created xsi:type="dcterms:W3CDTF">2024-12-19T17:34:37Z</dcterms:created>
  <dcterms:modified xsi:type="dcterms:W3CDTF">2025-01-02T19:50:50Z</dcterms:modified>
</cp:coreProperties>
</file>