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ericz\Desktop\UDACITY NANODEGREES\ACTIVATION &amp; RETENTION STRATEGY\"/>
    </mc:Choice>
  </mc:AlternateContent>
  <xr:revisionPtr revIDLastSave="0" documentId="13_ncr:1_{68DC6345-0867-46C1-A62B-D2C85F8E22B6}" xr6:coauthVersionLast="46" xr6:coauthVersionMax="46" xr10:uidLastSave="{00000000-0000-0000-0000-000000000000}"/>
  <bookViews>
    <workbookView xWindow="-108" yWindow="-108" windowWidth="23256" windowHeight="12576" firstSheet="6" activeTab="6" xr2:uid="{00000000-000D-0000-FFFF-FFFF00000000}"/>
  </bookViews>
  <sheets>
    <sheet name="Deliverables" sheetId="1" r:id="rId1"/>
    <sheet name="Tab 1 - Measure drop-offs" sheetId="2" r:id="rId2"/>
    <sheet name="Tab 2 - Signup Experiments" sheetId="3" r:id="rId3"/>
    <sheet name="Tab 3 - Activation Hypothesis" sheetId="4" r:id="rId4"/>
    <sheet name="Tab 4 - Habit Moment and Metric" sheetId="5" r:id="rId5"/>
    <sheet name="Tab 5 - Aha Moment and Metric A" sheetId="6" r:id="rId6"/>
    <sheet name="Tab 6 - Setup Moment and Metric" sheetId="7" r:id="rId7"/>
    <sheet name="Tab 7 - Activation Funnel" sheetId="8" r:id="rId8"/>
    <sheet name="Tab 8 - Segment Analys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 i="2" l="1"/>
  <c r="F29" i="2"/>
  <c r="F28" i="2"/>
  <c r="F27" i="2"/>
  <c r="F26" i="2"/>
  <c r="F25" i="2"/>
  <c r="F22" i="2"/>
  <c r="F24" i="2"/>
  <c r="F23" i="2"/>
  <c r="E28" i="2"/>
  <c r="E27" i="2"/>
  <c r="E26" i="2"/>
  <c r="E25" i="2"/>
  <c r="E24" i="2"/>
  <c r="E23" i="2"/>
  <c r="E22" i="2"/>
  <c r="D28" i="2"/>
  <c r="D27" i="2"/>
  <c r="D26" i="2"/>
  <c r="D25" i="2"/>
  <c r="D24" i="2"/>
  <c r="D23" i="2"/>
  <c r="D22" i="2"/>
  <c r="G32" i="2" l="1"/>
  <c r="H32" i="2"/>
  <c r="I84" i="9" l="1"/>
  <c r="I85" i="9"/>
  <c r="I86" i="9"/>
  <c r="I87" i="9"/>
  <c r="I88" i="9"/>
  <c r="I89" i="9"/>
  <c r="H84" i="9"/>
  <c r="H85" i="9"/>
  <c r="H86" i="9"/>
  <c r="H87" i="9"/>
  <c r="H88" i="9"/>
  <c r="H89" i="9"/>
  <c r="F84" i="9"/>
  <c r="F85" i="9"/>
  <c r="F86" i="9"/>
  <c r="F87" i="9"/>
  <c r="F88" i="9"/>
  <c r="F89" i="9"/>
  <c r="D84" i="9"/>
  <c r="D85" i="9"/>
  <c r="D86" i="9"/>
  <c r="D87" i="9"/>
  <c r="D88" i="9"/>
  <c r="D89" i="9"/>
  <c r="I63" i="9"/>
  <c r="I64" i="9"/>
  <c r="I65" i="9"/>
  <c r="I66" i="9"/>
  <c r="I67" i="9"/>
  <c r="I68" i="9"/>
  <c r="I69" i="9"/>
  <c r="I70" i="9"/>
  <c r="H63" i="9"/>
  <c r="H64" i="9"/>
  <c r="H65" i="9"/>
  <c r="H66" i="9"/>
  <c r="H67" i="9"/>
  <c r="H68" i="9"/>
  <c r="H69" i="9"/>
  <c r="H70" i="9"/>
  <c r="F63" i="9"/>
  <c r="F64" i="9"/>
  <c r="F65" i="9"/>
  <c r="F66" i="9"/>
  <c r="F67" i="9"/>
  <c r="F68" i="9"/>
  <c r="F69" i="9"/>
  <c r="F70" i="9"/>
  <c r="D63" i="9"/>
  <c r="D64" i="9"/>
  <c r="D65" i="9"/>
  <c r="D66" i="9"/>
  <c r="D67" i="9"/>
  <c r="D68" i="9"/>
  <c r="D69" i="9"/>
  <c r="D70" i="9"/>
  <c r="I41" i="9"/>
  <c r="I42" i="9"/>
  <c r="I43" i="9"/>
  <c r="I44" i="9"/>
  <c r="I45" i="9"/>
  <c r="I46" i="9"/>
  <c r="I47" i="9"/>
  <c r="I48" i="9"/>
  <c r="I49" i="9"/>
  <c r="H41" i="9"/>
  <c r="H42" i="9"/>
  <c r="H43" i="9"/>
  <c r="H44" i="9"/>
  <c r="H45" i="9"/>
  <c r="H46" i="9"/>
  <c r="H47" i="9"/>
  <c r="H48" i="9"/>
  <c r="H49" i="9"/>
  <c r="F41" i="9"/>
  <c r="F42" i="9"/>
  <c r="F43" i="9"/>
  <c r="F44" i="9"/>
  <c r="F45" i="9"/>
  <c r="F46" i="9"/>
  <c r="F47" i="9"/>
  <c r="F48" i="9"/>
  <c r="F49" i="9"/>
  <c r="D41" i="9"/>
  <c r="D42" i="9"/>
  <c r="D43" i="9"/>
  <c r="D44" i="9"/>
  <c r="D45" i="9"/>
  <c r="D46" i="9"/>
  <c r="D47" i="9"/>
  <c r="D48" i="9"/>
  <c r="D49" i="9"/>
  <c r="I27" i="9"/>
  <c r="I26" i="9"/>
  <c r="I25" i="9"/>
  <c r="I24" i="9"/>
  <c r="I23" i="9"/>
  <c r="I22" i="9"/>
  <c r="I21" i="9"/>
  <c r="I20" i="9"/>
  <c r="H27" i="9"/>
  <c r="H26" i="9"/>
  <c r="H25" i="9"/>
  <c r="H24" i="9"/>
  <c r="H23" i="9"/>
  <c r="H22" i="9"/>
  <c r="H21" i="9"/>
  <c r="H20" i="9"/>
  <c r="F27" i="9"/>
  <c r="F26" i="9"/>
  <c r="F25" i="9"/>
  <c r="F24" i="9"/>
  <c r="F23" i="9"/>
  <c r="F22" i="9"/>
  <c r="F21" i="9"/>
  <c r="F20" i="9"/>
  <c r="D27" i="9"/>
  <c r="D26" i="9"/>
  <c r="D25" i="9"/>
  <c r="D24" i="9"/>
  <c r="D23" i="9"/>
  <c r="D22" i="9"/>
  <c r="D21" i="9"/>
  <c r="D20" i="9"/>
  <c r="F46" i="7"/>
  <c r="F45" i="7"/>
  <c r="F44" i="7"/>
  <c r="F43" i="7"/>
  <c r="F42" i="7"/>
  <c r="F41" i="7"/>
  <c r="F40" i="7"/>
  <c r="F34" i="7"/>
  <c r="F33" i="7"/>
  <c r="F32" i="7"/>
  <c r="F31" i="7"/>
  <c r="F30" i="7"/>
  <c r="F29" i="7"/>
  <c r="F28" i="7"/>
  <c r="F22" i="7"/>
  <c r="F21" i="7"/>
  <c r="F20" i="7"/>
  <c r="F19" i="7"/>
  <c r="F18" i="7"/>
  <c r="F17" i="7"/>
  <c r="F47" i="6"/>
  <c r="F46" i="6"/>
  <c r="F45" i="6"/>
  <c r="F44" i="6"/>
  <c r="F43" i="6"/>
  <c r="F42" i="6"/>
  <c r="F41" i="6"/>
  <c r="F35" i="6"/>
  <c r="F34" i="6"/>
  <c r="F33" i="6"/>
  <c r="F32" i="6"/>
  <c r="F31" i="6"/>
  <c r="F30" i="6"/>
  <c r="F29" i="6"/>
  <c r="F23" i="6"/>
  <c r="F22" i="6"/>
  <c r="F21" i="6"/>
  <c r="F20" i="6"/>
  <c r="F19" i="6"/>
  <c r="F18" i="6"/>
  <c r="F48" i="5"/>
  <c r="F47" i="5"/>
  <c r="F46" i="5"/>
  <c r="F45" i="5"/>
  <c r="F44" i="5"/>
  <c r="F43" i="5"/>
  <c r="F42" i="5"/>
  <c r="F36" i="5"/>
  <c r="F35" i="5"/>
  <c r="F34" i="5"/>
  <c r="F33" i="5"/>
  <c r="F32" i="5"/>
  <c r="F31" i="5"/>
  <c r="F30" i="5"/>
  <c r="F24" i="5"/>
  <c r="F23" i="5"/>
  <c r="F22" i="5"/>
  <c r="F21" i="5"/>
  <c r="F20" i="5"/>
  <c r="F19" i="5"/>
  <c r="G89" i="9" l="1"/>
  <c r="E89" i="9"/>
  <c r="C89" i="9"/>
  <c r="B89" i="9"/>
  <c r="B83" i="9"/>
  <c r="G70" i="9"/>
  <c r="E70" i="9"/>
  <c r="C70" i="9"/>
  <c r="B70" i="9"/>
  <c r="B62" i="9"/>
  <c r="G49" i="9"/>
  <c r="E49" i="9"/>
  <c r="C49" i="9"/>
  <c r="B49" i="9"/>
  <c r="B40" i="9"/>
  <c r="G27" i="9"/>
  <c r="E27" i="9"/>
  <c r="C27" i="9"/>
  <c r="B26" i="9"/>
  <c r="B25" i="9"/>
  <c r="B24" i="9"/>
  <c r="B23" i="9"/>
  <c r="B22" i="9"/>
  <c r="B21" i="9"/>
  <c r="B18" i="9" s="1"/>
  <c r="B20" i="9"/>
  <c r="B19" i="9"/>
  <c r="B27" i="9" s="1"/>
  <c r="D19" i="8"/>
  <c r="D18" i="8"/>
  <c r="D17" i="8"/>
  <c r="D16" i="8"/>
  <c r="B16" i="8"/>
  <c r="A16" i="8"/>
  <c r="D15" i="8"/>
  <c r="D14" i="8"/>
  <c r="B14" i="8"/>
  <c r="A14" i="8"/>
  <c r="D13" i="8"/>
  <c r="D12" i="8"/>
  <c r="B12" i="8"/>
  <c r="A12" i="8"/>
  <c r="D11" i="8"/>
  <c r="D10" i="8"/>
  <c r="D9" i="8"/>
  <c r="D8" i="8"/>
  <c r="D7" i="8"/>
  <c r="D6" i="8"/>
  <c r="D5" i="8"/>
  <c r="D4" i="8"/>
  <c r="D3" i="8"/>
  <c r="D2" i="8"/>
  <c r="D46" i="7"/>
  <c r="B46" i="7"/>
  <c r="E46" i="7" s="1"/>
  <c r="D45" i="7"/>
  <c r="B45" i="7"/>
  <c r="E45" i="7" s="1"/>
  <c r="D44" i="7"/>
  <c r="B44" i="7"/>
  <c r="E44" i="7" s="1"/>
  <c r="D43" i="7"/>
  <c r="B43" i="7"/>
  <c r="E43" i="7" s="1"/>
  <c r="E42" i="7"/>
  <c r="D42" i="7"/>
  <c r="B42" i="7"/>
  <c r="E41" i="7"/>
  <c r="D41" i="7"/>
  <c r="B41" i="7"/>
  <c r="D40" i="7"/>
  <c r="C40" i="7"/>
  <c r="E40" i="7" s="1"/>
  <c r="B40" i="7"/>
  <c r="E34" i="7"/>
  <c r="E33" i="7"/>
  <c r="D33" i="7"/>
  <c r="C33" i="7"/>
  <c r="D32" i="7"/>
  <c r="C32" i="7"/>
  <c r="E32" i="7" s="1"/>
  <c r="D31" i="7"/>
  <c r="C31" i="7"/>
  <c r="E31" i="7" s="1"/>
  <c r="D30" i="7"/>
  <c r="C30" i="7"/>
  <c r="E30" i="7" s="1"/>
  <c r="D29" i="7"/>
  <c r="C29" i="7"/>
  <c r="B29" i="7"/>
  <c r="E29" i="7" s="1"/>
  <c r="E28" i="7"/>
  <c r="B28" i="7"/>
  <c r="D22" i="7"/>
  <c r="C22" i="7"/>
  <c r="B22" i="7"/>
  <c r="E22" i="7" s="1"/>
  <c r="D21" i="7"/>
  <c r="C21" i="7"/>
  <c r="E21" i="7" s="1"/>
  <c r="B21" i="7"/>
  <c r="D20" i="7"/>
  <c r="C20" i="7"/>
  <c r="B20" i="7"/>
  <c r="E20" i="7" s="1"/>
  <c r="D19" i="7"/>
  <c r="C19" i="7"/>
  <c r="E19" i="7" s="1"/>
  <c r="B19" i="7"/>
  <c r="D18" i="7"/>
  <c r="C18" i="7"/>
  <c r="B18" i="7"/>
  <c r="E18" i="7" s="1"/>
  <c r="D17" i="7"/>
  <c r="C17" i="7"/>
  <c r="E17" i="7" s="1"/>
  <c r="B17" i="7"/>
  <c r="D16" i="7"/>
  <c r="C16" i="7"/>
  <c r="B16" i="7"/>
  <c r="E16" i="7" s="1"/>
  <c r="D47" i="6"/>
  <c r="C47" i="6"/>
  <c r="E47" i="6" s="1"/>
  <c r="B47" i="6"/>
  <c r="D46" i="6"/>
  <c r="C46" i="6"/>
  <c r="B46" i="6"/>
  <c r="E46" i="6" s="1"/>
  <c r="D45" i="6"/>
  <c r="C45" i="6"/>
  <c r="E45" i="6" s="1"/>
  <c r="B45" i="6"/>
  <c r="D44" i="6"/>
  <c r="C44" i="6"/>
  <c r="B44" i="6"/>
  <c r="E44" i="6" s="1"/>
  <c r="D43" i="6"/>
  <c r="C43" i="6"/>
  <c r="E43" i="6" s="1"/>
  <c r="B43" i="6"/>
  <c r="D42" i="6"/>
  <c r="C42" i="6"/>
  <c r="B42" i="6"/>
  <c r="E42" i="6" s="1"/>
  <c r="D41" i="6"/>
  <c r="C41" i="6"/>
  <c r="E41" i="6" s="1"/>
  <c r="B41" i="6"/>
  <c r="D35" i="6"/>
  <c r="C35" i="6"/>
  <c r="B35" i="6"/>
  <c r="E35" i="6" s="1"/>
  <c r="D34" i="6"/>
  <c r="C34" i="6"/>
  <c r="E34" i="6" s="1"/>
  <c r="B34" i="6"/>
  <c r="D33" i="6"/>
  <c r="C33" i="6"/>
  <c r="B33" i="6"/>
  <c r="E33" i="6" s="1"/>
  <c r="D32" i="6"/>
  <c r="C32" i="6"/>
  <c r="E32" i="6" s="1"/>
  <c r="B32" i="6"/>
  <c r="D31" i="6"/>
  <c r="C31" i="6"/>
  <c r="B31" i="6"/>
  <c r="E31" i="6" s="1"/>
  <c r="D30" i="6"/>
  <c r="C30" i="6"/>
  <c r="E30" i="6" s="1"/>
  <c r="B30" i="6"/>
  <c r="B29" i="6"/>
  <c r="E29" i="6" s="1"/>
  <c r="E23" i="6"/>
  <c r="D23" i="6"/>
  <c r="E22" i="6"/>
  <c r="D22" i="6"/>
  <c r="E21" i="6"/>
  <c r="D21" i="6"/>
  <c r="E20" i="6"/>
  <c r="D20" i="6"/>
  <c r="B20" i="6"/>
  <c r="E19" i="6"/>
  <c r="D19" i="6"/>
  <c r="B19" i="6"/>
  <c r="E18" i="6"/>
  <c r="D18" i="6"/>
  <c r="B18" i="6"/>
  <c r="D17" i="6"/>
  <c r="C17" i="6"/>
  <c r="E17" i="6" s="1"/>
  <c r="B17" i="6"/>
  <c r="B48" i="5"/>
  <c r="E48" i="5" s="1"/>
  <c r="B47" i="5"/>
  <c r="E47" i="5" s="1"/>
  <c r="E46" i="5"/>
  <c r="B46" i="5"/>
  <c r="E45" i="5"/>
  <c r="B45" i="5"/>
  <c r="B44" i="5"/>
  <c r="E44" i="5" s="1"/>
  <c r="B43" i="5"/>
  <c r="E43" i="5" s="1"/>
  <c r="E42" i="5"/>
  <c r="B42" i="5"/>
  <c r="E36" i="5"/>
  <c r="D36" i="5"/>
  <c r="C36" i="5"/>
  <c r="B36" i="5"/>
  <c r="D35" i="5"/>
  <c r="C35" i="5"/>
  <c r="E35" i="5" s="1"/>
  <c r="B35" i="5"/>
  <c r="E34" i="5"/>
  <c r="D34" i="5"/>
  <c r="C34" i="5"/>
  <c r="B34" i="5"/>
  <c r="D33" i="5"/>
  <c r="C33" i="5"/>
  <c r="E33" i="5" s="1"/>
  <c r="B33" i="5"/>
  <c r="E32" i="5"/>
  <c r="D32" i="5"/>
  <c r="C32" i="5"/>
  <c r="B32" i="5"/>
  <c r="D31" i="5"/>
  <c r="C31" i="5"/>
  <c r="E31" i="5" s="1"/>
  <c r="B31" i="5"/>
  <c r="E30" i="5"/>
  <c r="D30" i="5"/>
  <c r="C30" i="5"/>
  <c r="B30" i="5"/>
  <c r="E24" i="5"/>
  <c r="E23" i="5"/>
  <c r="E22" i="5"/>
  <c r="B21" i="5"/>
  <c r="E21" i="5" s="1"/>
  <c r="E20" i="5"/>
  <c r="B20" i="5"/>
  <c r="E19" i="5"/>
  <c r="B19" i="5"/>
  <c r="D18" i="5"/>
  <c r="C18" i="5"/>
  <c r="B18" i="5"/>
  <c r="E18" i="5" s="1"/>
  <c r="A6" i="4"/>
  <c r="P19" i="3"/>
  <c r="C29" i="2"/>
  <c r="C30" i="2" s="1"/>
  <c r="D29" i="2" s="1"/>
  <c r="C28" i="2"/>
  <c r="C27" i="2"/>
  <c r="C26" i="2"/>
  <c r="C25" i="2"/>
  <c r="C24" i="2"/>
  <c r="C23" i="2"/>
  <c r="C22" i="2"/>
  <c r="C21" i="2"/>
  <c r="A4" i="1"/>
</calcChain>
</file>

<file path=xl/sharedStrings.xml><?xml version="1.0" encoding="utf-8"?>
<sst xmlns="http://schemas.openxmlformats.org/spreadsheetml/2006/main" count="659" uniqueCount="427">
  <si>
    <t>Activation Analysis</t>
  </si>
  <si>
    <r>
      <rPr>
        <b/>
        <sz val="10"/>
        <color theme="1"/>
        <rFont val="Arial"/>
      </rPr>
      <t>Instructions:</t>
    </r>
    <r>
      <rPr>
        <sz val="10"/>
        <color theme="1"/>
        <rFont val="Arial"/>
      </rPr>
      <t xml:space="preserve"> In Course 1, you learned how to acquire a customer. Now you have driven your prospect to the point of signup, this prospect is handed off from the Growth PM focused on acquisition to Growth PM focused on activation, YOU. </t>
    </r>
  </si>
  <si>
    <t xml:space="preserve">These tasks will help you understand how to decrease time-to-value and remove friction for users when signing up. After signing up, it's important to activate customers so they experience your value proposition as early as possible, so we must activate users quickly. 
</t>
  </si>
  <si>
    <t>Step 2: Complete Tabs 3 - 8 in order by signing up for Slack: https://slack.com/get-started. These tasks will help you understand how to apply activation theories to guide users from 1-stage to another (signup to engagement) in the Activation model and how to segment audiences and use levers to increase engagement. You are using two different companies (Slack and Productboard) in the project because it will allow you to apply the frameworks, theories, and methods in the classroom to multiple examples, seeing how a GPM at a large and a small scale company address signup flow and activation.</t>
  </si>
  <si>
    <t xml:space="preserve">These tasks will help you understand how to apply activation theories to guide users from 1-stage to another (signup to engagement) in the Activation flow, how to segment audiences and use levers to increase engagement. </t>
  </si>
  <si>
    <t>You are using two different companies (Slack and Productboard) in the project because it will allow you to apply the frameworks, theories, and methods in the classroom to multiple contexts. You will get a feeling for how a GPM at a large and a small scale company address signup flow and activation.</t>
  </si>
  <si>
    <r>
      <rPr>
        <b/>
        <sz val="10"/>
        <color theme="1"/>
        <rFont val="Arial"/>
      </rPr>
      <t>Note:</t>
    </r>
    <r>
      <rPr>
        <sz val="10"/>
        <color theme="1"/>
        <rFont val="Arial"/>
      </rPr>
      <t xml:space="preserve"> If you are unable to or have not used Slack before, imagine a product that is the equivalent to SMS, Messenger, or Whatsapp, but for business use-case. Think of the tools mentioned above as an equivalent if you are unable to think of the moments for Slack.</t>
    </r>
  </si>
  <si>
    <t>Mark a task completed on Column B after completing each Tab. To help you keep track of what you have completed.</t>
  </si>
  <si>
    <t>Tab</t>
  </si>
  <si>
    <t>Completed?</t>
  </si>
  <si>
    <t>Tasks</t>
  </si>
  <si>
    <t>Signup Flow</t>
  </si>
  <si>
    <t>Measure drop-offs</t>
  </si>
  <si>
    <t>Signup Experiments</t>
  </si>
  <si>
    <t>Understand Product</t>
  </si>
  <si>
    <t>Activation Hypothesis</t>
  </si>
  <si>
    <t>Funnel Analysis</t>
  </si>
  <si>
    <t>Habit Moment and Metric Analysis</t>
  </si>
  <si>
    <t>Aha Moment and Metric Analysis</t>
  </si>
  <si>
    <t>Setup Moment and Metric Analysis</t>
  </si>
  <si>
    <t>Activation Funnel</t>
  </si>
  <si>
    <t>Activation by Segment</t>
  </si>
  <si>
    <t>Segment Analysis</t>
  </si>
  <si>
    <r>
      <rPr>
        <b/>
        <sz val="10"/>
        <color theme="1"/>
        <rFont val="Arial"/>
      </rPr>
      <t xml:space="preserve">Scenario: </t>
    </r>
    <r>
      <rPr>
        <sz val="10"/>
        <color theme="1"/>
        <rFont val="Arial"/>
      </rPr>
      <t xml:space="preserve">You have been brought onto a project at Productboard to help the company optimize the signup flow. 
 </t>
    </r>
  </si>
  <si>
    <t>Your task is to analyze each step in the sign up flow that a user would go through.</t>
  </si>
  <si>
    <t>Qualitatively, understand what each step is asking and if it creates any bad friction.</t>
  </si>
  <si>
    <t>Quantitatively, measure the amount of input (click and fields) it takes for the user to complete each step and what the drop-off rates are.</t>
  </si>
  <si>
    <t>Once you understand the existing flow, suggest experiments to reduce drop-offs %. Doing so, you will increase the amount of leads to the top of the funnel.</t>
  </si>
  <si>
    <r>
      <rPr>
        <b/>
        <sz val="10"/>
        <color theme="1"/>
        <rFont val="Arial"/>
      </rPr>
      <t xml:space="preserve">Skill: </t>
    </r>
    <r>
      <rPr>
        <sz val="10"/>
        <color theme="1"/>
        <rFont val="Arial"/>
      </rPr>
      <t>You should:
(1) Calculate drop-offs at each step of sign up flow
(2) Analyze how to reduce drop-offs (increase the signup completion rate) in the flow
(3) Think on how to get users through the activation funnel
(4) Create experiments using the [ACTION], [OUTCOME], and [THEORY] framework.</t>
    </r>
  </si>
  <si>
    <r>
      <rPr>
        <b/>
        <sz val="10"/>
        <color theme="1"/>
        <rFont val="Arial"/>
      </rPr>
      <t xml:space="preserve">Instructions: </t>
    </r>
    <r>
      <rPr>
        <sz val="10"/>
        <color theme="1"/>
        <rFont val="Arial"/>
      </rPr>
      <t xml:space="preserve">Sign Up for the free trial of productboard (https://app.productboard.com/register) to complete in-order, a row-at-a-time, the 9 sign-up steps in Column A. Each screen in the sign up on productboard will equal a row in this sheet. Pause at each screen on signup to complete the analysis on each row in this sheet by filling in the questions in the columns for that step before continuing with your sign up on productboard. Along the way, address the questions and calculations in Row 20 to explain your understanding of friction in each step and suggest experiments to address any frictions. Complete the task 1-row at a time from Row 22 - 29. </t>
    </r>
  </si>
  <si>
    <r>
      <rPr>
        <b/>
        <sz val="10"/>
        <color theme="1"/>
        <rFont val="Arial"/>
      </rPr>
      <t xml:space="preserve">1. </t>
    </r>
    <r>
      <rPr>
        <sz val="10"/>
        <color theme="1"/>
        <rFont val="Arial"/>
      </rPr>
      <t>Take the Click Through # and calculate the fields on Column D, E, and F.</t>
    </r>
  </si>
  <si>
    <r>
      <rPr>
        <b/>
        <sz val="10"/>
        <color theme="1"/>
        <rFont val="Arial"/>
      </rPr>
      <t xml:space="preserve">2. </t>
    </r>
    <r>
      <rPr>
        <sz val="10"/>
        <color theme="1"/>
        <rFont val="Arial"/>
      </rPr>
      <t>Fill in the # of clicks and fields in Column G and H as you go through each step of the sign up flow.</t>
    </r>
  </si>
  <si>
    <t>3. In Column M and N, take the CTA directly from the sign-up flow and document the CTA and an explanation of the information that is being asked</t>
  </si>
  <si>
    <r>
      <rPr>
        <b/>
        <sz val="10"/>
        <color theme="1"/>
        <rFont val="Arial"/>
      </rPr>
      <t xml:space="preserve">4. </t>
    </r>
    <r>
      <rPr>
        <sz val="10"/>
        <color theme="1"/>
        <rFont val="Arial"/>
      </rPr>
      <t>In Column O explain your understanding of the value extracted from the information collected.</t>
    </r>
  </si>
  <si>
    <r>
      <rPr>
        <b/>
        <sz val="10"/>
        <color theme="1"/>
        <rFont val="Arial"/>
      </rPr>
      <t xml:space="preserve">5. </t>
    </r>
    <r>
      <rPr>
        <sz val="10"/>
        <color theme="1"/>
        <rFont val="Arial"/>
      </rPr>
      <t>In Column P, Q, and R, reply with a binary yes/no; If no, then explain your reasoning.</t>
    </r>
  </si>
  <si>
    <r>
      <rPr>
        <b/>
        <sz val="10"/>
        <color theme="1"/>
        <rFont val="Arial"/>
      </rPr>
      <t xml:space="preserve">6. </t>
    </r>
    <r>
      <rPr>
        <sz val="10"/>
        <color theme="1"/>
        <rFont val="Arial"/>
      </rPr>
      <t>Demonstrate your understanding of good and bad friction in Columns S to V by applying the concept of friction to this specific sign up flow.</t>
    </r>
  </si>
  <si>
    <r>
      <rPr>
        <b/>
        <sz val="10"/>
        <color theme="1"/>
        <rFont val="Arial"/>
      </rPr>
      <t xml:space="preserve">7. </t>
    </r>
    <r>
      <rPr>
        <sz val="10"/>
        <color theme="1"/>
        <rFont val="Arial"/>
      </rPr>
      <t xml:space="preserve">In Column W, create a experiment brief using the [ACTION], [OUTCOME], and [THEORY] framework. </t>
    </r>
  </si>
  <si>
    <t>Cells in Orange have been completed for you as an example. The formulas have been removed.</t>
  </si>
  <si>
    <t>A</t>
  </si>
  <si>
    <t>B</t>
  </si>
  <si>
    <t xml:space="preserve">C </t>
  </si>
  <si>
    <t>D</t>
  </si>
  <si>
    <t>E</t>
  </si>
  <si>
    <t>F</t>
  </si>
  <si>
    <t>G</t>
  </si>
  <si>
    <t xml:space="preserve">H </t>
  </si>
  <si>
    <t>I</t>
  </si>
  <si>
    <t>J</t>
  </si>
  <si>
    <t>K</t>
  </si>
  <si>
    <t>L</t>
  </si>
  <si>
    <t>M</t>
  </si>
  <si>
    <t>N</t>
  </si>
  <si>
    <t>O</t>
  </si>
  <si>
    <t>P</t>
  </si>
  <si>
    <t>Q</t>
  </si>
  <si>
    <t>R</t>
  </si>
  <si>
    <t>S</t>
  </si>
  <si>
    <t>T</t>
  </si>
  <si>
    <t>U</t>
  </si>
  <si>
    <t>V</t>
  </si>
  <si>
    <t>W</t>
  </si>
  <si>
    <t>Step</t>
  </si>
  <si>
    <t>Name</t>
  </si>
  <si>
    <t>Click-through #</t>
  </si>
  <si>
    <t>Click-through %</t>
  </si>
  <si>
    <t>Drop-off % at each step</t>
  </si>
  <si>
    <r>
      <rPr>
        <b/>
        <sz val="10"/>
        <color theme="1"/>
        <rFont val="Arial"/>
      </rPr>
      <t xml:space="preserve">Drop-off % through funnel </t>
    </r>
    <r>
      <rPr>
        <sz val="10"/>
        <color theme="1"/>
        <rFont val="Arial"/>
      </rPr>
      <t>(starting signup)</t>
    </r>
  </si>
  <si>
    <r>
      <rPr>
        <b/>
        <sz val="10"/>
        <color theme="1"/>
        <rFont val="Arial"/>
      </rPr>
      <t>How many total clicks to get to next step?</t>
    </r>
    <r>
      <rPr>
        <sz val="10"/>
        <color theme="1"/>
        <rFont val="Arial"/>
      </rPr>
      <t xml:space="preserve"> (including optional fields)</t>
    </r>
  </si>
  <si>
    <r>
      <rPr>
        <b/>
        <sz val="10"/>
        <color theme="1"/>
        <rFont val="Arial"/>
      </rPr>
      <t xml:space="preserve">How many fields to fill out? </t>
    </r>
    <r>
      <rPr>
        <sz val="10"/>
        <color theme="1"/>
        <rFont val="Arial"/>
      </rPr>
      <t>(including optional fields)</t>
    </r>
  </si>
  <si>
    <t>Observations (Personal Notes)</t>
  </si>
  <si>
    <t>What is the Call-To-Action (CTA)?</t>
  </si>
  <si>
    <t>What information is being asked on this step?</t>
  </si>
  <si>
    <t>What do you think this information is used for?</t>
  </si>
  <si>
    <t>Is the action clear? (If not, explain)</t>
  </si>
  <si>
    <t>Do you think this step is located in the correct (most natural) order of the flow? (If not, explain)</t>
  </si>
  <si>
    <t>Is this step necessary? (If not, explain)</t>
  </si>
  <si>
    <t>Is this good friction or bad friction?</t>
  </si>
  <si>
    <t>If bad friction, how can it be addressed?</t>
  </si>
  <si>
    <t>Why might you not want to remove this bad friction?</t>
  </si>
  <si>
    <t>Can the amount of clicks be reduced? If so, how?</t>
  </si>
  <si>
    <t>Experiment Brief</t>
  </si>
  <si>
    <t>Home Page</t>
  </si>
  <si>
    <t>0%%</t>
  </si>
  <si>
    <t>Just a simple home page with 2 call-to-actions (CTAs) above the fold.</t>
  </si>
  <si>
    <t>[Try Now] and [TRY NOW]</t>
  </si>
  <si>
    <t>To start the free trial by clicking the CTA</t>
  </si>
  <si>
    <t>To start the free trial</t>
  </si>
  <si>
    <t>Yes</t>
  </si>
  <si>
    <t>Good</t>
  </si>
  <si>
    <t>[ACTION] If we run an a/b experiment by changing the copy from "try now" to "start free trial", or "start 14-day trial" [OUTCOME] we can evaluate if there is more click-throughs to the sign-up page [Theory] because the copy will better present that the trial is offered for free, is for 14-days, and does not require a credit card.</t>
  </si>
  <si>
    <t>Free Trial Sign Up</t>
  </si>
  <si>
    <t>Verification Email</t>
  </si>
  <si>
    <t>Activate account in email</t>
  </si>
  <si>
    <t>Submit personal info</t>
  </si>
  <si>
    <t>Name your workspace</t>
  </si>
  <si>
    <t>Invite Team</t>
  </si>
  <si>
    <t>Password</t>
  </si>
  <si>
    <t>Survey</t>
  </si>
  <si>
    <t>User in-product</t>
  </si>
  <si>
    <t>Average</t>
  </si>
  <si>
    <t>Sum</t>
  </si>
  <si>
    <r>
      <rPr>
        <b/>
        <sz val="10"/>
        <color theme="1"/>
        <rFont val="Arial"/>
      </rPr>
      <t>Scenario:</t>
    </r>
    <r>
      <rPr>
        <sz val="10"/>
        <color theme="1"/>
        <rFont val="Arial"/>
      </rPr>
      <t xml:space="preserve"> The director of PM at Productboard has looked at your analysis of experiments in Tab 1 and wants to better understand how you will implement these experiments, your hypothesis on the impacts, how you will prioritize them, and how you will measure success. Not every experiment needs to be expanded on, so he asks to choose your top 5.</t>
    </r>
  </si>
  <si>
    <r>
      <rPr>
        <b/>
        <sz val="10"/>
        <color theme="1"/>
        <rFont val="Arial"/>
      </rPr>
      <t xml:space="preserve">Skill: </t>
    </r>
    <r>
      <rPr>
        <sz val="10"/>
        <color theme="1"/>
        <rFont val="Arial"/>
      </rPr>
      <t>You will implement the ICE framework to prioritize your experiments by giving them a growth score. Note: Further analysis and input from engineering and design does occur in the wild, which is removed from the scope of this exercise.</t>
    </r>
  </si>
  <si>
    <r>
      <rPr>
        <b/>
        <sz val="10"/>
        <color theme="1"/>
        <rFont val="Arial"/>
      </rPr>
      <t xml:space="preserve">Instructions: </t>
    </r>
    <r>
      <rPr>
        <sz val="10"/>
        <color theme="1"/>
        <rFont val="Arial"/>
      </rPr>
      <t>Complete the task with 1 row (experiment) at a time.</t>
    </r>
  </si>
  <si>
    <t xml:space="preserve">1. Use 5 experiments from Tab 1 - Column W and place them into Tab 2 - Column B. </t>
  </si>
  <si>
    <t>2. In column D, elaborate on what is being tested</t>
  </si>
  <si>
    <t>3. In column E, provide a qualitative and quantitative hypothesis of what will happen</t>
  </si>
  <si>
    <t>4. In column F, describe the rationale of why you chose this experiment from any social proof, previous experience, or from any research.</t>
  </si>
  <si>
    <t>5 In column G, provide a list of stakeholders who would need to be involved to release this experiment and why</t>
  </si>
  <si>
    <t>6. In column H, document what more information is needed for you to execute on this experiment and document what assumptions you are making</t>
  </si>
  <si>
    <t>7. In column I, provide a list of metrics that need to be measured in this experiment that would verify if the experiment failed or passed</t>
  </si>
  <si>
    <t>8. In column J, provide a time-frame the experiment should be run for</t>
  </si>
  <si>
    <t>9 In column K, provide a % of users you would want to experiment with</t>
  </si>
  <si>
    <t>10. In column M - P, apply the ICE framework to your experiments</t>
  </si>
  <si>
    <t xml:space="preserve">B </t>
  </si>
  <si>
    <t>C</t>
  </si>
  <si>
    <r>
      <rPr>
        <b/>
        <sz val="10"/>
        <color theme="1"/>
        <rFont val="Arial"/>
      </rPr>
      <t xml:space="preserve">Experiment Brief </t>
    </r>
    <r>
      <rPr>
        <b/>
        <sz val="10"/>
        <color theme="1"/>
        <rFont val="Arial"/>
      </rPr>
      <t>(from Tab 1)</t>
    </r>
  </si>
  <si>
    <t>Which Step of Funnel (name and #) does this experiment impact?</t>
  </si>
  <si>
    <t>Describe what in the experiment is being tested?</t>
  </si>
  <si>
    <t>Hypothesis (What do you think will happen qualitatively and quantitatively?)</t>
  </si>
  <si>
    <t>Rationale (Why do you want to try this experiment?)</t>
  </si>
  <si>
    <t>Stakeholders (What other titles in the company needs to be involved? and why?)</t>
  </si>
  <si>
    <t>What more info do you need to decide this is an experiment you want to run? What assumptions are we making?</t>
  </si>
  <si>
    <t>What metrics should be measured?</t>
  </si>
  <si>
    <t>Length of time to run the experiment?</t>
  </si>
  <si>
    <t>What % of sign up users would you want to experiment with?</t>
  </si>
  <si>
    <t>What Friction is being removed?</t>
  </si>
  <si>
    <t>ICE - Impact? (be quantitative)</t>
  </si>
  <si>
    <t>ICE- Confidence</t>
  </si>
  <si>
    <t>ICE- Ease</t>
  </si>
  <si>
    <t>ICE - Growth Score</t>
  </si>
  <si>
    <t>[ACTION] we can remove the top 50% of the step (role, team size, team use) [OUTCOME] so that we can inc the step completion rate from 92% [THEORY] because we would be decreasing 67% of the clicks on this step.</t>
  </si>
  <si>
    <t>9 - survey</t>
  </si>
  <si>
    <t>We would remove the top portion of this step and only include the button. The screen would then only ask the user for bottom step that starts with "what are you hoping productboard will help you do?" The other steps we removed, we can look into tools like Clearbit that will help us collect the same data.</t>
  </si>
  <si>
    <t>We would remove 67% of the clicks and 4 fields from this step. At the moment the conversion on this step is 92%, but I think we can inc it to 95% as a result of this step.</t>
  </si>
  <si>
    <t>We are asking for too many fields at this step and the user is likely exhausted from going through 9 steps. We need to trim the sign up process to only the bare minimum items we need to get the user to the time-to-value as fast as possible.</t>
  </si>
  <si>
    <t>Sales team to determine how they use the survey data. Marketing team to determine how they use the survey data. Design team to create mockups of the new last step. Engineering team to unmap those fields and remove them from the back end, while keeping historical data.</t>
  </si>
  <si>
    <t>How sales uses this data? Is this data used for marketing engagement and onboarding?</t>
  </si>
  <si>
    <t xml:space="preserve">Higher step 9 conversions and higher total conversions of the funnel. </t>
  </si>
  <si>
    <t>2-weeks</t>
  </si>
  <si>
    <t>Collecting additional data that can be obtained for 3rd party resources. Asking for too much data</t>
  </si>
  <si>
    <r>
      <rPr>
        <b/>
        <sz val="10"/>
        <color theme="1"/>
        <rFont val="Arial"/>
      </rPr>
      <t xml:space="preserve">Scenario: </t>
    </r>
    <r>
      <rPr>
        <sz val="10"/>
        <color theme="1"/>
        <rFont val="Arial"/>
      </rPr>
      <t>After doing such an amazing job for Productboard with signup, you have now been brought onto a project at Slack. Slack's revenues have been decreasing by 5% and leadership believes it's an activation problem due to not understanding what we should be guiding our users to-do in our product when the user is signing up.</t>
    </r>
  </si>
  <si>
    <t>You've been tasked to define a more robust activation funnel to achieve shorter time-to-value, product usage, and revenue. You will 
(1) be able to tell Marketing and the Growth PM focusing on acquisition which segment of our users are performing these actions best and 
(2) determine what moments and metrics we should be driving our users towards. NOTE: The rest of the project relates entirely to Slack or a realtime messaging service like Slack.</t>
  </si>
  <si>
    <r>
      <rPr>
        <sz val="10"/>
        <color rgb="FF000000"/>
        <rFont val="Arial"/>
      </rPr>
      <t xml:space="preserve">You will 
(1) be able to tell Marketing and Growth PM focusing on acquisition which segment of our users are performing these actions best
(2) determine what moments and metrics we should be driving our users towards. 
</t>
    </r>
    <r>
      <rPr>
        <b/>
        <sz val="10"/>
        <color rgb="FF000000"/>
        <rFont val="Arial"/>
      </rPr>
      <t>NOTE</t>
    </r>
    <r>
      <rPr>
        <sz val="10"/>
        <color rgb="FF000000"/>
        <rFont val="Arial"/>
      </rPr>
      <t>: The rest of the project relates entirely to Slack or a realtime messaging service like Slack.</t>
    </r>
  </si>
  <si>
    <r>
      <rPr>
        <b/>
        <sz val="10"/>
        <color theme="1"/>
        <rFont val="Arial"/>
      </rPr>
      <t xml:space="preserve">Skill: </t>
    </r>
    <r>
      <rPr>
        <sz val="10"/>
        <color theme="1"/>
        <rFont val="Arial"/>
      </rPr>
      <t xml:space="preserve">Before doing any analysis, you want to start off with a hypothesis. Before you quantitatively measure the activation funnel, define your understanding of the product by creating a hypothesis of what the Habit, Aha, and Setup moments are for Slack. </t>
    </r>
  </si>
  <si>
    <t xml:space="preserve">After signing up for Slack, determine what actions in the product and marketing messages the user is driven to. From the actions you are driven to as a new user, determine which actions are leading you to an aha moment to see value of the product or setup moment that are leading you to properly setup your account. </t>
  </si>
  <si>
    <t xml:space="preserve">An example of an Setup Moment is that they market themselves as a replacement of Email on their marketing website, so when you start using the product, they likely get you to take action via Slack what you would normally do via email. </t>
  </si>
  <si>
    <t>An example of Aha Moment is that they get you to engage with the Slackbot or your college, so you can engaging with others, weather that is a human, bots, or other 3rd party services to see value of the tool.</t>
  </si>
  <si>
    <t>Create a hypothesis of what the habit, aha, and setup moments should be for Slack. (Note: this is only for data-dump and for critical thinking.)</t>
  </si>
  <si>
    <t>The answers here are hypothesis based on your experience of starting to use Slack. In addition to creating a new account on Slack, browse through their features page to spark ideas of potential aha moments: https://slack.com/features.</t>
  </si>
  <si>
    <r>
      <rPr>
        <sz val="10"/>
        <color theme="1"/>
        <rFont val="Arial"/>
      </rPr>
      <t xml:space="preserve">1. List 4 in-product moments you think that if done often would lead a </t>
    </r>
    <r>
      <rPr>
        <b/>
        <sz val="10"/>
        <color rgb="FF4285F4"/>
        <rFont val="Arial"/>
      </rPr>
      <t>Slack</t>
    </r>
    <r>
      <rPr>
        <sz val="10"/>
        <color theme="1"/>
        <rFont val="Arial"/>
      </rPr>
      <t xml:space="preserve"> user to build a habit in Row 18-21</t>
    </r>
  </si>
  <si>
    <r>
      <rPr>
        <sz val="10"/>
        <color theme="1"/>
        <rFont val="Arial"/>
      </rPr>
      <t xml:space="preserve">2. List 4 aha moments in-product that you think if reached, seen, or experienced would get a user to understand the value provided by </t>
    </r>
    <r>
      <rPr>
        <b/>
        <sz val="10"/>
        <color rgb="FF4285F4"/>
        <rFont val="Arial"/>
      </rPr>
      <t>Slack</t>
    </r>
    <r>
      <rPr>
        <sz val="10"/>
        <color theme="1"/>
        <rFont val="Arial"/>
      </rPr>
      <t xml:space="preserve"> in Row 15-19</t>
    </r>
  </si>
  <si>
    <r>
      <rPr>
        <sz val="10"/>
        <color theme="1"/>
        <rFont val="Arial"/>
      </rPr>
      <t xml:space="preserve">2. List 4 aha moments in-product that you think if reached, seen, or experienced would get a user to understand the value provided by </t>
    </r>
    <r>
      <rPr>
        <b/>
        <sz val="10"/>
        <color rgb="FF4285F4"/>
        <rFont val="Arial"/>
      </rPr>
      <t>Slack</t>
    </r>
    <r>
      <rPr>
        <sz val="10"/>
        <color theme="1"/>
        <rFont val="Arial"/>
      </rPr>
      <t xml:space="preserve"> in Row 31-34.</t>
    </r>
  </si>
  <si>
    <t>Moment that lead to Habit:</t>
  </si>
  <si>
    <t>Only use Slack, not email, for internal messages</t>
  </si>
  <si>
    <t>Moment that lead to Aha:</t>
  </si>
  <si>
    <t>Getting notifications from team on a group channel</t>
  </si>
  <si>
    <t>Moment that lead to Setup:</t>
  </si>
  <si>
    <t>Engage in a frequency faster than email while being mobile</t>
  </si>
  <si>
    <r>
      <rPr>
        <b/>
        <sz val="10"/>
        <color theme="1"/>
        <rFont val="Arial"/>
      </rPr>
      <t xml:space="preserve">Scenario: </t>
    </r>
    <r>
      <rPr>
        <sz val="10"/>
        <color theme="1"/>
        <rFont val="Arial"/>
      </rPr>
      <t xml:space="preserve">The VP of Product took your team's hypothesis and narrowed down them down to 3 moments and 3 metrics each fro Habit, Aha, and Setup analysis. The ones provided could include your hypothesis from Tab 3, but if they do not, that does not mean yours hypothesis is not valid. With the VP's experience, he is simply able to narrow down the list for us. </t>
    </r>
  </si>
  <si>
    <r>
      <rPr>
        <sz val="10"/>
        <color rgb="FF000000"/>
        <rFont val="Arial"/>
      </rPr>
      <t>You need to conduct an analysis on what habit moments and metrics drive users to long-term activation.</t>
    </r>
    <r>
      <rPr>
        <b/>
        <sz val="10"/>
        <color rgb="FF000000"/>
        <rFont val="Arial"/>
      </rPr>
      <t xml:space="preserve"> 
Remember: </t>
    </r>
    <r>
      <rPr>
        <sz val="10"/>
        <color rgb="FF000000"/>
        <rFont val="Arial"/>
      </rPr>
      <t xml:space="preserve">Long-term activation would be defined by the metric with the highest % overlap curve. </t>
    </r>
  </si>
  <si>
    <r>
      <rPr>
        <sz val="10"/>
        <color rgb="FF000000"/>
        <rFont val="Arial"/>
      </rPr>
      <t>The habit, aha, and setup moments will be shared across</t>
    </r>
    <r>
      <rPr>
        <b/>
        <sz val="10"/>
        <color rgb="FF000000"/>
        <rFont val="Arial"/>
      </rPr>
      <t xml:space="preserve"> next three tabs one for each moment</t>
    </r>
    <r>
      <rPr>
        <sz val="10"/>
        <color rgb="FF000000"/>
        <rFont val="Arial"/>
      </rPr>
      <t>. 
In this tab, you will analyze just habit moments/metrics and determine whether each of these 3 habit moments affect activation. This is important to know because then we can tailor our product to include the features that allow our users to achieve activation faster. 3 Habit Moments and 3 Habit Metrics are pre-selected for you along with users who completed actions and retained for each of the 3 moments.</t>
    </r>
  </si>
  <si>
    <t>Habit 1 analysis is on row 18-20, habit 2 analysis is on row 30-36, and habit 3 analysis is on row 42-48.</t>
  </si>
  <si>
    <r>
      <rPr>
        <b/>
        <sz val="10"/>
        <color theme="1"/>
        <rFont val="Arial"/>
      </rPr>
      <t xml:space="preserve">Skills: 
</t>
    </r>
    <r>
      <rPr>
        <sz val="10"/>
        <color theme="1"/>
        <rFont val="Arial"/>
      </rPr>
      <t>(1) calculate % overlap to measure the relationship of % overlap to habit metric
(2) create line charts to visualize the relationship of the metric
(3) analyze which are the primary habit moments and metric that lead to long-term activation.</t>
    </r>
  </si>
  <si>
    <r>
      <rPr>
        <b/>
        <sz val="10"/>
        <color theme="1"/>
        <rFont val="Arial"/>
      </rPr>
      <t xml:space="preserve">Instructions: </t>
    </r>
    <r>
      <rPr>
        <sz val="10"/>
        <color theme="1"/>
        <rFont val="Arial"/>
      </rPr>
      <t>Place any notes, thoughts, comments in the "Observations (Personal Notes)" box in column M -O for yourself as you may want them in the future</t>
    </r>
  </si>
  <si>
    <r>
      <rPr>
        <b/>
        <sz val="10"/>
        <color theme="1"/>
        <rFont val="Arial"/>
      </rPr>
      <t xml:space="preserve">1. </t>
    </r>
    <r>
      <rPr>
        <sz val="10"/>
        <color theme="1"/>
        <rFont val="Arial"/>
      </rPr>
      <t xml:space="preserve">Calculate the % overlap for each moment in Column F, </t>
    </r>
  </si>
  <si>
    <r>
      <rPr>
        <b/>
        <sz val="10"/>
        <color theme="1"/>
        <rFont val="Arial"/>
      </rPr>
      <t xml:space="preserve">2. </t>
    </r>
    <r>
      <rPr>
        <sz val="10"/>
        <color theme="1"/>
        <rFont val="Arial"/>
      </rPr>
      <t xml:space="preserve">Create a line-graph for each moment in Column H-K to visualize the % Overlap from Column F vs Habit Metric from column A, </t>
    </r>
  </si>
  <si>
    <r>
      <rPr>
        <b/>
        <sz val="10"/>
        <color theme="1"/>
        <rFont val="Arial"/>
      </rPr>
      <t xml:space="preserve">3. </t>
    </r>
    <r>
      <rPr>
        <sz val="10"/>
        <color theme="1"/>
        <rFont val="Arial"/>
      </rPr>
      <t>Analyze the data for each moment to determine if based on your analysis, this moment leads to long-term activation or not, and share your reasoning in Column Q - S</t>
    </r>
  </si>
  <si>
    <r>
      <rPr>
        <b/>
        <sz val="10"/>
        <color theme="1"/>
        <rFont val="Arial"/>
      </rPr>
      <t xml:space="preserve">4. </t>
    </r>
    <r>
      <rPr>
        <sz val="10"/>
        <color theme="1"/>
        <rFont val="Arial"/>
      </rPr>
      <t>Once Steps 1 - 3 are completed, determine which of the 3 options would the Primary Habit Moment and Metric and explain why in the 2 boxes on the bottom right of this Tab in Row  51.</t>
    </r>
  </si>
  <si>
    <r>
      <rPr>
        <b/>
        <sz val="10"/>
        <color theme="1"/>
        <rFont val="Arial"/>
      </rPr>
      <t xml:space="preserve">Habit Moment 1: </t>
    </r>
    <r>
      <rPr>
        <sz val="10"/>
        <color theme="1"/>
        <rFont val="Arial"/>
      </rPr>
      <t xml:space="preserve">look for a communication tool outside of email to engage with teammates   </t>
    </r>
    <r>
      <rPr>
        <b/>
        <sz val="10"/>
        <color theme="1"/>
        <rFont val="Arial"/>
      </rPr>
      <t xml:space="preserve">                                     </t>
    </r>
  </si>
  <si>
    <r>
      <rPr>
        <b/>
        <sz val="10"/>
        <color theme="1"/>
        <rFont val="Arial"/>
      </rPr>
      <t xml:space="preserve">Habit Metric 1: </t>
    </r>
    <r>
      <rPr>
        <sz val="10"/>
        <color theme="1"/>
        <rFont val="Arial"/>
      </rPr>
      <t># of Team Slack Messages Sent in 7-days</t>
    </r>
  </si>
  <si>
    <t>Observations (Personal Notes):</t>
  </si>
  <si>
    <t>Does doing this Habit Metric affect activation? If yes, what is the ideal metric?</t>
  </si>
  <si>
    <t># of</t>
  </si>
  <si>
    <t>User</t>
  </si>
  <si>
    <t>Messages Sent</t>
  </si>
  <si>
    <t>Action Completed</t>
  </si>
  <si>
    <t>Retained + Action NOT completed</t>
  </si>
  <si>
    <t>Retained + Action completed</t>
  </si>
  <si>
    <t>Total Users</t>
  </si>
  <si>
    <t>% Overlap</t>
  </si>
  <si>
    <t>Why?</t>
  </si>
  <si>
    <r>
      <rPr>
        <b/>
        <sz val="10"/>
        <color theme="1"/>
        <rFont val="Arial"/>
      </rPr>
      <t xml:space="preserve">Habit Moment 2: </t>
    </r>
    <r>
      <rPr>
        <sz val="10"/>
        <color theme="1"/>
        <rFont val="Arial"/>
      </rPr>
      <t xml:space="preserve">Only use Slack for internal messages, not email   </t>
    </r>
    <r>
      <rPr>
        <b/>
        <sz val="10"/>
        <color theme="1"/>
        <rFont val="Arial"/>
      </rPr>
      <t xml:space="preserve">                                     </t>
    </r>
  </si>
  <si>
    <r>
      <rPr>
        <b/>
        <sz val="10"/>
        <color theme="1"/>
        <rFont val="Arial"/>
      </rPr>
      <t xml:space="preserve">Habit Metric 2: </t>
    </r>
    <r>
      <rPr>
        <sz val="10"/>
        <color theme="1"/>
        <rFont val="Arial"/>
      </rPr>
      <t># of sessions (log-ins) per day</t>
    </r>
  </si>
  <si>
    <t>Session</t>
  </si>
  <si>
    <t>(log-ins)</t>
  </si>
  <si>
    <t>1+</t>
  </si>
  <si>
    <t>2+</t>
  </si>
  <si>
    <t>3+</t>
  </si>
  <si>
    <t>4+</t>
  </si>
  <si>
    <t>5+</t>
  </si>
  <si>
    <t>6+</t>
  </si>
  <si>
    <t>7+</t>
  </si>
  <si>
    <r>
      <rPr>
        <b/>
        <sz val="10"/>
        <color theme="1"/>
        <rFont val="Arial"/>
      </rPr>
      <t xml:space="preserve">Habit Moment 3: </t>
    </r>
    <r>
      <rPr>
        <sz val="10"/>
        <color theme="1"/>
        <rFont val="Arial"/>
      </rPr>
      <t xml:space="preserve">Checking a notification when something is addressed to me                      </t>
    </r>
  </si>
  <si>
    <r>
      <rPr>
        <b/>
        <sz val="10"/>
        <color theme="1"/>
        <rFont val="Arial"/>
      </rPr>
      <t xml:space="preserve">Habit Metric 3: </t>
    </r>
    <r>
      <rPr>
        <sz val="10"/>
        <color theme="1"/>
        <rFont val="Arial"/>
      </rPr>
      <t># of messages they were linked to (with an @) that brought them back to Slack</t>
    </r>
  </si>
  <si>
    <t>Messages</t>
  </si>
  <si>
    <t>Moment</t>
  </si>
  <si>
    <t>Metric</t>
  </si>
  <si>
    <r>
      <rPr>
        <b/>
        <sz val="10"/>
        <color rgb="FF000000"/>
        <rFont val="Arial"/>
      </rPr>
      <t>What is the best Primary Habit Moment and Metric to select for Slack?</t>
    </r>
    <r>
      <rPr>
        <sz val="10"/>
        <color rgb="FF000000"/>
        <rFont val="Arial"/>
      </rPr>
      <t xml:space="preserve"> (hint: what did you confirm as a Habit Action in this exercise and which action had the highest overlap - probability to positively affect activation)</t>
    </r>
  </si>
  <si>
    <t>Without using the data analysis, why do you think that this Habit would be the best for Slack?</t>
  </si>
  <si>
    <r>
      <rPr>
        <b/>
        <sz val="10"/>
        <color theme="1"/>
        <rFont val="Arial"/>
      </rPr>
      <t xml:space="preserve">Scenario: </t>
    </r>
    <r>
      <rPr>
        <sz val="10"/>
        <color theme="1"/>
        <rFont val="Arial"/>
      </rPr>
      <t xml:space="preserve">The VP of Product took your team's hypothesies and narrowed down them down to 3 moments and 3 metrics each fro Habit, Aha, and Setup analysis. The ones provided could include your hypothesis from Tab 3, but if they do not, that does not mean yours hypothesis is not valid. With the VP's experience, he is simply able to narrow down the list for us. </t>
    </r>
  </si>
  <si>
    <r>
      <rPr>
        <sz val="10"/>
        <color rgb="FF000000"/>
        <rFont val="Arial"/>
      </rPr>
      <t>You need to conduct an analysis on what habit moments and metrics drive users to long-term activation.</t>
    </r>
    <r>
      <rPr>
        <b/>
        <sz val="10"/>
        <color rgb="FF000000"/>
        <rFont val="Arial"/>
      </rPr>
      <t xml:space="preserve"> 
Remember: </t>
    </r>
    <r>
      <rPr>
        <sz val="10"/>
        <color rgb="FF000000"/>
        <rFont val="Arial"/>
      </rPr>
      <t xml:space="preserve">Long-term activation would be defined by the metric with the highest % overlap curve. </t>
    </r>
  </si>
  <si>
    <r>
      <rPr>
        <sz val="10"/>
        <color rgb="FF000000"/>
        <rFont val="Arial"/>
      </rPr>
      <t>The habit, aha, and setup moments will be shared across</t>
    </r>
    <r>
      <rPr>
        <b/>
        <sz val="10"/>
        <color rgb="FF000000"/>
        <rFont val="Arial"/>
      </rPr>
      <t xml:space="preserve"> next three tabs one for each moment</t>
    </r>
    <r>
      <rPr>
        <sz val="10"/>
        <color rgb="FF000000"/>
        <rFont val="Arial"/>
      </rPr>
      <t>. 
In this tab, you will analyze just Aha moments/metrics and determine whether each of these 3 habit moments affect activation. This is important to know because then we can tailor our product to include the features that allow our users to achieve activation faster. 3 Aha Moments and 3 Aha Metrics are pre-selected for you along with users who completed actions and retained for each of the 3 moments.</t>
    </r>
  </si>
  <si>
    <r>
      <rPr>
        <b/>
        <sz val="10"/>
        <color theme="1"/>
        <rFont val="Arial"/>
      </rPr>
      <t xml:space="preserve">Skill: </t>
    </r>
    <r>
      <rPr>
        <sz val="10"/>
        <color theme="1"/>
        <rFont val="Arial"/>
      </rPr>
      <t>From these tasks, you can apply your knowledge on how to (1) calculate % overlap to measure the relationship of % overlap to Aha metric, (2) create line charts to visualize the relationship of the metric and (3) analyze which are the primary Aha moments and metric that lead to long-term activation.</t>
    </r>
  </si>
  <si>
    <r>
      <rPr>
        <b/>
        <sz val="10"/>
        <color theme="1"/>
        <rFont val="Arial"/>
      </rPr>
      <t xml:space="preserve">Instructions: </t>
    </r>
    <r>
      <rPr>
        <sz val="10"/>
        <color theme="1"/>
        <rFont val="Arial"/>
      </rPr>
      <t>Place any notes, thoughts, comments in the "Observations (Personal Notes)" box in column M - O for yourself to view in the future.</t>
    </r>
  </si>
  <si>
    <r>
      <rPr>
        <b/>
        <sz val="10"/>
        <color theme="1"/>
        <rFont val="Arial"/>
      </rPr>
      <t xml:space="preserve">1. </t>
    </r>
    <r>
      <rPr>
        <sz val="10"/>
        <color theme="1"/>
        <rFont val="Arial"/>
      </rPr>
      <t xml:space="preserve">Calculate the % overlap for each moment in Column F, </t>
    </r>
  </si>
  <si>
    <r>
      <rPr>
        <b/>
        <sz val="10"/>
        <color theme="1"/>
        <rFont val="Arial"/>
      </rPr>
      <t xml:space="preserve">2. </t>
    </r>
    <r>
      <rPr>
        <sz val="10"/>
        <color theme="1"/>
        <rFont val="Arial"/>
      </rPr>
      <t xml:space="preserve">Create a line-graph for each moment in Column H-K to visualize the % Overlap from Column F vs aha Metric from column A, </t>
    </r>
  </si>
  <si>
    <r>
      <rPr>
        <b/>
        <sz val="10"/>
        <color theme="1"/>
        <rFont val="Arial"/>
      </rPr>
      <t xml:space="preserve">3. </t>
    </r>
    <r>
      <rPr>
        <sz val="10"/>
        <color theme="1"/>
        <rFont val="Arial"/>
      </rPr>
      <t>Analyze the data for each moment to determine if based on your analysis, this moment leads to long-term activation or not, and share your reasoning in Column Q - S</t>
    </r>
  </si>
  <si>
    <r>
      <rPr>
        <b/>
        <sz val="10"/>
        <color theme="1"/>
        <rFont val="Arial"/>
      </rPr>
      <t xml:space="preserve">4. </t>
    </r>
    <r>
      <rPr>
        <sz val="10"/>
        <color theme="1"/>
        <rFont val="Arial"/>
      </rPr>
      <t>Once Steps 1 - 3 are completed, determine which of the 3 options would the Primary aha Moment and Metric and explain why in the 2 boxes on the bottom right of this Tab in Row 50.</t>
    </r>
  </si>
  <si>
    <t>Aha Moment 1: Engaging with a message in a group channel</t>
  </si>
  <si>
    <r>
      <rPr>
        <b/>
        <sz val="10"/>
        <color theme="1"/>
        <rFont val="Arial"/>
      </rPr>
      <t xml:space="preserve">Aha Metric 1: </t>
    </r>
    <r>
      <rPr>
        <sz val="10"/>
        <color theme="1"/>
        <rFont val="Arial"/>
      </rPr>
      <t>Sending 1st message in a group channel within X days</t>
    </r>
  </si>
  <si>
    <t>Does doing this Aha Metric affect activation? If yes, what is the ideal metric?</t>
  </si>
  <si>
    <t xml:space="preserve"># of </t>
  </si>
  <si>
    <t>Days Taken</t>
  </si>
  <si>
    <r>
      <rPr>
        <b/>
        <sz val="10"/>
        <color theme="1"/>
        <rFont val="Arial"/>
      </rPr>
      <t xml:space="preserve">Aha Moment 2: </t>
    </r>
    <r>
      <rPr>
        <sz val="10"/>
        <color theme="1"/>
        <rFont val="Arial"/>
      </rPr>
      <t>Messaging with a team member on a direct channel</t>
    </r>
  </si>
  <si>
    <r>
      <rPr>
        <b/>
        <sz val="10"/>
        <color theme="1"/>
        <rFont val="Arial"/>
      </rPr>
      <t xml:space="preserve">Aha Metric 2: </t>
    </r>
    <r>
      <rPr>
        <sz val="10"/>
        <color theme="1"/>
        <rFont val="Arial"/>
      </rPr>
      <t xml:space="preserve">sends 1st direct message within X days </t>
    </r>
  </si>
  <si>
    <r>
      <rPr>
        <b/>
        <sz val="10"/>
        <color theme="1"/>
        <rFont val="Arial"/>
      </rPr>
      <t xml:space="preserve">Aha Moment 3: </t>
    </r>
    <r>
      <rPr>
        <sz val="10"/>
        <color theme="1"/>
        <rFont val="Arial"/>
      </rPr>
      <t>Searching for old documents, links, and convos</t>
    </r>
  </si>
  <si>
    <t>Aha Metric 3: 1st search for a file or message within X days</t>
  </si>
  <si>
    <r>
      <rPr>
        <b/>
        <sz val="10"/>
        <color rgb="FF000000"/>
        <rFont val="Arial"/>
      </rPr>
      <t>What is the best Primary Aha Moment and Metric to select for Slack?</t>
    </r>
    <r>
      <rPr>
        <sz val="10"/>
        <color rgb="FF000000"/>
        <rFont val="Arial"/>
      </rPr>
      <t xml:space="preserve"> (hint: what did you confirm as a Aha Action in this exercise and which action had the highest overlap - probability to positively affect activation)</t>
    </r>
  </si>
  <si>
    <t>Without using the data analysis, why do you think that this Aha would be the best for Slack?</t>
  </si>
  <si>
    <r>
      <rPr>
        <b/>
        <sz val="10"/>
        <color theme="1"/>
        <rFont val="Arial"/>
      </rPr>
      <t xml:space="preserve">Scenario: </t>
    </r>
    <r>
      <rPr>
        <sz val="10"/>
        <color theme="1"/>
        <rFont val="Arial"/>
      </rPr>
      <t xml:space="preserve">The VP of Product took your team's hypothesies and narrowed down them down to 3 moments and 3 metrics each fro Habit, Aha, and Setup analysis. The ones provided could include your hypothesis from Tab 3, but if they do not, that does not mean yours hypothesis is not valid. With the VP's experience, he is simply able to narrow down the list for us. </t>
    </r>
  </si>
  <si>
    <r>
      <rPr>
        <sz val="10"/>
        <color rgb="FF000000"/>
        <rFont val="Arial"/>
      </rPr>
      <t>You need to conduct an analysis on what habit moments and metrics drive users to long-term activation.</t>
    </r>
    <r>
      <rPr>
        <b/>
        <sz val="10"/>
        <color rgb="FF000000"/>
        <rFont val="Arial"/>
      </rPr>
      <t xml:space="preserve"> 
Remember: </t>
    </r>
    <r>
      <rPr>
        <sz val="10"/>
        <color rgb="FF000000"/>
        <rFont val="Arial"/>
      </rPr>
      <t xml:space="preserve">Long-term activation would be defined by the metric with the highest % overlap curve. </t>
    </r>
  </si>
  <si>
    <t>The habit, Setup, and setup moments will be shared across next three tabs one for each moment. 
In this tab, you will analyze just Setup moments/metrics and determine whether each of these 3 habit moments affect activation. This is important to know because then we can tailor our product to include the features that allow our users to achieve activation faster. 3 Setup Moments and 3 Setup Metrics are pre-selected for you along with users who completed actions and retained for each of the 3 moments.</t>
  </si>
  <si>
    <r>
      <rPr>
        <b/>
        <sz val="10"/>
        <color theme="1"/>
        <rFont val="Arial"/>
      </rPr>
      <t xml:space="preserve">Skill: </t>
    </r>
    <r>
      <rPr>
        <sz val="10"/>
        <color theme="1"/>
        <rFont val="Arial"/>
      </rPr>
      <t>From these tasks, you can apply your knowledge on how to 
(1) calculate % overlap to measure the relationship of % overlap to setup metric
(2) create line charts to visualize the relationship of the metric
(3) analyze which are the primary setup moments and metric that lead to long-term activation.</t>
    </r>
  </si>
  <si>
    <r>
      <rPr>
        <b/>
        <sz val="10"/>
        <color theme="1"/>
        <rFont val="Arial"/>
      </rPr>
      <t xml:space="preserve">Instructions: </t>
    </r>
    <r>
      <rPr>
        <sz val="10"/>
        <color theme="1"/>
        <rFont val="Arial"/>
      </rPr>
      <t>Place any notes, thoughts, comments in the "Observations (Personal Notes)" box in column M - O for yourself to view in the future.</t>
    </r>
  </si>
  <si>
    <r>
      <rPr>
        <b/>
        <sz val="10"/>
        <color theme="1"/>
        <rFont val="Arial"/>
      </rPr>
      <t xml:space="preserve">1. </t>
    </r>
    <r>
      <rPr>
        <sz val="10"/>
        <color theme="1"/>
        <rFont val="Arial"/>
      </rPr>
      <t xml:space="preserve">Calculate the % overlap for each moment in Column F, </t>
    </r>
  </si>
  <si>
    <r>
      <rPr>
        <b/>
        <sz val="10"/>
        <color theme="1"/>
        <rFont val="Arial"/>
      </rPr>
      <t xml:space="preserve">2. </t>
    </r>
    <r>
      <rPr>
        <sz val="10"/>
        <color theme="1"/>
        <rFont val="Arial"/>
      </rPr>
      <t xml:space="preserve">Create a line-graph for each moment in Column H-K to visualize the % Overlap from Column F vs setup Metric from column A, </t>
    </r>
  </si>
  <si>
    <r>
      <rPr>
        <b/>
        <sz val="10"/>
        <color theme="1"/>
        <rFont val="Arial"/>
      </rPr>
      <t xml:space="preserve">3. </t>
    </r>
    <r>
      <rPr>
        <sz val="10"/>
        <color theme="1"/>
        <rFont val="Arial"/>
      </rPr>
      <t>Analyze the data for each moment to determine if based on your analysis, this moment leads to long-term activation or not, and share your reasoning in Column Q - S</t>
    </r>
  </si>
  <si>
    <r>
      <rPr>
        <b/>
        <sz val="10"/>
        <color theme="1"/>
        <rFont val="Arial"/>
      </rPr>
      <t xml:space="preserve">4. </t>
    </r>
    <r>
      <rPr>
        <sz val="10"/>
        <color theme="1"/>
        <rFont val="Arial"/>
      </rPr>
      <t>Once Steps 1 - 3 are completed, determine which of the 3 options would the Primary setup Moment and Metric and explain why in the 2 boxes on the bottom right of this Tab in Row 50.</t>
    </r>
  </si>
  <si>
    <r>
      <rPr>
        <b/>
        <sz val="10"/>
        <color theme="1"/>
        <rFont val="Arial"/>
      </rPr>
      <t xml:space="preserve">Setup Moment 1: </t>
    </r>
    <r>
      <rPr>
        <sz val="10"/>
        <color theme="1"/>
        <rFont val="Arial"/>
      </rPr>
      <t>Configure settings and profile</t>
    </r>
  </si>
  <si>
    <r>
      <rPr>
        <b/>
        <sz val="10"/>
        <color theme="1"/>
        <rFont val="Arial"/>
      </rPr>
      <t xml:space="preserve">Setup Metric 1: </t>
    </r>
    <r>
      <rPr>
        <sz val="10"/>
        <color theme="1"/>
        <rFont val="Arial"/>
      </rPr>
      <t>Setting up profile pic within X days</t>
    </r>
  </si>
  <si>
    <t>Does doing this Setup Metric affect activation? If yes, what is the ideal metric?</t>
  </si>
  <si>
    <r>
      <rPr>
        <b/>
        <sz val="10"/>
        <color theme="1"/>
        <rFont val="Arial"/>
      </rPr>
      <t xml:space="preserve">Setup Moment 2: </t>
    </r>
    <r>
      <rPr>
        <sz val="10"/>
        <color theme="1"/>
        <rFont val="Arial"/>
      </rPr>
      <t>Integrate to a 3rd party Slack App</t>
    </r>
  </si>
  <si>
    <r>
      <rPr>
        <b/>
        <sz val="10"/>
        <color theme="1"/>
        <rFont val="Arial"/>
      </rPr>
      <t xml:space="preserve">Setup Metric 2: </t>
    </r>
    <r>
      <rPr>
        <sz val="10"/>
        <color theme="1"/>
        <rFont val="Arial"/>
      </rPr>
      <t>Integrate to a 3rd party app within 7-days</t>
    </r>
  </si>
  <si>
    <r>
      <rPr>
        <b/>
        <sz val="10"/>
        <color theme="1"/>
        <rFont val="Arial"/>
      </rPr>
      <t xml:space="preserve">Setup Moment 3: </t>
    </r>
    <r>
      <rPr>
        <sz val="10"/>
        <color theme="1"/>
        <rFont val="Arial"/>
      </rPr>
      <t>Invite a team mate and had a back-and-forth direct convo</t>
    </r>
  </si>
  <si>
    <r>
      <rPr>
        <b/>
        <sz val="10"/>
        <color theme="1"/>
        <rFont val="Arial"/>
      </rPr>
      <t xml:space="preserve">Setup Metric 3: </t>
    </r>
    <r>
      <rPr>
        <sz val="10"/>
        <color theme="1"/>
        <rFont val="Arial"/>
      </rPr>
      <t># of users invited within 7-days</t>
    </r>
  </si>
  <si>
    <t>Users Invited</t>
  </si>
  <si>
    <r>
      <rPr>
        <b/>
        <sz val="10"/>
        <color rgb="FF000000"/>
        <rFont val="Arial"/>
      </rPr>
      <t>What is the best Primary Setup Moment and Metric to select for Slack?</t>
    </r>
    <r>
      <rPr>
        <sz val="10"/>
        <color rgb="FF000000"/>
        <rFont val="Arial"/>
      </rPr>
      <t xml:space="preserve"> (hint: what did you confirm as a Aha Action in this exercise and which action had the highest overlap - probability to positively affect activation)</t>
    </r>
  </si>
  <si>
    <t>Without using the data analysis, why do you think that this Setup would be the best for Slack?</t>
  </si>
  <si>
    <t>Suggested Experiments from Tab 3</t>
  </si>
  <si>
    <r>
      <rPr>
        <b/>
        <sz val="10"/>
        <color theme="1"/>
        <rFont val="Arial"/>
      </rPr>
      <t xml:space="preserve">Scenario: </t>
    </r>
    <r>
      <rPr>
        <sz val="10"/>
        <color theme="1"/>
        <rFont val="Arial"/>
      </rPr>
      <t xml:space="preserve">You have been brought onto a project at Slack to help define the activation funnel. </t>
    </r>
  </si>
  <si>
    <t>On this tab, you will be putting all the analysis you've done in previous 3 tabs together. From the 3 previous tabs, you should have identified the primary habit, aha, and signup moment that most influenced activation.</t>
  </si>
  <si>
    <r>
      <rPr>
        <b/>
        <sz val="10"/>
        <color theme="1"/>
        <rFont val="Arial"/>
      </rPr>
      <t xml:space="preserve">Skill: </t>
    </r>
    <r>
      <rPr>
        <sz val="10"/>
        <color theme="1"/>
        <rFont val="Arial"/>
      </rPr>
      <t xml:space="preserve">You have determined that many moments and metrics can lead users to activate, but there are only a few </t>
    </r>
    <r>
      <rPr>
        <b/>
        <sz val="10"/>
        <color theme="1"/>
        <rFont val="Arial"/>
      </rPr>
      <t>Primary</t>
    </r>
    <r>
      <rPr>
        <sz val="10"/>
        <color theme="1"/>
        <rFont val="Arial"/>
      </rPr>
      <t xml:space="preserve"> moments and metrics that we should drive users towards as they lead to long-term activation.</t>
    </r>
  </si>
  <si>
    <r>
      <rPr>
        <b/>
        <sz val="10"/>
        <color theme="1"/>
        <rFont val="Arial"/>
      </rPr>
      <t xml:space="preserve">Instructions: </t>
    </r>
    <r>
      <rPr>
        <sz val="10"/>
        <color theme="1"/>
        <rFont val="Arial"/>
      </rPr>
      <t>Compare your hypothesis from Tab 3- Activation Hyopthesis against the post-analysis activation funnel in Tab 7. Please add your thoughts Column C.</t>
    </r>
  </si>
  <si>
    <r>
      <rPr>
        <sz val="10"/>
        <color theme="1"/>
        <rFont val="Arial"/>
      </rPr>
      <t xml:space="preserve">1. </t>
    </r>
    <r>
      <rPr>
        <sz val="10"/>
        <color theme="1"/>
        <rFont val="Arial"/>
      </rPr>
      <t>Your Habit moments and metrics (They should appear here from the relevant tabs, if they do not, please copy them here) for your to reflect on are in A11 and B11</t>
    </r>
    <r>
      <rPr>
        <sz val="10"/>
        <color theme="1"/>
        <rFont val="Arial"/>
      </rPr>
      <t xml:space="preserve">                                                </t>
    </r>
  </si>
  <si>
    <t>2. Your Aha moments and metrics (They should appear here from the relevant tabs, if they do not, please copy them here) for your to reflect on are in A11 and B12</t>
  </si>
  <si>
    <t>3. Your Setup moments and metrics (They should appear here from the relevant tabs, if they do not, please copy them here) for your to reflect on are in A11 and B13</t>
  </si>
  <si>
    <t>Cells  in orange have been done for you.</t>
  </si>
  <si>
    <t>Metrics that lead to Habit:</t>
  </si>
  <si>
    <t>Observations/Reflections on Hypothesis</t>
  </si>
  <si>
    <t>Metrics that lead to Aha:</t>
  </si>
  <si>
    <t>Moments that lead to Signup:</t>
  </si>
  <si>
    <t>Metrics that lead to Signup:</t>
  </si>
  <si>
    <r>
      <rPr>
        <b/>
        <sz val="10"/>
        <color theme="1"/>
        <rFont val="Arial"/>
      </rPr>
      <t xml:space="preserve">Scenario: </t>
    </r>
    <r>
      <rPr>
        <sz val="10"/>
        <color theme="1"/>
        <rFont val="Arial"/>
      </rPr>
      <t xml:space="preserve">Now that you have determined one of Slack's Habit, Aha, and Setup moments, you have been asked by the VP of Product to segment our users through the activation funnel. He requests you share with marketing any findings on what users are performing well, not well, and what areas can be improved on. </t>
    </r>
  </si>
  <si>
    <t xml:space="preserve">The findings will help marketing team focus on Ideal Customer Profiles (ICPs), so they know where to invest for Acquisition. The activation funnel has already been applied to these segments and your goal is to see analyze delta between the funnel and how many users make it through the funnel. </t>
  </si>
  <si>
    <r>
      <rPr>
        <b/>
        <sz val="10"/>
        <color rgb="FF000000"/>
        <rFont val="Arial"/>
      </rPr>
      <t>Remember</t>
    </r>
    <r>
      <rPr>
        <sz val="10"/>
        <color rgb="FF000000"/>
        <rFont val="Arial"/>
      </rPr>
      <t xml:space="preserve">: The delta is the percentage of users that make it from one stage of the funnel to the next to ultimately tell us what percent of our acquired users go through all stages of funnel to achieve activation. </t>
    </r>
  </si>
  <si>
    <t>Once your conduct this analysis, you can then create experiments on how to convert more users through each step in the Setup, Aha, and Habit moments. The goal for Slack is to get more users through the funnel so we have more users and  a higer % of users that become activated.</t>
  </si>
  <si>
    <t xml:space="preserve">Skill: Analyze how different segments flow through the activation funnel by determining the # and % of users activated per segment. </t>
  </si>
  <si>
    <r>
      <rPr>
        <b/>
        <sz val="10"/>
        <color theme="1"/>
        <rFont val="Arial"/>
      </rPr>
      <t>Instructions</t>
    </r>
    <r>
      <rPr>
        <sz val="10"/>
        <color theme="1"/>
        <rFont val="Arial"/>
      </rPr>
      <t xml:space="preserve">: Conduct each segment analysis in order: 
Industry (Row 8 - 28)
Company Size (Row 30 -50)
Account Size (Row 52 - 71)
Source (Row 73 - 90). </t>
    </r>
  </si>
  <si>
    <t xml:space="preserve">Place any notes, thoughts, comments in the "Observations (Personal Notes)" box for yourself to view in the future - these will not be graded. </t>
  </si>
  <si>
    <t>In your text-based analysis, your goal is to increase the total average % you calculate in row 31, 53, 74, and 93 across each segment. To determine what is a good threshold of % of users activated that is good enough vs.needs more support, compare the % users activated for each segmen to the average for that segment.</t>
  </si>
  <si>
    <r>
      <rPr>
        <b/>
        <sz val="10"/>
        <color theme="1"/>
        <rFont val="Arial"/>
      </rPr>
      <t xml:space="preserve">1. </t>
    </r>
    <r>
      <rPr>
        <sz val="10"/>
        <color theme="1"/>
        <rFont val="Arial"/>
      </rPr>
      <t xml:space="preserve">Calculate the Delta (Setup to Aha) ratio in Column D     </t>
    </r>
    <r>
      <rPr>
        <b/>
        <sz val="10"/>
        <color theme="1"/>
        <rFont val="Arial"/>
      </rPr>
      <t xml:space="preserve">                                              </t>
    </r>
  </si>
  <si>
    <r>
      <rPr>
        <b/>
        <sz val="10"/>
        <color theme="1"/>
        <rFont val="Arial"/>
      </rPr>
      <t xml:space="preserve">2. </t>
    </r>
    <r>
      <rPr>
        <sz val="10"/>
        <color theme="1"/>
        <rFont val="Arial"/>
      </rPr>
      <t xml:space="preserve">Calculate Delta (Aha to Habit) ratio in Column F,        </t>
    </r>
    <r>
      <rPr>
        <b/>
        <sz val="10"/>
        <color theme="1"/>
        <rFont val="Arial"/>
      </rPr>
      <t xml:space="preserve">                                          </t>
    </r>
  </si>
  <si>
    <t xml:space="preserve">3. Calculate # of users activated in Column H,                                                       </t>
  </si>
  <si>
    <r>
      <rPr>
        <b/>
        <sz val="10"/>
        <color theme="1"/>
        <rFont val="Arial"/>
      </rPr>
      <t xml:space="preserve">4. </t>
    </r>
    <r>
      <rPr>
        <sz val="10"/>
        <color theme="1"/>
        <rFont val="Arial"/>
      </rPr>
      <t>% of Users Activated in Column I,</t>
    </r>
  </si>
  <si>
    <r>
      <rPr>
        <b/>
        <sz val="10"/>
        <color theme="1"/>
        <rFont val="Arial"/>
      </rPr>
      <t xml:space="preserve">5. </t>
    </r>
    <r>
      <rPr>
        <sz val="10"/>
        <color theme="1"/>
        <rFont val="Arial"/>
      </rPr>
      <t>Address questions (located below each segment) regarding what segment has the best/worst activation funnel and create an experiment l to focus effort on a specific segment funnel. Use the [Action], [Outcome], and [Theory] Framework.</t>
    </r>
  </si>
  <si>
    <t>Cells colored in Blue have ben completed as examples for you. The formulas have been removed.</t>
  </si>
  <si>
    <t>Segment Analysis by Industry for June 2019</t>
  </si>
  <si>
    <t>Industry</t>
  </si>
  <si>
    <t>New Users Acquired</t>
  </si>
  <si>
    <t># of Users activated</t>
  </si>
  <si>
    <t>% of Users Activated</t>
  </si>
  <si>
    <t>Total</t>
  </si>
  <si>
    <t>Setup Moment</t>
  </si>
  <si>
    <t>Delta (Setup to Aha)</t>
  </si>
  <si>
    <t>Aha Moment</t>
  </si>
  <si>
    <t>Delta (Aha to Habit)</t>
  </si>
  <si>
    <t>Habit Moment</t>
  </si>
  <si>
    <t>Technology</t>
  </si>
  <si>
    <t xml:space="preserve">Retail </t>
  </si>
  <si>
    <t>Healthcare</t>
  </si>
  <si>
    <t>Financial Services</t>
  </si>
  <si>
    <t>Manufacturing</t>
  </si>
  <si>
    <t>Consume Goods</t>
  </si>
  <si>
    <t>Transportation</t>
  </si>
  <si>
    <t>Oil and Gas</t>
  </si>
  <si>
    <t>What industry has the best activation Funnel? Why?</t>
  </si>
  <si>
    <t>What industry has the worst activation Funnel? Why?</t>
  </si>
  <si>
    <t>What would you want to report to Marketing?</t>
  </si>
  <si>
    <t>Experiment Brief using Action, Outcome, Theory  (Select 1 moments to improve)</t>
  </si>
  <si>
    <t>Segment Analysis by Company Size for June 2019</t>
  </si>
  <si>
    <t>Company Size</t>
  </si>
  <si>
    <t>New Users</t>
  </si>
  <si>
    <t>1-5</t>
  </si>
  <si>
    <t>6-10</t>
  </si>
  <si>
    <t>11-20</t>
  </si>
  <si>
    <t>21-50</t>
  </si>
  <si>
    <t>51-100</t>
  </si>
  <si>
    <t>101-250</t>
  </si>
  <si>
    <t>251-500</t>
  </si>
  <si>
    <t>501+</t>
  </si>
  <si>
    <t>What company size has the best activation Funnel? Why?</t>
  </si>
  <si>
    <t>What company size has the worst activation Funnel? Why?</t>
  </si>
  <si>
    <t>Segment Analysis by Account Size for June 2019</t>
  </si>
  <si>
    <t>Account Size</t>
  </si>
  <si>
    <t>1 - 2</t>
  </si>
  <si>
    <t>2 - 5</t>
  </si>
  <si>
    <t>5 - 10</t>
  </si>
  <si>
    <t>10 - 20</t>
  </si>
  <si>
    <t>20 - 50</t>
  </si>
  <si>
    <t>50 - 100</t>
  </si>
  <si>
    <t>100+</t>
  </si>
  <si>
    <t>What account size has the best activation Funnel? Why?</t>
  </si>
  <si>
    <t>What account size has the worst activation Funnel? Why?</t>
  </si>
  <si>
    <t>Segment Funnel by Sources for June 2019</t>
  </si>
  <si>
    <t>Source</t>
  </si>
  <si>
    <t>Pricing Page</t>
  </si>
  <si>
    <t>Free Trial Page</t>
  </si>
  <si>
    <t>Referral link</t>
  </si>
  <si>
    <t>Team Invitation</t>
  </si>
  <si>
    <t>Blog Page</t>
  </si>
  <si>
    <t>What source has the best activation Funnel? Why?</t>
  </si>
  <si>
    <t>What source has the worst activation Funnel? Why?</t>
  </si>
  <si>
    <t xml:space="preserve">Fairly simple and straightforward. </t>
  </si>
  <si>
    <t>Good to have Gmail as an option. Hopefully they would also have Facebook &amp; LinkedIn as sign in options</t>
  </si>
  <si>
    <t>Same as above. It's good to have Gmail as option, but have added options too.</t>
  </si>
  <si>
    <t>Simple and very straight forward.</t>
  </si>
  <si>
    <t>This was very easy. The limitations/rules given were also very clear underneath.</t>
  </si>
  <si>
    <t xml:space="preserve">It was good that this is OPTIONAL. </t>
  </si>
  <si>
    <t>I never had to use ie because of the OAUTH option by using gmail.</t>
  </si>
  <si>
    <t>I never saw any surveys.</t>
  </si>
  <si>
    <t>The [Google Mail] and [Email]/ [Password]</t>
  </si>
  <si>
    <t>clickable link ["how productboard can help your team"]</t>
  </si>
  <si>
    <t>[Get Started] tab given on the email</t>
  </si>
  <si>
    <t>a blank with the extension [.workspace.url.com]</t>
  </si>
  <si>
    <t>Blanks that were asking for emails of colleagues</t>
  </si>
  <si>
    <t>This option was not given to me since I used gmail</t>
  </si>
  <si>
    <t>There was no survey for me.</t>
  </si>
  <si>
    <t>Email credentials and/or both email and password</t>
  </si>
  <si>
    <t>Google Mail Account</t>
  </si>
  <si>
    <t>Nothing, just click on the [Get Started] Tab</t>
  </si>
  <si>
    <t>Blanks that asks for the personal info</t>
  </si>
  <si>
    <t>Personal info such as name, email, etc</t>
  </si>
  <si>
    <t xml:space="preserve">Creating a VERY UNIQUE name for the workspace. </t>
  </si>
  <si>
    <t>This was OPTIONAL. So I never really used it, but I know it could be a good marketing tool.</t>
  </si>
  <si>
    <t>Also not given to me since I used OATH with gmail</t>
  </si>
  <si>
    <t>I never saw any survey at all.</t>
  </si>
  <si>
    <t xml:space="preserve">Use email as log in, &amp; remarketing </t>
  </si>
  <si>
    <t>A way of further verification, also for marketing</t>
  </si>
  <si>
    <t>Same as the one above</t>
  </si>
  <si>
    <t>Personal info, for a more targeted, personalized marketing for later use</t>
  </si>
  <si>
    <t>To make sure workspace is UNIQUE</t>
  </si>
  <si>
    <t>For further marketing</t>
  </si>
  <si>
    <t>Not Applicable to me</t>
  </si>
  <si>
    <t>No surveys</t>
  </si>
  <si>
    <t>N.A.</t>
  </si>
  <si>
    <t>N.A. (but the purpose is indeed clear)</t>
  </si>
  <si>
    <t>N.A. (But yes it is NECESSARY! Password is for securing our accounts!)</t>
  </si>
  <si>
    <t>N.A. (But I know marketing would be using it for later, so this has good value).</t>
  </si>
  <si>
    <t>N.A. (But it is HIGHLY IMPORTANT) for SECURITY</t>
  </si>
  <si>
    <t>N.A. (For further marketing and analysis, this is VERY VITAL!)</t>
  </si>
  <si>
    <t>N.A. For me, all of them appears to be GOOD FRICTION! I think that they were just the RIGHT AMOUNT of friction needed.</t>
  </si>
  <si>
    <t xml:space="preserve">N.A. All frictions given seems to serve a good purpose </t>
  </si>
  <si>
    <t>It really appears that the clicks were just the right amount. They were minimal and appears to serve a good purpose.</t>
  </si>
  <si>
    <t>Same principle and scnearios as the 2nd and 3rd rows</t>
  </si>
  <si>
    <t xml:space="preserve">** Can't further think of an 'experiment' here since this is an OPTIONAL requirement. It was great that they made it optional. This would have been a VERY BAD FRICTION if it was a requirement. </t>
  </si>
  <si>
    <t>[ACTION] Users would have an option to get their verification emails by the email account they've used in the 3 OATH options given above: LinkedIn, Twitter, Facebook . [OUTCOMES] Possibility of more signups. [THEORY] Not all users have gmail. And some users don't want to undergo the usual process if signing in, especially if the initlal goal is to simply try the platform.</t>
  </si>
  <si>
    <t xml:space="preserve">[ACTION] If there were additional OATH options as given above, it would be a better option to auotmatically get their perosnal info from, example; LinkedIn. [OUTCOME]This would give the user lesser efforts in filling up the necessary info. [THEORY] Users want lesser hassle and instant access. </t>
  </si>
  <si>
    <t xml:space="preserve">[ACTION] underscores, capital letters and other special characters would have been great options. I msyelf love using underscores, so it gives users more fleixbility in having their workspace names. [OUTCOME] It could save time for users to create their unique workspace names. Also, a LOT of python devs and learners (like yours truly) enjoy using 'underscores'. Having that makes it easier for users  [THEORY] This would make creating a name more fun and easier for the users. </t>
  </si>
  <si>
    <t>2 - Free Trial SignUp</t>
  </si>
  <si>
    <t>[ACTION] Free Trial should also have OAUTH options using Facebook, LinkedIn, Twitter, Github. [OUTCOME] Hence having other popular options would furthe rincrease sign ups.  [Theory] some users still don't use Gmail. So having more options works well.</t>
  </si>
  <si>
    <t>Using additional options other than Google Mail. The only option given is Gmail. I am testing if also having LinkedIn, Twitter , Github and Facebook would have a positive impact.</t>
  </si>
  <si>
    <t>We only have a single option. As I have mentioned, not all users have Gmail. Having sign up options would further help us in increasing signups.</t>
  </si>
  <si>
    <t>Sales, and marketing teams-&gt; to idenitfy any specific trends and changes. Data Team -&gt; To further spot these trends and communincate back to marketing/sales</t>
  </si>
  <si>
    <t>An increase in sign up, faster signing in and conversions</t>
  </si>
  <si>
    <t xml:space="preserve">1 - 2 months </t>
  </si>
  <si>
    <t xml:space="preserve">5 - Submit Personal Info </t>
  </si>
  <si>
    <t>This is highly related and affected by the above experiment on having sign in options. Getting the users info other than Gmail would be a great option.</t>
  </si>
  <si>
    <t>An increase in signups for the free trial. Also a possibility of having more trails extneded to standard subscriptions. This could see posibly 34% increase.</t>
  </si>
  <si>
    <t xml:space="preserve">Because of the additional options given on step 2, more users have no signed up. </t>
  </si>
  <si>
    <t>6 - Name your workspace</t>
  </si>
  <si>
    <t xml:space="preserve">Simply to give way more options for users to create their uique workspace names. I specifically mentioned the "underscore" because a lot of users have been fond of using it. Notably python devs and users enjoy using "underscores". There's a projected decrease in the time it takes for a user to create his/her workspace username. </t>
  </si>
  <si>
    <t>Creating a workspace name became faster by 22% due to having more charcters recognized.</t>
  </si>
  <si>
    <t xml:space="preserve">As already stated, lots of charcets are not being recognized such as: underscores, slashes and capital letters. </t>
  </si>
  <si>
    <t xml:space="preserve">Some users who are initally interested in a free signup may want to use other OATHS. </t>
  </si>
  <si>
    <t>Sales and marketing teams - &gt;They would need to keep track of the developments on which test is doing better. Data Team -&gt; Analuyze any specific trends.</t>
  </si>
  <si>
    <t>Marketing teams-&gt; to idenitfy any specific trends and changes. Data Team -&gt; To further spot these trends and communincate back to marketing/sales</t>
  </si>
  <si>
    <t>3-weeks</t>
  </si>
  <si>
    <t>5-weeks</t>
  </si>
  <si>
    <t>How is the marketing team utilzing the data?Having other signup options would attract (probably) more users. It would also catch a "wider web of targets".</t>
  </si>
  <si>
    <t>The difference between having just 1 and multiple OAUTHS. How big would the difference be?</t>
  </si>
  <si>
    <t xml:space="preserve">A good hypothesis would be creating a unique workspace would be easier and faster. </t>
  </si>
  <si>
    <t>Speed in creating very unique workspace names</t>
  </si>
  <si>
    <t>None. Just adding mor eoptions.</t>
  </si>
  <si>
    <t>None</t>
  </si>
  <si>
    <t xml:space="preserve">None. Simply adding more character options for users to choose from. </t>
  </si>
  <si>
    <t xml:space="preserve">Use Slack for mass messaging </t>
  </si>
  <si>
    <t xml:space="preserve">Only use Slack for meetings and 'workshops', instead of Zoom nor Skype </t>
  </si>
  <si>
    <t xml:space="preserve">Use Slack Chatbots for any special announcements </t>
  </si>
  <si>
    <t>Create as many channels/groups that are beneficial to the goals</t>
  </si>
  <si>
    <t xml:space="preserve">Having a very active participation on slack workshops and meetings </t>
  </si>
  <si>
    <t>Having very active staff members use the platform</t>
  </si>
  <si>
    <t xml:space="preserve">Getting automated responses via email and mobile phone </t>
  </si>
  <si>
    <t>Receiving an email or mobile notification regarding a response from a thread</t>
  </si>
  <si>
    <t xml:space="preserve">Use as a reliable workshop platform for weekly meetings </t>
  </si>
  <si>
    <t>Constantly engage in collaborations eitehr thru mobile or web app</t>
  </si>
  <si>
    <t xml:space="preserve">Receive fast notifications via email or sms </t>
  </si>
  <si>
    <t>Switch from instant messaging to group virtural meetings,… all on the same platform</t>
  </si>
  <si>
    <t xml:space="preserve">Observations (Personal Notes): After the 2+ log in range, it appears to have already been on a steady incline. There was a 2% drop on the 7+. From this we could infer that those who logged in 3+ to 6+ have a high % overlap </t>
  </si>
  <si>
    <t>Observations (Personal Notes): The total messages being sent appears to be directly proportional to the increase in % Overlap</t>
  </si>
  <si>
    <t xml:space="preserve">There is a pattern that shows the overlap % gets higher as the amount of messages sent also increases. </t>
  </si>
  <si>
    <t>Observations (Personal Notes): This graph clearrly shows that the higher the # of days taken, the lower the % of overlap From 83% of 1+ Days to 32% of 7+ days, the trend clearly shows the downwards trend. This could simply mean that group messaging does not attract majority of the users as the days pass by.</t>
  </si>
  <si>
    <t>Observations (Personal Notes): The graph also shows that as the # of days taken increases, there's a downwards trend in the % overlap. This could simply mean sending a direct message (DM) has the same 'aha effect' as the 1st one, which is sending group messages. The interest of the users dwindles down over time.</t>
  </si>
  <si>
    <t xml:space="preserve">Observations (Personal Notes): I can see no pattern here with regards to the relationship of #of days taken and % Overlap. The metric/task 'searching for a file or message' within a certain number of days means that such metric could really vary. Come to think of it, any user may search 1 or more files for today and may not search for the next 2 to 5 days, etc. </t>
  </si>
  <si>
    <t>Yes!</t>
  </si>
  <si>
    <t>Based on the pattern it appears that users do not like to send group messages on channels as the days pass by. So the pattern suggests that this affects activatioin.</t>
  </si>
  <si>
    <t>Yes.</t>
  </si>
  <si>
    <t>Very similar to metric 1, the % overlap decreases over time.Even the actions completed at the end shows that it declines. So, this metric does affect activation.</t>
  </si>
  <si>
    <t>No.</t>
  </si>
  <si>
    <t>The mere fcat there was no pattern itself suggest that this metric does NOT affect activation. Also, it would be fair to know that every user has different needs on different days.</t>
  </si>
  <si>
    <t>The ability to send a message in a group channel itself appears to be an amazing feature. The ability to create a channel for a specific topic or group is also appealing.</t>
  </si>
  <si>
    <t xml:space="preserve">Observations (Personal Notes): The lesser messages being sent, the higher the % overlap is. Also quite very noticeable is that from 5+ to 7+ messages, the overlap remains on 43%.  </t>
  </si>
  <si>
    <t xml:space="preserve">Although there seems to be a 'straight line' trend after the 2+ Session log ins, the # of log ins of users is still a good indication of activations.  </t>
  </si>
  <si>
    <t xml:space="preserve">Based on the graph, the habit of using slack decreases after the 4+ messages and remains on a steady 43% until the 7+ message. </t>
  </si>
  <si>
    <t>This is VERY FUNDAMENTAL ESSENCE of Slack : To use it as a messaging tool outside of email. Everythign else just follows once this habit has been formed. Using Slack for team communication is the key habit.</t>
  </si>
  <si>
    <t xml:space="preserve">Observations (Personal Notes): There was a great increase in total users by the 7+ invited.  </t>
  </si>
  <si>
    <t>Observations (Personal Notes): % Overlap decreases as the # of Days Taken increases. Also looking at at action completed column, there is a HUGE difference from 1+ days to 7+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</si>
</sst>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mmm\-yy"/>
  </numFmts>
  <fonts count="22">
    <font>
      <sz val="10"/>
      <color rgb="FF000000"/>
      <name val="Arial"/>
    </font>
    <font>
      <sz val="31"/>
      <color rgb="FF000000"/>
      <name val="Arial"/>
    </font>
    <font>
      <sz val="10"/>
      <name val="Arial"/>
    </font>
    <font>
      <sz val="10"/>
      <color theme="1"/>
      <name val="Arial"/>
    </font>
    <font>
      <u/>
      <sz val="10"/>
      <color rgb="FF0000FF"/>
      <name val="Arial"/>
    </font>
    <font>
      <sz val="10"/>
      <color rgb="FF000000"/>
      <name val="Arial"/>
    </font>
    <font>
      <b/>
      <sz val="10"/>
      <color rgb="FF000000"/>
      <name val="Arial"/>
    </font>
    <font>
      <b/>
      <sz val="10"/>
      <color theme="1"/>
      <name val="Arial"/>
    </font>
    <font>
      <sz val="11"/>
      <color rgb="FF222222"/>
      <name val="&quot;Google Sans&quot;"/>
    </font>
    <font>
      <b/>
      <sz val="20"/>
      <color theme="1"/>
      <name val="Arial"/>
    </font>
    <font>
      <b/>
      <sz val="30"/>
      <color theme="1"/>
      <name val="Arial"/>
    </font>
    <font>
      <b/>
      <u/>
      <sz val="10"/>
      <color rgb="FF0000FF"/>
      <name val="Arial"/>
    </font>
    <font>
      <b/>
      <sz val="10"/>
      <color rgb="FFB7B7B7"/>
      <name val="Arial"/>
    </font>
    <font>
      <sz val="10"/>
      <color rgb="FFB7B7B7"/>
      <name val="Arial"/>
    </font>
    <font>
      <sz val="11"/>
      <color rgb="FF000000"/>
      <name val="Arial"/>
    </font>
    <font>
      <b/>
      <sz val="18"/>
      <color theme="1"/>
      <name val="Arial"/>
    </font>
    <font>
      <sz val="10"/>
      <color theme="1"/>
      <name val="Arial"/>
    </font>
    <font>
      <b/>
      <sz val="10"/>
      <color rgb="FF000000"/>
      <name val="Open Sans"/>
    </font>
    <font>
      <b/>
      <sz val="10"/>
      <color theme="1"/>
      <name val="Arial"/>
    </font>
    <font>
      <sz val="10"/>
      <color rgb="FF000000"/>
      <name val="Open Sans"/>
    </font>
    <font>
      <b/>
      <sz val="10"/>
      <color theme="1"/>
      <name val="Open Sans"/>
    </font>
    <font>
      <b/>
      <sz val="10"/>
      <color rgb="FF4285F4"/>
      <name val="Arial"/>
    </font>
  </fonts>
  <fills count="25">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B6D7A8"/>
        <bgColor rgb="FFB6D7A8"/>
      </patternFill>
    </fill>
    <fill>
      <patternFill patternType="solid">
        <fgColor rgb="FFF6B26B"/>
        <bgColor rgb="FFF6B26B"/>
      </patternFill>
    </fill>
    <fill>
      <patternFill patternType="solid">
        <fgColor rgb="FFF3F3F3"/>
        <bgColor rgb="FFF3F3F3"/>
      </patternFill>
    </fill>
    <fill>
      <patternFill patternType="solid">
        <fgColor rgb="FFBDBDBD"/>
        <bgColor rgb="FFBDBDBD"/>
      </patternFill>
    </fill>
    <fill>
      <patternFill patternType="solid">
        <fgColor rgb="FFA4C2F4"/>
        <bgColor rgb="FFA4C2F4"/>
      </patternFill>
    </fill>
    <fill>
      <patternFill patternType="solid">
        <fgColor rgb="FFD8D8D8"/>
        <bgColor rgb="FFD8D8D8"/>
      </patternFill>
    </fill>
    <fill>
      <patternFill patternType="solid">
        <fgColor rgb="FFC0CE7B"/>
        <bgColor rgb="FFC0CE7B"/>
      </patternFill>
    </fill>
    <fill>
      <patternFill patternType="solid">
        <fgColor rgb="FFFBD584"/>
        <bgColor rgb="FFFBD584"/>
      </patternFill>
    </fill>
    <fill>
      <patternFill patternType="solid">
        <fgColor rgb="FFEF9E65"/>
        <bgColor rgb="FFEF9E65"/>
      </patternFill>
    </fill>
    <fill>
      <patternFill patternType="solid">
        <fgColor rgb="FFF9CA7E"/>
        <bgColor rgb="FFF9CA7E"/>
      </patternFill>
    </fill>
    <fill>
      <patternFill patternType="solid">
        <fgColor rgb="FFF0A468"/>
        <bgColor rgb="FFF0A468"/>
      </patternFill>
    </fill>
    <fill>
      <patternFill patternType="solid">
        <fgColor rgb="FFE98256"/>
        <bgColor rgb="FFE98256"/>
      </patternFill>
    </fill>
    <fill>
      <patternFill patternType="solid">
        <fgColor rgb="FFFEE18B"/>
        <bgColor rgb="FFFEE18B"/>
      </patternFill>
    </fill>
    <fill>
      <patternFill patternType="solid">
        <fgColor rgb="FFF1A96C"/>
        <bgColor rgb="FFF1A96C"/>
      </patternFill>
    </fill>
    <fill>
      <patternFill patternType="solid">
        <fgColor rgb="FFE5724D"/>
        <bgColor rgb="FFE5724D"/>
      </patternFill>
    </fill>
    <fill>
      <patternFill patternType="solid">
        <fgColor rgb="FFF7C57B"/>
        <bgColor rgb="FFF7C57B"/>
      </patternFill>
    </fill>
    <fill>
      <patternFill patternType="solid">
        <fgColor rgb="FFEC935F"/>
        <bgColor rgb="FFEC935F"/>
      </patternFill>
    </fill>
    <fill>
      <patternFill patternType="solid">
        <fgColor rgb="FFEC8F5D"/>
        <bgColor rgb="FFEC8F5D"/>
      </patternFill>
    </fill>
    <fill>
      <patternFill patternType="solid">
        <fgColor rgb="FFE26344"/>
        <bgColor rgb="FFE26344"/>
      </patternFill>
    </fill>
    <fill>
      <patternFill patternType="solid">
        <fgColor rgb="FFDF563D"/>
        <bgColor rgb="FFDF563D"/>
      </patternFill>
    </fill>
    <fill>
      <patternFill patternType="solid">
        <fgColor rgb="FFEA8859"/>
        <bgColor rgb="FFEA8859"/>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2">
    <xf numFmtId="0" fontId="0" fillId="0" borderId="0"/>
    <xf numFmtId="9" fontId="5" fillId="0" borderId="0" applyFont="0" applyFill="0" applyBorder="0" applyAlignment="0" applyProtection="0"/>
  </cellStyleXfs>
  <cellXfs count="253">
    <xf numFmtId="0" fontId="0" fillId="0" borderId="0" xfId="0" applyFont="1" applyAlignment="1"/>
    <xf numFmtId="0" fontId="5" fillId="3" borderId="0" xfId="0" applyFont="1" applyFill="1" applyAlignment="1">
      <alignment horizontal="left"/>
    </xf>
    <xf numFmtId="0" fontId="7" fillId="0" borderId="2" xfId="0" applyFont="1" applyBorder="1" applyAlignment="1">
      <alignment horizontal="center"/>
    </xf>
    <xf numFmtId="0" fontId="7" fillId="0" borderId="3" xfId="0" applyFont="1" applyBorder="1" applyAlignment="1">
      <alignment horizontal="center"/>
    </xf>
    <xf numFmtId="0" fontId="7" fillId="2" borderId="10" xfId="0" applyFont="1" applyFill="1" applyBorder="1" applyAlignment="1">
      <alignment horizontal="center"/>
    </xf>
    <xf numFmtId="0" fontId="7" fillId="2" borderId="10" xfId="0" applyFont="1" applyFill="1" applyBorder="1" applyAlignment="1"/>
    <xf numFmtId="0" fontId="3" fillId="2" borderId="10" xfId="0" applyFont="1" applyFill="1" applyBorder="1" applyAlignment="1"/>
    <xf numFmtId="0" fontId="3" fillId="2" borderId="3" xfId="0" applyFont="1" applyFill="1" applyBorder="1" applyAlignment="1"/>
    <xf numFmtId="0" fontId="7" fillId="2" borderId="10" xfId="0" applyFont="1" applyFill="1" applyBorder="1" applyAlignment="1">
      <alignment horizontal="center"/>
    </xf>
    <xf numFmtId="0" fontId="3" fillId="0" borderId="11" xfId="0" applyFont="1" applyBorder="1" applyAlignment="1">
      <alignment horizontal="center"/>
    </xf>
    <xf numFmtId="0" fontId="3" fillId="4" borderId="10" xfId="0" applyFont="1" applyFill="1" applyBorder="1" applyAlignment="1"/>
    <xf numFmtId="0" fontId="3" fillId="0" borderId="10" xfId="0" applyFont="1" applyBorder="1" applyAlignment="1"/>
    <xf numFmtId="0" fontId="3" fillId="0" borderId="11" xfId="0" applyFont="1" applyBorder="1" applyAlignment="1">
      <alignment horizontal="center"/>
    </xf>
    <xf numFmtId="0" fontId="3" fillId="0" borderId="10" xfId="0" applyFont="1" applyBorder="1" applyAlignment="1"/>
    <xf numFmtId="0" fontId="3" fillId="0" borderId="10" xfId="0" applyFont="1" applyBorder="1" applyAlignment="1">
      <alignment horizontal="center"/>
    </xf>
    <xf numFmtId="0" fontId="3" fillId="2" borderId="10" xfId="0" applyFont="1" applyFill="1" applyBorder="1" applyAlignment="1">
      <alignment horizontal="center"/>
    </xf>
    <xf numFmtId="0" fontId="3" fillId="4" borderId="10" xfId="0" applyFont="1" applyFill="1" applyBorder="1"/>
    <xf numFmtId="0" fontId="8" fillId="3" borderId="10" xfId="0" applyFont="1" applyFill="1" applyBorder="1" applyAlignment="1"/>
    <xf numFmtId="0" fontId="3" fillId="0" borderId="0" xfId="0" applyFont="1"/>
    <xf numFmtId="0" fontId="7" fillId="0" borderId="0" xfId="0" applyFont="1" applyAlignment="1">
      <alignment wrapText="1"/>
    </xf>
    <xf numFmtId="0" fontId="3" fillId="0" borderId="0" xfId="0" applyFont="1" applyAlignment="1"/>
    <xf numFmtId="0" fontId="6" fillId="5" borderId="0" xfId="0" applyFont="1" applyFill="1" applyAlignment="1">
      <alignment horizontal="left"/>
    </xf>
    <xf numFmtId="0" fontId="5" fillId="5" borderId="8" xfId="0" applyFont="1" applyFill="1" applyBorder="1" applyAlignment="1">
      <alignment horizontal="left"/>
    </xf>
    <xf numFmtId="0" fontId="5" fillId="5" borderId="9" xfId="0" applyFont="1" applyFill="1" applyBorder="1" applyAlignment="1">
      <alignment horizontal="left"/>
    </xf>
    <xf numFmtId="0" fontId="7" fillId="3" borderId="11"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3" fillId="3" borderId="10" xfId="0" applyFont="1" applyFill="1" applyBorder="1" applyAlignment="1">
      <alignment horizontal="right"/>
    </xf>
    <xf numFmtId="0" fontId="3" fillId="3" borderId="10" xfId="0" applyFont="1" applyFill="1" applyBorder="1" applyAlignment="1"/>
    <xf numFmtId="10" fontId="3" fillId="5" borderId="10" xfId="0" applyNumberFormat="1" applyFont="1" applyFill="1" applyBorder="1" applyAlignment="1">
      <alignment horizontal="right"/>
    </xf>
    <xf numFmtId="0" fontId="3" fillId="5" borderId="10" xfId="0" applyFont="1" applyFill="1" applyBorder="1" applyAlignment="1">
      <alignment horizontal="center"/>
    </xf>
    <xf numFmtId="0" fontId="3" fillId="5" borderId="10" xfId="0" applyFont="1" applyFill="1" applyBorder="1" applyAlignment="1">
      <alignment horizontal="right" wrapText="1"/>
    </xf>
    <xf numFmtId="0" fontId="5" fillId="5" borderId="10" xfId="0" applyFont="1" applyFill="1" applyBorder="1" applyAlignment="1">
      <alignment vertical="top" wrapText="1"/>
    </xf>
    <xf numFmtId="0" fontId="3" fillId="5" borderId="10" xfId="0" applyFont="1" applyFill="1" applyBorder="1" applyAlignment="1">
      <alignment vertical="top"/>
    </xf>
    <xf numFmtId="0" fontId="5" fillId="5" borderId="10" xfId="0" applyFont="1" applyFill="1" applyBorder="1" applyAlignment="1">
      <alignment wrapText="1"/>
    </xf>
    <xf numFmtId="0" fontId="3" fillId="5" borderId="10" xfId="0" applyFont="1" applyFill="1" applyBorder="1" applyAlignment="1">
      <alignment wrapText="1"/>
    </xf>
    <xf numFmtId="0" fontId="3" fillId="5" borderId="10" xfId="0" applyFont="1" applyFill="1" applyBorder="1" applyAlignment="1"/>
    <xf numFmtId="0" fontId="3" fillId="5" borderId="10" xfId="0" applyFont="1" applyFill="1" applyBorder="1" applyAlignment="1">
      <alignment vertical="top" wrapText="1"/>
    </xf>
    <xf numFmtId="0" fontId="3" fillId="0" borderId="10" xfId="0" applyFont="1" applyBorder="1" applyAlignment="1">
      <alignment horizontal="right"/>
    </xf>
    <xf numFmtId="0" fontId="3" fillId="0" borderId="10" xfId="0" applyFont="1" applyBorder="1" applyAlignment="1"/>
    <xf numFmtId="10" fontId="3" fillId="4" borderId="10" xfId="0" applyNumberFormat="1" applyFont="1" applyFill="1" applyBorder="1" applyAlignment="1">
      <alignment horizontal="right"/>
    </xf>
    <xf numFmtId="0" fontId="3" fillId="4" borderId="10" xfId="0" applyFont="1" applyFill="1" applyBorder="1" applyAlignment="1">
      <alignment horizontal="right" wrapText="1"/>
    </xf>
    <xf numFmtId="0" fontId="3" fillId="4" borderId="11" xfId="0" applyFont="1" applyFill="1" applyBorder="1" applyAlignment="1">
      <alignment vertical="top" wrapText="1"/>
    </xf>
    <xf numFmtId="0" fontId="3" fillId="4" borderId="10" xfId="0" applyFont="1" applyFill="1" applyBorder="1" applyAlignment="1">
      <alignment vertical="top"/>
    </xf>
    <xf numFmtId="0" fontId="3" fillId="4" borderId="10" xfId="0" applyFont="1" applyFill="1" applyBorder="1" applyAlignment="1">
      <alignment vertical="top"/>
    </xf>
    <xf numFmtId="0" fontId="5" fillId="4" borderId="10" xfId="0" applyFont="1" applyFill="1" applyBorder="1" applyAlignment="1">
      <alignment wrapText="1"/>
    </xf>
    <xf numFmtId="0" fontId="3" fillId="4" borderId="10" xfId="0" applyFont="1" applyFill="1" applyBorder="1" applyAlignment="1">
      <alignment wrapText="1"/>
    </xf>
    <xf numFmtId="0" fontId="3" fillId="4" borderId="10" xfId="0" applyFont="1" applyFill="1" applyBorder="1" applyAlignment="1"/>
    <xf numFmtId="0" fontId="3" fillId="4" borderId="10" xfId="0" applyFont="1" applyFill="1" applyBorder="1" applyAlignment="1">
      <alignment vertical="top" wrapText="1"/>
    </xf>
    <xf numFmtId="0" fontId="5" fillId="4" borderId="11" xfId="0" applyFont="1" applyFill="1" applyBorder="1" applyAlignment="1">
      <alignment vertical="top" wrapText="1"/>
    </xf>
    <xf numFmtId="0" fontId="5" fillId="4" borderId="10" xfId="0" applyFont="1" applyFill="1" applyBorder="1" applyAlignment="1">
      <alignment vertical="top" wrapText="1"/>
    </xf>
    <xf numFmtId="0" fontId="5" fillId="4" borderId="10" xfId="0" applyFont="1" applyFill="1" applyBorder="1" applyAlignment="1">
      <alignment vertical="top" wrapText="1"/>
    </xf>
    <xf numFmtId="0" fontId="3" fillId="4" borderId="10" xfId="0" applyFont="1" applyFill="1" applyBorder="1" applyAlignment="1">
      <alignment wrapText="1"/>
    </xf>
    <xf numFmtId="0" fontId="3" fillId="4" borderId="10" xfId="0" applyFont="1" applyFill="1" applyBorder="1" applyAlignment="1">
      <alignment vertical="top" wrapText="1"/>
    </xf>
    <xf numFmtId="10" fontId="3" fillId="3" borderId="10" xfId="0" applyNumberFormat="1" applyFont="1" applyFill="1" applyBorder="1" applyAlignment="1">
      <alignment horizontal="right"/>
    </xf>
    <xf numFmtId="10" fontId="3" fillId="6" borderId="10" xfId="0" applyNumberFormat="1" applyFont="1" applyFill="1" applyBorder="1" applyAlignment="1">
      <alignment horizontal="right"/>
    </xf>
    <xf numFmtId="0" fontId="3" fillId="0" borderId="11" xfId="0" applyFont="1" applyBorder="1" applyAlignment="1">
      <alignment horizontal="right"/>
    </xf>
    <xf numFmtId="0" fontId="3" fillId="0" borderId="9" xfId="0" applyFont="1" applyBorder="1" applyAlignment="1"/>
    <xf numFmtId="0" fontId="3" fillId="0" borderId="9" xfId="0" applyFont="1" applyBorder="1" applyAlignment="1">
      <alignment horizontal="right"/>
    </xf>
    <xf numFmtId="10" fontId="3" fillId="0" borderId="0" xfId="0" applyNumberFormat="1" applyFont="1" applyAlignment="1"/>
    <xf numFmtId="10" fontId="3" fillId="0" borderId="8" xfId="0" applyNumberFormat="1" applyFont="1" applyBorder="1" applyAlignment="1"/>
    <xf numFmtId="0" fontId="3" fillId="0" borderId="8" xfId="0" applyFont="1" applyBorder="1" applyAlignment="1"/>
    <xf numFmtId="0" fontId="3" fillId="0" borderId="13" xfId="0" applyFont="1" applyBorder="1" applyAlignment="1"/>
    <xf numFmtId="10" fontId="3" fillId="4" borderId="9" xfId="0" applyNumberFormat="1" applyFont="1" applyFill="1" applyBorder="1" applyAlignment="1">
      <alignment horizontal="right"/>
    </xf>
    <xf numFmtId="0" fontId="3" fillId="4" borderId="9" xfId="0" applyFont="1" applyFill="1" applyBorder="1" applyAlignment="1">
      <alignment horizontal="right"/>
    </xf>
    <xf numFmtId="0" fontId="3" fillId="0" borderId="7" xfId="0" applyFont="1" applyBorder="1" applyAlignment="1">
      <alignment horizontal="left" vertical="top"/>
    </xf>
    <xf numFmtId="0" fontId="3" fillId="0" borderId="8" xfId="0" applyFont="1" applyBorder="1" applyAlignment="1">
      <alignment horizontal="left" vertical="top"/>
    </xf>
    <xf numFmtId="0" fontId="3" fillId="0" borderId="9" xfId="0" applyFont="1" applyBorder="1" applyAlignment="1">
      <alignment horizontal="left" vertical="top"/>
    </xf>
    <xf numFmtId="0" fontId="3" fillId="0" borderId="10" xfId="0" applyFont="1" applyBorder="1" applyAlignment="1">
      <alignment horizontal="left" vertical="top"/>
    </xf>
    <xf numFmtId="0" fontId="7" fillId="2" borderId="11"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3" fillId="5" borderId="11" xfId="0" applyFont="1" applyFill="1" applyBorder="1" applyAlignment="1">
      <alignment horizontal="right" wrapText="1"/>
    </xf>
    <xf numFmtId="0" fontId="3" fillId="5" borderId="9" xfId="0" applyFont="1" applyFill="1" applyBorder="1" applyAlignment="1">
      <alignment wrapText="1"/>
    </xf>
    <xf numFmtId="0" fontId="3" fillId="5" borderId="9" xfId="0" applyFont="1" applyFill="1" applyBorder="1" applyAlignment="1">
      <alignment wrapText="1"/>
    </xf>
    <xf numFmtId="9" fontId="3" fillId="5" borderId="9" xfId="0" applyNumberFormat="1" applyFont="1" applyFill="1" applyBorder="1" applyAlignment="1">
      <alignment horizontal="right" wrapText="1"/>
    </xf>
    <xf numFmtId="0" fontId="3" fillId="5" borderId="9" xfId="0" applyFont="1" applyFill="1" applyBorder="1" applyAlignment="1">
      <alignment horizontal="right" wrapText="1"/>
    </xf>
    <xf numFmtId="2" fontId="3" fillId="5" borderId="9" xfId="0" applyNumberFormat="1" applyFont="1" applyFill="1" applyBorder="1" applyAlignment="1">
      <alignment horizontal="right" wrapText="1"/>
    </xf>
    <xf numFmtId="0" fontId="3" fillId="4" borderId="11" xfId="0" applyFont="1" applyFill="1" applyBorder="1" applyAlignment="1">
      <alignment horizontal="right" wrapText="1"/>
    </xf>
    <xf numFmtId="0" fontId="3" fillId="4" borderId="9" xfId="0" applyFont="1" applyFill="1" applyBorder="1" applyAlignment="1">
      <alignment wrapText="1"/>
    </xf>
    <xf numFmtId="9" fontId="3" fillId="4" borderId="9" xfId="0" applyNumberFormat="1" applyFont="1" applyFill="1" applyBorder="1" applyAlignment="1">
      <alignment horizontal="right" wrapText="1"/>
    </xf>
    <xf numFmtId="0" fontId="3" fillId="4" borderId="9" xfId="0" applyFont="1" applyFill="1" applyBorder="1" applyAlignment="1">
      <alignment horizontal="right" wrapText="1"/>
    </xf>
    <xf numFmtId="2" fontId="3" fillId="4" borderId="9" xfId="0" applyNumberFormat="1" applyFont="1" applyFill="1" applyBorder="1" applyAlignment="1">
      <alignment horizontal="right" wrapText="1"/>
    </xf>
    <xf numFmtId="0" fontId="3" fillId="4" borderId="9" xfId="0" applyFont="1" applyFill="1" applyBorder="1" applyAlignment="1">
      <alignment vertical="top" wrapText="1"/>
    </xf>
    <xf numFmtId="0" fontId="3" fillId="4" borderId="9" xfId="0" applyFont="1" applyFill="1" applyBorder="1" applyAlignment="1">
      <alignment wrapText="1"/>
    </xf>
    <xf numFmtId="0" fontId="3" fillId="4" borderId="9" xfId="0" applyFont="1" applyFill="1" applyBorder="1" applyAlignment="1">
      <alignment vertical="top" wrapText="1"/>
    </xf>
    <xf numFmtId="0" fontId="5" fillId="3" borderId="0" xfId="0" applyFont="1" applyFill="1" applyAlignment="1">
      <alignment horizontal="left" wrapText="1"/>
    </xf>
    <xf numFmtId="0" fontId="3" fillId="5" borderId="0" xfId="0" applyFont="1" applyFill="1"/>
    <xf numFmtId="0" fontId="3" fillId="0" borderId="10" xfId="0" applyFont="1" applyBorder="1" applyAlignment="1"/>
    <xf numFmtId="0" fontId="3" fillId="5" borderId="10" xfId="0" applyFont="1" applyFill="1" applyBorder="1" applyAlignment="1"/>
    <xf numFmtId="0" fontId="7" fillId="0" borderId="0" xfId="0" applyFont="1" applyAlignment="1">
      <alignment horizontal="left" vertical="top" wrapText="1"/>
    </xf>
    <xf numFmtId="0" fontId="6" fillId="3" borderId="0" xfId="0" applyFont="1" applyFill="1" applyAlignment="1">
      <alignment horizontal="left" wrapText="1"/>
    </xf>
    <xf numFmtId="0" fontId="7" fillId="0" borderId="0" xfId="0" applyFont="1" applyAlignment="1">
      <alignment wrapText="1"/>
    </xf>
    <xf numFmtId="0" fontId="12" fillId="2" borderId="0" xfId="0" applyFont="1" applyFill="1" applyAlignment="1">
      <alignment horizontal="center"/>
    </xf>
    <xf numFmtId="0" fontId="12" fillId="2" borderId="0" xfId="0" applyFont="1" applyFill="1" applyAlignment="1">
      <alignment horizontal="left" vertical="top" wrapText="1"/>
    </xf>
    <xf numFmtId="0" fontId="13" fillId="2" borderId="0" xfId="0" applyFont="1" applyFill="1"/>
    <xf numFmtId="0" fontId="12" fillId="2" borderId="0" xfId="0" applyFont="1" applyFill="1" applyAlignment="1">
      <alignment horizontal="left" wrapText="1"/>
    </xf>
    <xf numFmtId="0" fontId="7" fillId="0" borderId="0" xfId="0" applyFont="1" applyAlignment="1">
      <alignment horizontal="center"/>
    </xf>
    <xf numFmtId="0" fontId="7" fillId="6" borderId="10" xfId="0" applyFont="1" applyFill="1" applyBorder="1" applyAlignment="1">
      <alignment horizontal="center"/>
    </xf>
    <xf numFmtId="0" fontId="7" fillId="0" borderId="0" xfId="0" applyFont="1" applyAlignment="1"/>
    <xf numFmtId="0" fontId="7" fillId="3" borderId="10" xfId="0" applyFont="1" applyFill="1" applyBorder="1" applyAlignment="1">
      <alignment horizontal="center" wrapText="1"/>
    </xf>
    <xf numFmtId="0" fontId="7" fillId="3" borderId="10" xfId="0" applyFont="1" applyFill="1" applyBorder="1" applyAlignment="1">
      <alignment wrapText="1"/>
    </xf>
    <xf numFmtId="0" fontId="7" fillId="6" borderId="10" xfId="0" applyFont="1" applyFill="1" applyBorder="1" applyAlignment="1">
      <alignment horizontal="right"/>
    </xf>
    <xf numFmtId="0" fontId="3" fillId="6" borderId="10" xfId="0" applyFont="1" applyFill="1" applyBorder="1" applyAlignment="1">
      <alignment horizontal="right"/>
    </xf>
    <xf numFmtId="0" fontId="14" fillId="6" borderId="10" xfId="0" applyFont="1" applyFill="1" applyBorder="1" applyAlignment="1">
      <alignment horizontal="right"/>
    </xf>
    <xf numFmtId="3" fontId="3" fillId="6" borderId="10" xfId="0" applyNumberFormat="1" applyFont="1" applyFill="1" applyBorder="1" applyAlignment="1">
      <alignment horizontal="right"/>
    </xf>
    <xf numFmtId="9" fontId="3" fillId="5" borderId="10" xfId="0" applyNumberFormat="1" applyFont="1" applyFill="1" applyBorder="1" applyAlignment="1">
      <alignment horizontal="right"/>
    </xf>
    <xf numFmtId="0" fontId="14" fillId="3" borderId="0" xfId="0" applyFont="1" applyFill="1" applyAlignment="1">
      <alignment horizontal="right"/>
    </xf>
    <xf numFmtId="0" fontId="6" fillId="3" borderId="12" xfId="0" applyFont="1" applyFill="1" applyBorder="1" applyAlignment="1">
      <alignment horizontal="left" wrapText="1"/>
    </xf>
    <xf numFmtId="0" fontId="6" fillId="3" borderId="13" xfId="0" applyFont="1" applyFill="1" applyBorder="1" applyAlignment="1">
      <alignment horizontal="left" wrapText="1"/>
    </xf>
    <xf numFmtId="0" fontId="7" fillId="3" borderId="10" xfId="0" applyFont="1" applyFill="1" applyBorder="1" applyAlignment="1">
      <alignment horizontal="right"/>
    </xf>
    <xf numFmtId="3" fontId="3" fillId="3" borderId="10" xfId="0" applyNumberFormat="1" applyFont="1" applyFill="1" applyBorder="1" applyAlignment="1">
      <alignment horizontal="right"/>
    </xf>
    <xf numFmtId="9" fontId="3" fillId="4" borderId="10" xfId="0" applyNumberFormat="1" applyFont="1" applyFill="1" applyBorder="1" applyAlignment="1">
      <alignment horizontal="right"/>
    </xf>
    <xf numFmtId="0" fontId="3" fillId="0" borderId="0" xfId="0" applyFont="1" applyAlignment="1">
      <alignment horizontal="right"/>
    </xf>
    <xf numFmtId="0" fontId="3" fillId="6" borderId="10" xfId="0" applyFont="1" applyFill="1" applyBorder="1" applyAlignment="1">
      <alignment horizontal="right"/>
    </xf>
    <xf numFmtId="0" fontId="7" fillId="0" borderId="0" xfId="0" applyFont="1" applyAlignment="1">
      <alignment horizontal="right"/>
    </xf>
    <xf numFmtId="0" fontId="3" fillId="3" borderId="10" xfId="0" applyFont="1" applyFill="1" applyBorder="1" applyAlignment="1">
      <alignment horizontal="right"/>
    </xf>
    <xf numFmtId="0" fontId="7" fillId="2" borderId="10" xfId="0" applyFont="1" applyFill="1" applyBorder="1" applyAlignment="1">
      <alignment horizontal="center" wrapText="1"/>
    </xf>
    <xf numFmtId="0" fontId="7" fillId="2" borderId="10" xfId="0" applyFont="1" applyFill="1" applyBorder="1" applyAlignment="1">
      <alignment wrapText="1"/>
    </xf>
    <xf numFmtId="0" fontId="7" fillId="0" borderId="10" xfId="0" applyFont="1" applyBorder="1" applyAlignment="1">
      <alignment horizontal="right"/>
    </xf>
    <xf numFmtId="0" fontId="14" fillId="3" borderId="10" xfId="0" applyFont="1" applyFill="1" applyBorder="1" applyAlignment="1">
      <alignment horizontal="right"/>
    </xf>
    <xf numFmtId="3" fontId="3" fillId="0" borderId="10" xfId="0" applyNumberFormat="1" applyFont="1" applyBorder="1" applyAlignment="1">
      <alignment horizontal="right"/>
    </xf>
    <xf numFmtId="0" fontId="14" fillId="3" borderId="10" xfId="0" applyFont="1" applyFill="1" applyBorder="1" applyAlignment="1">
      <alignment horizontal="right"/>
    </xf>
    <xf numFmtId="0" fontId="3" fillId="0" borderId="10" xfId="0" applyFont="1" applyBorder="1" applyAlignment="1">
      <alignment horizontal="right"/>
    </xf>
    <xf numFmtId="0" fontId="3" fillId="0" borderId="0" xfId="0" applyFont="1" applyAlignment="1">
      <alignment horizontal="right"/>
    </xf>
    <xf numFmtId="0" fontId="3" fillId="0" borderId="0" xfId="0" applyFont="1" applyAlignment="1"/>
    <xf numFmtId="0" fontId="7" fillId="0" borderId="0" xfId="0" applyFont="1" applyAlignment="1">
      <alignment horizontal="center" wrapText="1"/>
    </xf>
    <xf numFmtId="0" fontId="3" fillId="0" borderId="0" xfId="0" applyFont="1" applyAlignment="1">
      <alignment wrapText="1"/>
    </xf>
    <xf numFmtId="9" fontId="7" fillId="5" borderId="10" xfId="0" applyNumberFormat="1" applyFont="1" applyFill="1" applyBorder="1" applyAlignment="1">
      <alignment horizontal="right"/>
    </xf>
    <xf numFmtId="3" fontId="3" fillId="0" borderId="0" xfId="0" applyNumberFormat="1" applyFont="1" applyAlignment="1">
      <alignment horizontal="right"/>
    </xf>
    <xf numFmtId="9" fontId="3" fillId="0" borderId="0" xfId="0" applyNumberFormat="1" applyFont="1" applyAlignment="1">
      <alignment horizontal="right"/>
    </xf>
    <xf numFmtId="0" fontId="3" fillId="0" borderId="0" xfId="0" applyFont="1" applyAlignment="1">
      <alignment horizontal="right"/>
    </xf>
    <xf numFmtId="0" fontId="10" fillId="2" borderId="0" xfId="0" applyFont="1" applyFill="1" applyAlignment="1">
      <alignment horizontal="center"/>
    </xf>
    <xf numFmtId="0" fontId="15" fillId="2" borderId="0" xfId="0" applyFont="1" applyFill="1" applyAlignment="1">
      <alignment horizontal="center"/>
    </xf>
    <xf numFmtId="0" fontId="7" fillId="5" borderId="0" xfId="0" applyFont="1" applyFill="1" applyAlignment="1">
      <alignment horizontal="left" vertical="top" wrapText="1"/>
    </xf>
    <xf numFmtId="0" fontId="5" fillId="5" borderId="0" xfId="0" applyFont="1" applyFill="1" applyAlignment="1">
      <alignment horizontal="left" wrapText="1"/>
    </xf>
    <xf numFmtId="0" fontId="3" fillId="3" borderId="0" xfId="0" applyFont="1" applyFill="1" applyAlignment="1">
      <alignment horizontal="left" wrapText="1"/>
    </xf>
    <xf numFmtId="0" fontId="7" fillId="2" borderId="0" xfId="0" applyFont="1" applyFill="1" applyAlignment="1">
      <alignment horizontal="center"/>
    </xf>
    <xf numFmtId="0" fontId="3" fillId="5" borderId="0" xfId="0" applyFont="1" applyFill="1" applyAlignment="1">
      <alignment horizontal="center"/>
    </xf>
    <xf numFmtId="0" fontId="3" fillId="4" borderId="0" xfId="0" applyFont="1" applyFill="1" applyAlignment="1">
      <alignment horizontal="center"/>
    </xf>
    <xf numFmtId="0" fontId="6" fillId="5" borderId="0" xfId="0" applyFont="1" applyFill="1" applyAlignment="1">
      <alignment horizontal="left" wrapText="1"/>
    </xf>
    <xf numFmtId="0" fontId="3" fillId="5" borderId="0" xfId="0" applyFont="1" applyFill="1" applyAlignment="1">
      <alignment horizontal="center" wrapText="1"/>
    </xf>
    <xf numFmtId="0" fontId="3" fillId="4" borderId="0" xfId="0" applyFont="1" applyFill="1" applyAlignment="1">
      <alignment horizontal="center" wrapText="1"/>
    </xf>
    <xf numFmtId="0" fontId="3" fillId="3" borderId="0" xfId="0" applyFont="1" applyFill="1" applyAlignment="1">
      <alignment horizontal="center" wrapText="1"/>
    </xf>
    <xf numFmtId="0" fontId="16" fillId="0" borderId="0" xfId="0" applyFont="1"/>
    <xf numFmtId="0" fontId="18" fillId="0" borderId="0" xfId="0" applyFont="1" applyAlignment="1">
      <alignment horizontal="center" vertical="center"/>
    </xf>
    <xf numFmtId="0" fontId="17" fillId="2" borderId="10" xfId="0" applyFont="1" applyFill="1" applyBorder="1" applyAlignment="1">
      <alignment horizontal="center" wrapText="1"/>
    </xf>
    <xf numFmtId="0" fontId="17" fillId="9" borderId="10" xfId="0" applyFont="1" applyFill="1" applyBorder="1" applyAlignment="1">
      <alignment horizontal="center"/>
    </xf>
    <xf numFmtId="3" fontId="17" fillId="9" borderId="10" xfId="0" applyNumberFormat="1" applyFont="1" applyFill="1" applyBorder="1" applyAlignment="1">
      <alignment horizontal="center"/>
    </xf>
    <xf numFmtId="1" fontId="17" fillId="9" borderId="10" xfId="0" applyNumberFormat="1" applyFont="1" applyFill="1" applyBorder="1" applyAlignment="1">
      <alignment horizontal="center"/>
    </xf>
    <xf numFmtId="0" fontId="19" fillId="9" borderId="10" xfId="0" applyFont="1" applyFill="1" applyBorder="1" applyAlignment="1">
      <alignment horizontal="center"/>
    </xf>
    <xf numFmtId="3" fontId="19" fillId="9" borderId="10" xfId="0" applyNumberFormat="1" applyFont="1" applyFill="1" applyBorder="1" applyAlignment="1">
      <alignment horizontal="center"/>
    </xf>
    <xf numFmtId="9" fontId="19" fillId="10" borderId="10" xfId="0" applyNumberFormat="1" applyFont="1" applyFill="1" applyBorder="1" applyAlignment="1">
      <alignment horizontal="center"/>
    </xf>
    <xf numFmtId="9" fontId="19" fillId="8" borderId="10" xfId="0" applyNumberFormat="1" applyFont="1" applyFill="1" applyBorder="1" applyAlignment="1">
      <alignment horizontal="center"/>
    </xf>
    <xf numFmtId="9" fontId="19" fillId="11" borderId="10" xfId="0" applyNumberFormat="1" applyFont="1" applyFill="1" applyBorder="1" applyAlignment="1">
      <alignment horizontal="center"/>
    </xf>
    <xf numFmtId="9" fontId="19" fillId="12" borderId="10" xfId="0" applyNumberFormat="1" applyFont="1" applyFill="1" applyBorder="1" applyAlignment="1">
      <alignment horizontal="center"/>
    </xf>
    <xf numFmtId="1" fontId="16" fillId="8" borderId="10" xfId="0" applyNumberFormat="1" applyFont="1" applyFill="1" applyBorder="1" applyAlignment="1">
      <alignment horizontal="center"/>
    </xf>
    <xf numFmtId="9" fontId="16" fillId="8" borderId="10" xfId="0" applyNumberFormat="1" applyFont="1" applyFill="1" applyBorder="1" applyAlignment="1">
      <alignment horizontal="center"/>
    </xf>
    <xf numFmtId="9" fontId="19" fillId="13" borderId="10" xfId="0" applyNumberFormat="1" applyFont="1" applyFill="1" applyBorder="1" applyAlignment="1">
      <alignment horizontal="center"/>
    </xf>
    <xf numFmtId="1" fontId="16" fillId="4" borderId="10" xfId="0" applyNumberFormat="1" applyFont="1" applyFill="1" applyBorder="1" applyAlignment="1">
      <alignment horizontal="center"/>
    </xf>
    <xf numFmtId="9" fontId="19" fillId="14" borderId="10" xfId="0" applyNumberFormat="1" applyFont="1" applyFill="1" applyBorder="1" applyAlignment="1">
      <alignment horizontal="center"/>
    </xf>
    <xf numFmtId="9" fontId="19" fillId="15" borderId="10" xfId="0" applyNumberFormat="1" applyFont="1" applyFill="1" applyBorder="1" applyAlignment="1">
      <alignment horizontal="center"/>
    </xf>
    <xf numFmtId="9" fontId="16" fillId="4" borderId="10" xfId="0" applyNumberFormat="1" applyFont="1" applyFill="1" applyBorder="1" applyAlignment="1">
      <alignment horizontal="center"/>
    </xf>
    <xf numFmtId="9" fontId="19" fillId="16" borderId="10" xfId="0" applyNumberFormat="1" applyFont="1" applyFill="1" applyBorder="1" applyAlignment="1">
      <alignment horizontal="center"/>
    </xf>
    <xf numFmtId="9" fontId="19" fillId="17" borderId="10" xfId="0" applyNumberFormat="1" applyFont="1" applyFill="1" applyBorder="1" applyAlignment="1">
      <alignment horizontal="center"/>
    </xf>
    <xf numFmtId="9" fontId="19" fillId="18" borderId="10" xfId="0" applyNumberFormat="1" applyFont="1" applyFill="1" applyBorder="1" applyAlignment="1">
      <alignment horizontal="center"/>
    </xf>
    <xf numFmtId="9" fontId="19" fillId="19" borderId="10" xfId="0" applyNumberFormat="1" applyFont="1" applyFill="1" applyBorder="1" applyAlignment="1">
      <alignment horizontal="center"/>
    </xf>
    <xf numFmtId="9" fontId="19" fillId="20" borderId="10" xfId="0" applyNumberFormat="1" applyFont="1" applyFill="1" applyBorder="1" applyAlignment="1">
      <alignment horizontal="center"/>
    </xf>
    <xf numFmtId="0" fontId="19" fillId="9" borderId="10" xfId="0" applyFont="1" applyFill="1" applyBorder="1" applyAlignment="1">
      <alignment horizontal="center"/>
    </xf>
    <xf numFmtId="9" fontId="19" fillId="21" borderId="10" xfId="0" applyNumberFormat="1" applyFont="1" applyFill="1" applyBorder="1" applyAlignment="1">
      <alignment horizontal="center"/>
    </xf>
    <xf numFmtId="9" fontId="19" fillId="22" borderId="10" xfId="0" applyNumberFormat="1" applyFont="1" applyFill="1" applyBorder="1" applyAlignment="1">
      <alignment horizontal="center"/>
    </xf>
    <xf numFmtId="9" fontId="19" fillId="23" borderId="10" xfId="0" applyNumberFormat="1" applyFont="1" applyFill="1" applyBorder="1" applyAlignment="1">
      <alignment horizontal="center"/>
    </xf>
    <xf numFmtId="9" fontId="19" fillId="24" borderId="10" xfId="0" applyNumberFormat="1" applyFont="1" applyFill="1" applyBorder="1" applyAlignment="1">
      <alignment horizontal="center"/>
    </xf>
    <xf numFmtId="164" fontId="17" fillId="9" borderId="10" xfId="0" applyNumberFormat="1" applyFont="1" applyFill="1" applyBorder="1" applyAlignment="1">
      <alignment horizontal="center"/>
    </xf>
    <xf numFmtId="3" fontId="20" fillId="9" borderId="10" xfId="0" applyNumberFormat="1" applyFont="1" applyFill="1" applyBorder="1" applyAlignment="1">
      <alignment horizontal="center"/>
    </xf>
    <xf numFmtId="9" fontId="20" fillId="9" borderId="10" xfId="0" applyNumberFormat="1" applyFont="1" applyFill="1" applyBorder="1" applyAlignment="1">
      <alignment horizontal="center"/>
    </xf>
    <xf numFmtId="3" fontId="20" fillId="4" borderId="10" xfId="0" applyNumberFormat="1" applyFont="1" applyFill="1" applyBorder="1" applyAlignment="1">
      <alignment horizontal="center"/>
    </xf>
    <xf numFmtId="0" fontId="17" fillId="2" borderId="10" xfId="0" applyFont="1" applyFill="1" applyBorder="1" applyAlignment="1">
      <alignment horizontal="center" wrapText="1"/>
    </xf>
    <xf numFmtId="3" fontId="19" fillId="9" borderId="10" xfId="0" applyNumberFormat="1" applyFont="1" applyFill="1" applyBorder="1" applyAlignment="1">
      <alignment horizontal="center"/>
    </xf>
    <xf numFmtId="0" fontId="17" fillId="9" borderId="10" xfId="0" applyFont="1" applyFill="1" applyBorder="1" applyAlignment="1">
      <alignment horizontal="center"/>
    </xf>
    <xf numFmtId="9" fontId="16" fillId="4" borderId="10" xfId="1" applyFont="1" applyFill="1" applyBorder="1" applyAlignment="1">
      <alignment horizontal="center"/>
    </xf>
    <xf numFmtId="9" fontId="20" fillId="4" borderId="10" xfId="1" applyFont="1" applyFill="1" applyBorder="1" applyAlignment="1">
      <alignment horizontal="center"/>
    </xf>
    <xf numFmtId="0" fontId="3" fillId="0" borderId="1" xfId="0" applyFont="1" applyBorder="1" applyAlignment="1">
      <alignment vertical="top" wrapText="1"/>
    </xf>
    <xf numFmtId="0" fontId="2" fillId="0" borderId="2" xfId="0" applyFont="1" applyBorder="1"/>
    <xf numFmtId="0" fontId="2" fillId="0" borderId="3" xfId="0" applyFont="1" applyBorder="1"/>
    <xf numFmtId="0" fontId="6" fillId="3" borderId="1" xfId="0" applyFont="1" applyFill="1" applyBorder="1" applyAlignment="1">
      <alignment horizontal="left" wrapText="1"/>
    </xf>
    <xf numFmtId="0" fontId="1" fillId="2" borderId="1" xfId="0" applyFont="1" applyFill="1" applyBorder="1" applyAlignment="1">
      <alignment horizontal="right"/>
    </xf>
    <xf numFmtId="0" fontId="3" fillId="0" borderId="4" xfId="0" applyFont="1" applyBorder="1" applyAlignment="1">
      <alignment vertical="top" wrapText="1"/>
    </xf>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4" fillId="0" borderId="1" xfId="0" applyFont="1" applyBorder="1" applyAlignment="1">
      <alignment vertical="top" wrapText="1"/>
    </xf>
    <xf numFmtId="0" fontId="5" fillId="3" borderId="8" xfId="0" applyFont="1" applyFill="1" applyBorder="1" applyAlignment="1">
      <alignment horizontal="left" wrapText="1"/>
    </xf>
    <xf numFmtId="0" fontId="5" fillId="4" borderId="1" xfId="0" applyFont="1" applyFill="1" applyBorder="1" applyAlignment="1">
      <alignment vertical="top" wrapText="1"/>
    </xf>
    <xf numFmtId="0" fontId="7" fillId="0" borderId="7" xfId="0" applyFont="1" applyBorder="1" applyAlignment="1">
      <alignment horizontal="left" vertical="top" wrapText="1"/>
    </xf>
    <xf numFmtId="0" fontId="7" fillId="2" borderId="1" xfId="0" applyFont="1" applyFill="1" applyBorder="1" applyAlignment="1">
      <alignment horizontal="center" vertical="center" wrapText="1"/>
    </xf>
    <xf numFmtId="0" fontId="5" fillId="5" borderId="1" xfId="0" applyFont="1" applyFill="1" applyBorder="1" applyAlignment="1">
      <alignment vertical="top" wrapText="1"/>
    </xf>
    <xf numFmtId="0" fontId="3" fillId="4" borderId="1" xfId="0" applyFont="1" applyFill="1" applyBorder="1" applyAlignment="1">
      <alignment vertical="top" wrapText="1"/>
    </xf>
    <xf numFmtId="0" fontId="3" fillId="0" borderId="12" xfId="0" applyFont="1" applyBorder="1" applyAlignment="1">
      <alignment vertical="top" wrapText="1"/>
    </xf>
    <xf numFmtId="0" fontId="0" fillId="0" borderId="0" xfId="0" applyFont="1" applyAlignment="1"/>
    <xf numFmtId="0" fontId="2" fillId="0" borderId="13" xfId="0" applyFont="1" applyBorder="1"/>
    <xf numFmtId="0" fontId="7" fillId="0" borderId="12" xfId="0" applyFont="1" applyBorder="1" applyAlignment="1">
      <alignment vertical="top" wrapText="1"/>
    </xf>
    <xf numFmtId="0" fontId="7" fillId="0" borderId="12" xfId="0" applyFont="1" applyBorder="1" applyAlignment="1">
      <alignment horizontal="left" vertical="top" wrapText="1"/>
    </xf>
    <xf numFmtId="0" fontId="7" fillId="0" borderId="1" xfId="0" applyFont="1" applyBorder="1" applyAlignment="1">
      <alignment vertical="top" wrapText="1"/>
    </xf>
    <xf numFmtId="0" fontId="7" fillId="0" borderId="4" xfId="0" applyFont="1" applyBorder="1" applyAlignment="1">
      <alignment vertical="top" wrapText="1"/>
    </xf>
    <xf numFmtId="0" fontId="9" fillId="2" borderId="4" xfId="0" applyFont="1" applyFill="1" applyBorder="1" applyAlignment="1">
      <alignment horizontal="center"/>
    </xf>
    <xf numFmtId="0" fontId="3" fillId="0" borderId="12" xfId="0" applyFont="1" applyBorder="1" applyAlignment="1">
      <alignment horizontal="left" vertical="top"/>
    </xf>
    <xf numFmtId="0" fontId="7" fillId="0" borderId="4" xfId="0" applyFont="1" applyBorder="1" applyAlignment="1">
      <alignment horizontal="left" vertical="top" wrapText="1"/>
    </xf>
    <xf numFmtId="0" fontId="11" fillId="0" borderId="4" xfId="0" applyFont="1" applyBorder="1" applyAlignment="1">
      <alignment horizontal="left" vertical="top" wrapText="1"/>
    </xf>
    <xf numFmtId="0" fontId="3" fillId="3" borderId="1" xfId="0" applyFont="1" applyFill="1" applyBorder="1" applyAlignment="1">
      <alignment horizontal="left" wrapText="1"/>
    </xf>
    <xf numFmtId="0" fontId="7" fillId="2" borderId="1" xfId="0" applyFont="1" applyFill="1" applyBorder="1" applyAlignment="1">
      <alignment horizontal="center"/>
    </xf>
    <xf numFmtId="0" fontId="5" fillId="3" borderId="0" xfId="0" applyFont="1" applyFill="1" applyAlignment="1">
      <alignment horizontal="left" wrapText="1"/>
    </xf>
    <xf numFmtId="0" fontId="5" fillId="3" borderId="1" xfId="0" applyFont="1" applyFill="1" applyBorder="1" applyAlignment="1">
      <alignment horizontal="left" wrapText="1"/>
    </xf>
    <xf numFmtId="0" fontId="3" fillId="3" borderId="12" xfId="0" applyFont="1" applyFill="1" applyBorder="1" applyAlignment="1">
      <alignment horizontal="left" wrapText="1"/>
    </xf>
    <xf numFmtId="0" fontId="10" fillId="2" borderId="1" xfId="0" applyFont="1" applyFill="1" applyBorder="1" applyAlignment="1">
      <alignment horizontal="center"/>
    </xf>
    <xf numFmtId="0" fontId="7" fillId="0" borderId="1" xfId="0" applyFont="1" applyBorder="1" applyAlignment="1">
      <alignment horizontal="left" vertical="top" wrapText="1"/>
    </xf>
    <xf numFmtId="0" fontId="6" fillId="3" borderId="14" xfId="0" applyFont="1" applyFill="1" applyBorder="1" applyAlignment="1">
      <alignment horizontal="left" wrapText="1"/>
    </xf>
    <xf numFmtId="0" fontId="2" fillId="0" borderId="15" xfId="0" applyFont="1" applyBorder="1"/>
    <xf numFmtId="0" fontId="2" fillId="0" borderId="11" xfId="0" applyFont="1" applyBorder="1"/>
    <xf numFmtId="0" fontId="3" fillId="4" borderId="4" xfId="0" applyFont="1" applyFill="1" applyBorder="1" applyAlignment="1">
      <alignment wrapText="1"/>
    </xf>
    <xf numFmtId="0" fontId="2" fillId="0" borderId="12" xfId="0" applyFont="1" applyBorder="1"/>
    <xf numFmtId="0" fontId="7" fillId="4" borderId="4" xfId="0" applyFont="1" applyFill="1" applyBorder="1" applyAlignment="1">
      <alignment horizontal="left" vertical="top" wrapText="1"/>
    </xf>
    <xf numFmtId="0" fontId="6" fillId="3" borderId="4" xfId="0" applyFont="1" applyFill="1" applyBorder="1" applyAlignment="1">
      <alignment horizontal="left" wrapText="1"/>
    </xf>
    <xf numFmtId="0" fontId="3" fillId="4" borderId="14" xfId="0" applyFont="1" applyFill="1" applyBorder="1" applyAlignment="1">
      <alignment wrapText="1"/>
    </xf>
    <xf numFmtId="0" fontId="3" fillId="4" borderId="14" xfId="0" applyFont="1" applyFill="1" applyBorder="1" applyAlignment="1">
      <alignment horizontal="center" wrapText="1"/>
    </xf>
    <xf numFmtId="0" fontId="7" fillId="0" borderId="12" xfId="0" applyFont="1" applyBorder="1" applyAlignment="1">
      <alignment wrapText="1"/>
    </xf>
    <xf numFmtId="0" fontId="7" fillId="0" borderId="7" xfId="0" applyFont="1" applyBorder="1" applyAlignment="1">
      <alignment wrapText="1"/>
    </xf>
    <xf numFmtId="0" fontId="7" fillId="5" borderId="0" xfId="0" applyFont="1" applyFill="1" applyAlignment="1">
      <alignment wrapText="1"/>
    </xf>
    <xf numFmtId="0" fontId="2" fillId="7" borderId="2" xfId="0" applyFont="1" applyFill="1" applyBorder="1"/>
    <xf numFmtId="0" fontId="2" fillId="7" borderId="3" xfId="0" applyFont="1" applyFill="1" applyBorder="1"/>
    <xf numFmtId="0" fontId="7" fillId="3" borderId="1" xfId="0" applyFont="1" applyFill="1" applyBorder="1" applyAlignment="1">
      <alignment horizontal="center"/>
    </xf>
    <xf numFmtId="0" fontId="2" fillId="3" borderId="2" xfId="0" applyFont="1" applyFill="1" applyBorder="1"/>
    <xf numFmtId="0" fontId="2" fillId="3" borderId="3" xfId="0" applyFont="1" applyFill="1" applyBorder="1"/>
    <xf numFmtId="0" fontId="7" fillId="0" borderId="4" xfId="0" applyFont="1" applyBorder="1" applyAlignment="1">
      <alignment horizontal="center"/>
    </xf>
    <xf numFmtId="0" fontId="7" fillId="0" borderId="4" xfId="0" applyFont="1" applyBorder="1" applyAlignment="1">
      <alignment wrapText="1"/>
    </xf>
    <xf numFmtId="0" fontId="7" fillId="6" borderId="1" xfId="0" applyFont="1" applyFill="1" applyBorder="1" applyAlignment="1">
      <alignment horizontal="center"/>
    </xf>
    <xf numFmtId="0" fontId="2" fillId="6" borderId="2" xfId="0" applyFont="1" applyFill="1" applyBorder="1"/>
    <xf numFmtId="0" fontId="2" fillId="6" borderId="3" xfId="0" applyFont="1" applyFill="1" applyBorder="1"/>
    <xf numFmtId="0" fontId="7" fillId="0" borderId="1" xfId="0" applyFont="1" applyBorder="1" applyAlignment="1">
      <alignment wrapText="1"/>
    </xf>
    <xf numFmtId="0" fontId="7" fillId="0" borderId="4" xfId="0" applyFont="1" applyBorder="1"/>
    <xf numFmtId="0" fontId="3" fillId="0" borderId="1" xfId="0" applyFont="1" applyBorder="1" applyAlignment="1">
      <alignment wrapText="1"/>
    </xf>
    <xf numFmtId="0" fontId="7" fillId="5" borderId="0" xfId="0" applyFont="1" applyFill="1" applyAlignment="1">
      <alignment horizontal="left"/>
    </xf>
    <xf numFmtId="0" fontId="7" fillId="2" borderId="4" xfId="0" applyFont="1" applyFill="1" applyBorder="1" applyAlignment="1">
      <alignment horizontal="center" vertical="center" wrapText="1"/>
    </xf>
    <xf numFmtId="0" fontId="16" fillId="4" borderId="4" xfId="0" applyFont="1" applyFill="1" applyBorder="1" applyAlignment="1">
      <alignment horizontal="left" vertical="top" wrapText="1"/>
    </xf>
    <xf numFmtId="0" fontId="18" fillId="2" borderId="14" xfId="0" applyFont="1" applyFill="1" applyBorder="1" applyAlignment="1">
      <alignment horizontal="center" wrapText="1"/>
    </xf>
    <xf numFmtId="0" fontId="6" fillId="2" borderId="14" xfId="0" applyFont="1" applyFill="1" applyBorder="1" applyAlignment="1">
      <alignment horizontal="center" wrapText="1"/>
    </xf>
    <xf numFmtId="0" fontId="16" fillId="0" borderId="4" xfId="0" applyFont="1" applyBorder="1"/>
    <xf numFmtId="0" fontId="17" fillId="2" borderId="1" xfId="0" applyFont="1" applyFill="1" applyBorder="1" applyAlignment="1">
      <alignment horizontal="center"/>
    </xf>
    <xf numFmtId="0" fontId="18" fillId="0" borderId="0" xfId="0" applyFont="1" applyAlignment="1">
      <alignment horizontal="center" vertical="center"/>
    </xf>
    <xf numFmtId="0" fontId="7" fillId="8" borderId="0" xfId="0" applyFont="1" applyFill="1" applyAlignment="1">
      <alignment horizontal="left"/>
    </xf>
  </cellXfs>
  <cellStyles count="2">
    <cellStyle name="Normal" xfId="0" builtinId="0"/>
    <cellStyle name="Percent" xfId="1" builtinId="5"/>
  </cellStyles>
  <dxfs count="39">
    <dxf>
      <numFmt numFmtId="1" formatCode="0"/>
    </dxf>
    <dxf>
      <numFmt numFmtId="1" formatCode="0"/>
    </dxf>
    <dxf>
      <numFmt numFmtId="1" formatCode="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2">
    <tableStyle name="Tab 8 - Segment Analysis-style" pivot="0" count="3" xr9:uid="{00000000-0011-0000-FFFF-FFFF00000000}">
      <tableStyleElement type="headerRow" dxfId="38"/>
      <tableStyleElement type="firstRowStripe" dxfId="37"/>
      <tableStyleElement type="secondRowStripe" dxfId="36"/>
    </tableStyle>
    <tableStyle name="Tab 8 - Segment Analysis-style 2" pivot="0" count="3" xr9:uid="{00000000-0011-0000-FFFF-FFFF01000000}">
      <tableStyleElement type="headerRow" dxfId="35"/>
      <tableStyleElement type="firstRowStripe" dxfId="34"/>
      <tableStyleElement type="secondRowStripe" dxfId="33"/>
    </tableStyle>
    <tableStyle name="Tab 8 - Segment Analysis-style 3" pivot="0" count="3" xr9:uid="{00000000-0011-0000-FFFF-FFFF02000000}">
      <tableStyleElement type="headerRow" dxfId="32"/>
      <tableStyleElement type="firstRowStripe" dxfId="31"/>
      <tableStyleElement type="secondRowStripe" dxfId="30"/>
    </tableStyle>
    <tableStyle name="Tab 8 - Segment Analysis-style 4" pivot="0" count="3" xr9:uid="{00000000-0011-0000-FFFF-FFFF03000000}">
      <tableStyleElement type="headerRow" dxfId="29"/>
      <tableStyleElement type="firstRowStripe" dxfId="28"/>
      <tableStyleElement type="secondRowStripe" dxfId="27"/>
    </tableStyle>
    <tableStyle name="Tab 8 - Segment Analysis-style 5" pivot="0" count="3" xr9:uid="{00000000-0011-0000-FFFF-FFFF04000000}">
      <tableStyleElement type="headerRow" dxfId="26"/>
      <tableStyleElement type="firstRowStripe" dxfId="25"/>
      <tableStyleElement type="secondRowStripe" dxfId="24"/>
    </tableStyle>
    <tableStyle name="Tab 8 - Segment Analysis-style 6" pivot="0" count="3" xr9:uid="{00000000-0011-0000-FFFF-FFFF05000000}">
      <tableStyleElement type="headerRow" dxfId="23"/>
      <tableStyleElement type="firstRowStripe" dxfId="22"/>
      <tableStyleElement type="secondRowStripe" dxfId="21"/>
    </tableStyle>
    <tableStyle name="Tab 8 - Segment Analysis-style 7" pivot="0" count="3" xr9:uid="{00000000-0011-0000-FFFF-FFFF06000000}">
      <tableStyleElement type="headerRow" dxfId="20"/>
      <tableStyleElement type="firstRowStripe" dxfId="19"/>
      <tableStyleElement type="secondRowStripe" dxfId="18"/>
    </tableStyle>
    <tableStyle name="Tab 8 - Segment Analysis-style 8" pivot="0" count="3" xr9:uid="{00000000-0011-0000-FFFF-FFFF07000000}">
      <tableStyleElement type="headerRow" dxfId="17"/>
      <tableStyleElement type="firstRowStripe" dxfId="16"/>
      <tableStyleElement type="secondRowStripe" dxfId="15"/>
    </tableStyle>
    <tableStyle name="Tab 8 - Segment Analysis-style 9" pivot="0" count="3" xr9:uid="{00000000-0011-0000-FFFF-FFFF08000000}">
      <tableStyleElement type="headerRow" dxfId="14"/>
      <tableStyleElement type="firstRowStripe" dxfId="13"/>
      <tableStyleElement type="secondRowStripe" dxfId="12"/>
    </tableStyle>
    <tableStyle name="Tab 8 - Segment Analysis-style 10" pivot="0" count="3" xr9:uid="{00000000-0011-0000-FFFF-FFFF09000000}">
      <tableStyleElement type="headerRow" dxfId="11"/>
      <tableStyleElement type="firstRowStripe" dxfId="10"/>
      <tableStyleElement type="secondRowStripe" dxfId="9"/>
    </tableStyle>
    <tableStyle name="Tab 8 - Segment Analysis-style 11" pivot="0" count="3" xr9:uid="{00000000-0011-0000-FFFF-FFFF0A000000}">
      <tableStyleElement type="headerRow" dxfId="8"/>
      <tableStyleElement type="firstRowStripe" dxfId="7"/>
      <tableStyleElement type="secondRowStripe" dxfId="6"/>
    </tableStyle>
    <tableStyle name="Tab 8 - Segment Analysis-style 12" pivot="0" count="3" xr9:uid="{00000000-0011-0000-FFFF-FFFF0B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Total # of Messages Sent VS % Overlap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4 - Habit Moment and Metric'!$A$17</c:f>
              <c:strCache>
                <c:ptCount val="1"/>
                <c:pt idx="0">
                  <c:v>Messages Sent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'Tab 4 - Habit Moment and Metric'!$A$18:$A$24</c:f>
              <c:numCache>
                <c:formatCode>General</c:formatCode>
                <c:ptCount val="7"/>
                <c:pt idx="0">
                  <c:v>100</c:v>
                </c:pt>
                <c:pt idx="1">
                  <c:v>500</c:v>
                </c:pt>
                <c:pt idx="2">
                  <c:v>1000</c:v>
                </c:pt>
                <c:pt idx="3">
                  <c:v>2000</c:v>
                </c:pt>
                <c:pt idx="4">
                  <c:v>5000</c:v>
                </c:pt>
                <c:pt idx="5">
                  <c:v>10000</c:v>
                </c:pt>
                <c:pt idx="6">
                  <c:v>20000</c:v>
                </c:pt>
              </c:numCache>
            </c:numRef>
          </c:val>
          <c:smooth val="0"/>
          <c:extLst>
            <c:ext xmlns:c16="http://schemas.microsoft.com/office/drawing/2014/chart" uri="{C3380CC4-5D6E-409C-BE32-E72D297353CC}">
              <c16:uniqueId val="{00000000-3305-4CFE-94D9-632495F00E36}"/>
            </c:ext>
          </c:extLst>
        </c:ser>
        <c:ser>
          <c:idx val="1"/>
          <c:order val="1"/>
          <c:tx>
            <c:strRef>
              <c:f>'Tab 4 - Habit Moment and Metric'!$F$17</c:f>
              <c:strCache>
                <c:ptCount val="1"/>
                <c:pt idx="0">
                  <c:v>% Overlap</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'Tab 4 - Habit Moment and Metric'!$F$18:$F$24</c:f>
              <c:numCache>
                <c:formatCode>0%</c:formatCode>
                <c:ptCount val="7"/>
                <c:pt idx="0">
                  <c:v>0.38</c:v>
                </c:pt>
                <c:pt idx="1">
                  <c:v>0.49823321554770317</c:v>
                </c:pt>
                <c:pt idx="2">
                  <c:v>0.47609942638623326</c:v>
                </c:pt>
                <c:pt idx="3">
                  <c:v>0.5508684863523573</c:v>
                </c:pt>
                <c:pt idx="4">
                  <c:v>0.56000000000000005</c:v>
                </c:pt>
                <c:pt idx="5">
                  <c:v>0.5714285714285714</c:v>
                </c:pt>
                <c:pt idx="6">
                  <c:v>0.5757575757575758</c:v>
                </c:pt>
              </c:numCache>
            </c:numRef>
          </c:val>
          <c:smooth val="0"/>
          <c:extLst>
            <c:ext xmlns:c16="http://schemas.microsoft.com/office/drawing/2014/chart" uri="{C3380CC4-5D6E-409C-BE32-E72D297353CC}">
              <c16:uniqueId val="{00000001-3305-4CFE-94D9-632495F00E36}"/>
            </c:ext>
          </c:extLst>
        </c:ser>
        <c:dLbls>
          <c:showLegendKey val="0"/>
          <c:showVal val="1"/>
          <c:showCatName val="0"/>
          <c:showSerName val="0"/>
          <c:showPercent val="0"/>
          <c:showBubbleSize val="0"/>
        </c:dLbls>
        <c:smooth val="0"/>
        <c:axId val="682656111"/>
        <c:axId val="682656527"/>
      </c:lineChart>
      <c:catAx>
        <c:axId val="682656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2656527"/>
        <c:crosses val="autoZero"/>
        <c:auto val="1"/>
        <c:lblAlgn val="ctr"/>
        <c:lblOffset val="100"/>
        <c:noMultiLvlLbl val="0"/>
      </c:catAx>
      <c:valAx>
        <c:axId val="6826565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2656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 Session Log Ins  VS % Overlap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4 - Habit Moment and Metric'!$F$29</c:f>
              <c:strCache>
                <c:ptCount val="1"/>
                <c:pt idx="0">
                  <c:v>% Overlap</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4 - Habit Moment and Metric'!$A$30:$A$36</c:f>
              <c:strCache>
                <c:ptCount val="7"/>
                <c:pt idx="0">
                  <c:v>1+</c:v>
                </c:pt>
                <c:pt idx="1">
                  <c:v>2+</c:v>
                </c:pt>
                <c:pt idx="2">
                  <c:v>3+</c:v>
                </c:pt>
                <c:pt idx="3">
                  <c:v>4+</c:v>
                </c:pt>
                <c:pt idx="4">
                  <c:v>5+</c:v>
                </c:pt>
                <c:pt idx="5">
                  <c:v>6+</c:v>
                </c:pt>
                <c:pt idx="6">
                  <c:v>7+</c:v>
                </c:pt>
              </c:strCache>
            </c:strRef>
          </c:cat>
          <c:val>
            <c:numRef>
              <c:f>'Tab 4 - Habit Moment and Metric'!$F$30:$F$36</c:f>
              <c:numCache>
                <c:formatCode>0%</c:formatCode>
                <c:ptCount val="7"/>
                <c:pt idx="0">
                  <c:v>0.34953703703703703</c:v>
                </c:pt>
                <c:pt idx="1">
                  <c:v>0.40169332079021636</c:v>
                </c:pt>
                <c:pt idx="2">
                  <c:v>0.45274725274725275</c:v>
                </c:pt>
                <c:pt idx="3">
                  <c:v>0.45432692307692307</c:v>
                </c:pt>
                <c:pt idx="4">
                  <c:v>0.43833943833943834</c:v>
                </c:pt>
                <c:pt idx="5">
                  <c:v>0.44606413994169097</c:v>
                </c:pt>
                <c:pt idx="6">
                  <c:v>0.4264487369985141</c:v>
                </c:pt>
              </c:numCache>
            </c:numRef>
          </c:val>
          <c:smooth val="0"/>
          <c:extLst>
            <c:ext xmlns:c16="http://schemas.microsoft.com/office/drawing/2014/chart" uri="{C3380CC4-5D6E-409C-BE32-E72D297353CC}">
              <c16:uniqueId val="{00000000-35E8-4962-BCE0-FD01DDF10360}"/>
            </c:ext>
          </c:extLst>
        </c:ser>
        <c:dLbls>
          <c:showLegendKey val="0"/>
          <c:showVal val="1"/>
          <c:showCatName val="0"/>
          <c:showSerName val="0"/>
          <c:showPercent val="0"/>
          <c:showBubbleSize val="0"/>
        </c:dLbls>
        <c:smooth val="0"/>
        <c:axId val="553921215"/>
        <c:axId val="553921631"/>
      </c:lineChart>
      <c:catAx>
        <c:axId val="5539212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921631"/>
        <c:crosses val="autoZero"/>
        <c:auto val="1"/>
        <c:lblAlgn val="ctr"/>
        <c:lblOffset val="100"/>
        <c:noMultiLvlLbl val="0"/>
      </c:catAx>
      <c:valAx>
        <c:axId val="55392163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92121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 of Messages VS % Overlap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4 - Habit Moment and Metric'!$F$41</c:f>
              <c:strCache>
                <c:ptCount val="1"/>
                <c:pt idx="0">
                  <c:v>% Overlap</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4 - Habit Moment and Metric'!$A$42:$A$48</c:f>
              <c:strCache>
                <c:ptCount val="7"/>
                <c:pt idx="0">
                  <c:v>1+</c:v>
                </c:pt>
                <c:pt idx="1">
                  <c:v>2+</c:v>
                </c:pt>
                <c:pt idx="2">
                  <c:v>3+</c:v>
                </c:pt>
                <c:pt idx="3">
                  <c:v>4+</c:v>
                </c:pt>
                <c:pt idx="4">
                  <c:v>5+</c:v>
                </c:pt>
                <c:pt idx="5">
                  <c:v>6+</c:v>
                </c:pt>
                <c:pt idx="6">
                  <c:v>7+</c:v>
                </c:pt>
              </c:strCache>
            </c:strRef>
          </c:cat>
          <c:val>
            <c:numRef>
              <c:f>'Tab 4 - Habit Moment and Metric'!$F$42:$F$48</c:f>
              <c:numCache>
                <c:formatCode>0%</c:formatCode>
                <c:ptCount val="7"/>
                <c:pt idx="0">
                  <c:v>0.46641791044776121</c:v>
                </c:pt>
                <c:pt idx="1">
                  <c:v>0.45673076923076922</c:v>
                </c:pt>
                <c:pt idx="2">
                  <c:v>0.45576407506702415</c:v>
                </c:pt>
                <c:pt idx="3">
                  <c:v>0.44891640866873067</c:v>
                </c:pt>
                <c:pt idx="4">
                  <c:v>0.43109540636042404</c:v>
                </c:pt>
                <c:pt idx="5">
                  <c:v>0.43426294820717132</c:v>
                </c:pt>
                <c:pt idx="6">
                  <c:v>0.42857142857142855</c:v>
                </c:pt>
              </c:numCache>
            </c:numRef>
          </c:val>
          <c:smooth val="0"/>
          <c:extLst>
            <c:ext xmlns:c16="http://schemas.microsoft.com/office/drawing/2014/chart" uri="{C3380CC4-5D6E-409C-BE32-E72D297353CC}">
              <c16:uniqueId val="{00000000-BF21-4193-A089-5EE85EE48DAF}"/>
            </c:ext>
          </c:extLst>
        </c:ser>
        <c:dLbls>
          <c:showLegendKey val="0"/>
          <c:showVal val="1"/>
          <c:showCatName val="0"/>
          <c:showSerName val="0"/>
          <c:showPercent val="0"/>
          <c:showBubbleSize val="0"/>
        </c:dLbls>
        <c:smooth val="0"/>
        <c:axId val="682673583"/>
        <c:axId val="682675663"/>
      </c:lineChart>
      <c:catAx>
        <c:axId val="6826735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2675663"/>
        <c:crosses val="autoZero"/>
        <c:auto val="1"/>
        <c:lblAlgn val="ctr"/>
        <c:lblOffset val="100"/>
        <c:noMultiLvlLbl val="0"/>
      </c:catAx>
      <c:valAx>
        <c:axId val="68267566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267358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 of Days Taken VS  % Overlap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5 - Aha Moment and Metric A'!$F$16</c:f>
              <c:strCache>
                <c:ptCount val="1"/>
                <c:pt idx="0">
                  <c:v>% Overlap</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Aha Moment and Metric A'!$A$17:$A$23</c:f>
              <c:strCache>
                <c:ptCount val="7"/>
                <c:pt idx="0">
                  <c:v>1+</c:v>
                </c:pt>
                <c:pt idx="1">
                  <c:v>2+</c:v>
                </c:pt>
                <c:pt idx="2">
                  <c:v>3+</c:v>
                </c:pt>
                <c:pt idx="3">
                  <c:v>4+</c:v>
                </c:pt>
                <c:pt idx="4">
                  <c:v>5+</c:v>
                </c:pt>
                <c:pt idx="5">
                  <c:v>6+</c:v>
                </c:pt>
                <c:pt idx="6">
                  <c:v>7+</c:v>
                </c:pt>
              </c:strCache>
            </c:strRef>
          </c:cat>
          <c:val>
            <c:numRef>
              <c:f>'Tab 5 - Aha Moment and Metric A'!$F$17:$F$23</c:f>
              <c:numCache>
                <c:formatCode>0%</c:formatCode>
                <c:ptCount val="7"/>
                <c:pt idx="0">
                  <c:v>0.83</c:v>
                </c:pt>
                <c:pt idx="1">
                  <c:v>0.80566037735849061</c:v>
                </c:pt>
                <c:pt idx="2">
                  <c:v>0.78927203065134099</c:v>
                </c:pt>
                <c:pt idx="3">
                  <c:v>0.77142857142857146</c:v>
                </c:pt>
                <c:pt idx="4">
                  <c:v>0.58852459016393444</c:v>
                </c:pt>
                <c:pt idx="5">
                  <c:v>0.42797202797202799</c:v>
                </c:pt>
                <c:pt idx="6">
                  <c:v>0.31747787610619471</c:v>
                </c:pt>
              </c:numCache>
            </c:numRef>
          </c:val>
          <c:smooth val="0"/>
          <c:extLst>
            <c:ext xmlns:c16="http://schemas.microsoft.com/office/drawing/2014/chart" uri="{C3380CC4-5D6E-409C-BE32-E72D297353CC}">
              <c16:uniqueId val="{00000000-18AF-4894-82EE-3043FC224557}"/>
            </c:ext>
          </c:extLst>
        </c:ser>
        <c:dLbls>
          <c:showLegendKey val="0"/>
          <c:showVal val="1"/>
          <c:showCatName val="0"/>
          <c:showSerName val="0"/>
          <c:showPercent val="0"/>
          <c:showBubbleSize val="0"/>
        </c:dLbls>
        <c:smooth val="0"/>
        <c:axId val="710281071"/>
        <c:axId val="710278991"/>
      </c:lineChart>
      <c:catAx>
        <c:axId val="7102810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0278991"/>
        <c:crosses val="autoZero"/>
        <c:auto val="1"/>
        <c:lblAlgn val="ctr"/>
        <c:lblOffset val="100"/>
        <c:noMultiLvlLbl val="0"/>
      </c:catAx>
      <c:valAx>
        <c:axId val="71027899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028107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 of Days Taken VS  % Overlap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5 - Aha Moment and Metric A'!$F$28</c:f>
              <c:strCache>
                <c:ptCount val="1"/>
                <c:pt idx="0">
                  <c:v>% Overlap</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Aha Moment and Metric A'!$A$29:$A$35</c:f>
              <c:strCache>
                <c:ptCount val="7"/>
                <c:pt idx="0">
                  <c:v>1+</c:v>
                </c:pt>
                <c:pt idx="1">
                  <c:v>2+</c:v>
                </c:pt>
                <c:pt idx="2">
                  <c:v>3+</c:v>
                </c:pt>
                <c:pt idx="3">
                  <c:v>4+</c:v>
                </c:pt>
                <c:pt idx="4">
                  <c:v>5+</c:v>
                </c:pt>
                <c:pt idx="5">
                  <c:v>6+</c:v>
                </c:pt>
                <c:pt idx="6">
                  <c:v>7+</c:v>
                </c:pt>
              </c:strCache>
            </c:strRef>
          </c:cat>
          <c:val>
            <c:numRef>
              <c:f>'Tab 5 - Aha Moment and Metric A'!$F$29:$F$35</c:f>
              <c:numCache>
                <c:formatCode>0%</c:formatCode>
                <c:ptCount val="7"/>
                <c:pt idx="0">
                  <c:v>0.61349693251533743</c:v>
                </c:pt>
                <c:pt idx="1">
                  <c:v>0.58984007525870175</c:v>
                </c:pt>
                <c:pt idx="2">
                  <c:v>0.56595744680851068</c:v>
                </c:pt>
                <c:pt idx="3">
                  <c:v>0.55048076923076927</c:v>
                </c:pt>
                <c:pt idx="4">
                  <c:v>0.41311852704257768</c:v>
                </c:pt>
                <c:pt idx="5">
                  <c:v>0.36602870813397131</c:v>
                </c:pt>
                <c:pt idx="6">
                  <c:v>0.22721749696233293</c:v>
                </c:pt>
              </c:numCache>
            </c:numRef>
          </c:val>
          <c:smooth val="0"/>
          <c:extLst>
            <c:ext xmlns:c16="http://schemas.microsoft.com/office/drawing/2014/chart" uri="{C3380CC4-5D6E-409C-BE32-E72D297353CC}">
              <c16:uniqueId val="{00000000-D4A6-43D1-BC21-C17ACC168D20}"/>
            </c:ext>
          </c:extLst>
        </c:ser>
        <c:dLbls>
          <c:showLegendKey val="0"/>
          <c:showVal val="1"/>
          <c:showCatName val="0"/>
          <c:showSerName val="0"/>
          <c:showPercent val="0"/>
          <c:showBubbleSize val="0"/>
        </c:dLbls>
        <c:smooth val="0"/>
        <c:axId val="710307279"/>
        <c:axId val="710300207"/>
      </c:lineChart>
      <c:catAx>
        <c:axId val="710307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0300207"/>
        <c:crosses val="autoZero"/>
        <c:auto val="1"/>
        <c:lblAlgn val="ctr"/>
        <c:lblOffset val="100"/>
        <c:noMultiLvlLbl val="0"/>
      </c:catAx>
      <c:valAx>
        <c:axId val="71030020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030727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 of Days Taken  VS % Overlap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5 - Aha Moment and Metric A'!$F$40</c:f>
              <c:strCache>
                <c:ptCount val="1"/>
                <c:pt idx="0">
                  <c:v>% Overlap</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Aha Moment and Metric A'!$A$41:$A$47</c:f>
              <c:strCache>
                <c:ptCount val="7"/>
                <c:pt idx="0">
                  <c:v>1+</c:v>
                </c:pt>
                <c:pt idx="1">
                  <c:v>2+</c:v>
                </c:pt>
                <c:pt idx="2">
                  <c:v>3+</c:v>
                </c:pt>
                <c:pt idx="3">
                  <c:v>4+</c:v>
                </c:pt>
                <c:pt idx="4">
                  <c:v>5+</c:v>
                </c:pt>
                <c:pt idx="5">
                  <c:v>6+</c:v>
                </c:pt>
                <c:pt idx="6">
                  <c:v>7+</c:v>
                </c:pt>
              </c:strCache>
            </c:strRef>
          </c:cat>
          <c:val>
            <c:numRef>
              <c:f>'Tab 5 - Aha Moment and Metric A'!$F$41:$F$47</c:f>
              <c:numCache>
                <c:formatCode>0%</c:formatCode>
                <c:ptCount val="7"/>
                <c:pt idx="0">
                  <c:v>0.4170124481327801</c:v>
                </c:pt>
                <c:pt idx="1">
                  <c:v>0.40169332079021636</c:v>
                </c:pt>
                <c:pt idx="2">
                  <c:v>0.43829787234042555</c:v>
                </c:pt>
                <c:pt idx="3">
                  <c:v>0.42857142857142855</c:v>
                </c:pt>
                <c:pt idx="4">
                  <c:v>0.41311852704257768</c:v>
                </c:pt>
                <c:pt idx="5">
                  <c:v>0.36602870813397131</c:v>
                </c:pt>
                <c:pt idx="6">
                  <c:v>0.34872417982989062</c:v>
                </c:pt>
              </c:numCache>
            </c:numRef>
          </c:val>
          <c:smooth val="0"/>
          <c:extLst>
            <c:ext xmlns:c16="http://schemas.microsoft.com/office/drawing/2014/chart" uri="{C3380CC4-5D6E-409C-BE32-E72D297353CC}">
              <c16:uniqueId val="{00000000-B906-41AA-9E2A-3F600F71E1AD}"/>
            </c:ext>
          </c:extLst>
        </c:ser>
        <c:dLbls>
          <c:showLegendKey val="0"/>
          <c:showVal val="1"/>
          <c:showCatName val="0"/>
          <c:showSerName val="0"/>
          <c:showPercent val="0"/>
          <c:showBubbleSize val="0"/>
        </c:dLbls>
        <c:smooth val="0"/>
        <c:axId val="710328079"/>
        <c:axId val="710328911"/>
      </c:lineChart>
      <c:catAx>
        <c:axId val="7103280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0328911"/>
        <c:crosses val="autoZero"/>
        <c:auto val="1"/>
        <c:lblAlgn val="ctr"/>
        <c:lblOffset val="100"/>
        <c:noMultiLvlLbl val="0"/>
      </c:catAx>
      <c:valAx>
        <c:axId val="71032891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032807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 of Days Taken  VS  % Overlap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6 - Setup Moment and Metric'!$F$15</c:f>
              <c:strCache>
                <c:ptCount val="1"/>
                <c:pt idx="0">
                  <c:v>% Overlap</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6 - Setup Moment and Metric'!$A$16:$A$22</c:f>
              <c:strCache>
                <c:ptCount val="7"/>
                <c:pt idx="0">
                  <c:v>1+</c:v>
                </c:pt>
                <c:pt idx="1">
                  <c:v>2+</c:v>
                </c:pt>
                <c:pt idx="2">
                  <c:v>3+</c:v>
                </c:pt>
                <c:pt idx="3">
                  <c:v>4+</c:v>
                </c:pt>
                <c:pt idx="4">
                  <c:v>5+</c:v>
                </c:pt>
                <c:pt idx="5">
                  <c:v>6+</c:v>
                </c:pt>
                <c:pt idx="6">
                  <c:v>7+</c:v>
                </c:pt>
              </c:strCache>
            </c:strRef>
          </c:cat>
          <c:val>
            <c:numRef>
              <c:f>'Tab 6 - Setup Moment and Metric'!$F$16:$F$22</c:f>
              <c:numCache>
                <c:formatCode>0%</c:formatCode>
                <c:ptCount val="7"/>
                <c:pt idx="0">
                  <c:v>0.39</c:v>
                </c:pt>
                <c:pt idx="1">
                  <c:v>0.36715391229578676</c:v>
                </c:pt>
                <c:pt idx="2">
                  <c:v>0.39615384615384613</c:v>
                </c:pt>
                <c:pt idx="3">
                  <c:v>0.38492871690427699</c:v>
                </c:pt>
                <c:pt idx="4">
                  <c:v>0.37048503611971106</c:v>
                </c:pt>
                <c:pt idx="5">
                  <c:v>0.32692307692307693</c:v>
                </c:pt>
                <c:pt idx="6">
                  <c:v>0.31094257854821233</c:v>
                </c:pt>
              </c:numCache>
            </c:numRef>
          </c:val>
          <c:smooth val="0"/>
          <c:extLst>
            <c:ext xmlns:c16="http://schemas.microsoft.com/office/drawing/2014/chart" uri="{C3380CC4-5D6E-409C-BE32-E72D297353CC}">
              <c16:uniqueId val="{00000000-816D-4621-975D-46FED76E0FF6}"/>
            </c:ext>
          </c:extLst>
        </c:ser>
        <c:dLbls>
          <c:showLegendKey val="0"/>
          <c:showVal val="1"/>
          <c:showCatName val="0"/>
          <c:showSerName val="0"/>
          <c:showPercent val="0"/>
          <c:showBubbleSize val="0"/>
        </c:dLbls>
        <c:smooth val="0"/>
        <c:axId val="793117247"/>
        <c:axId val="793119743"/>
      </c:lineChart>
      <c:catAx>
        <c:axId val="7931172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119743"/>
        <c:crosses val="autoZero"/>
        <c:auto val="1"/>
        <c:lblAlgn val="ctr"/>
        <c:lblOffset val="100"/>
        <c:noMultiLvlLbl val="0"/>
      </c:catAx>
      <c:valAx>
        <c:axId val="79311974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11724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 of Days Taken  VS</a:t>
            </a:r>
            <a:r>
              <a:rPr lang="en-US" baseline="0">
                <a:solidFill>
                  <a:srgbClr val="FFFF00"/>
                </a:solidFill>
              </a:rPr>
              <a:t>  </a:t>
            </a:r>
            <a:r>
              <a:rPr lang="en-US">
                <a:solidFill>
                  <a:srgbClr val="FFFF00"/>
                </a:solidFill>
              </a:rPr>
              <a:t>% Overlap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6 - Setup Moment and Metric'!$F$27</c:f>
              <c:strCache>
                <c:ptCount val="1"/>
                <c:pt idx="0">
                  <c:v>% Overlap</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6 - Setup Moment and Metric'!$A$28:$A$34</c:f>
              <c:strCache>
                <c:ptCount val="7"/>
                <c:pt idx="0">
                  <c:v>1+</c:v>
                </c:pt>
                <c:pt idx="1">
                  <c:v>2+</c:v>
                </c:pt>
                <c:pt idx="2">
                  <c:v>3+</c:v>
                </c:pt>
                <c:pt idx="3">
                  <c:v>4+</c:v>
                </c:pt>
                <c:pt idx="4">
                  <c:v>5+</c:v>
                </c:pt>
                <c:pt idx="5">
                  <c:v>6+</c:v>
                </c:pt>
                <c:pt idx="6">
                  <c:v>7+</c:v>
                </c:pt>
              </c:strCache>
            </c:strRef>
          </c:cat>
          <c:val>
            <c:numRef>
              <c:f>'Tab 6 - Setup Moment and Metric'!$F$28:$F$34</c:f>
              <c:numCache>
                <c:formatCode>0%</c:formatCode>
                <c:ptCount val="7"/>
                <c:pt idx="0">
                  <c:v>0.56980056980056981</c:v>
                </c:pt>
                <c:pt idx="1">
                  <c:v>0.5391229578675838</c:v>
                </c:pt>
                <c:pt idx="2">
                  <c:v>0.52777777777777779</c:v>
                </c:pt>
                <c:pt idx="3">
                  <c:v>0.51927437641723351</c:v>
                </c:pt>
                <c:pt idx="4">
                  <c:v>0.50350631136044877</c:v>
                </c:pt>
                <c:pt idx="5">
                  <c:v>0.49434571890145396</c:v>
                </c:pt>
                <c:pt idx="6">
                  <c:v>0.46875</c:v>
                </c:pt>
              </c:numCache>
            </c:numRef>
          </c:val>
          <c:smooth val="0"/>
          <c:extLst>
            <c:ext xmlns:c16="http://schemas.microsoft.com/office/drawing/2014/chart" uri="{C3380CC4-5D6E-409C-BE32-E72D297353CC}">
              <c16:uniqueId val="{00000000-5D6A-417B-A417-6062D8BF4FDA}"/>
            </c:ext>
          </c:extLst>
        </c:ser>
        <c:dLbls>
          <c:showLegendKey val="0"/>
          <c:showVal val="1"/>
          <c:showCatName val="0"/>
          <c:showSerName val="0"/>
          <c:showPercent val="0"/>
          <c:showBubbleSize val="0"/>
        </c:dLbls>
        <c:smooth val="0"/>
        <c:axId val="793099775"/>
        <c:axId val="793109343"/>
      </c:lineChart>
      <c:catAx>
        <c:axId val="7930997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109343"/>
        <c:crosses val="autoZero"/>
        <c:auto val="1"/>
        <c:lblAlgn val="ctr"/>
        <c:lblOffset val="100"/>
        <c:noMultiLvlLbl val="0"/>
      </c:catAx>
      <c:valAx>
        <c:axId val="79310934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09977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 Users</a:t>
            </a:r>
            <a:r>
              <a:rPr lang="en-US" baseline="0">
                <a:solidFill>
                  <a:srgbClr val="FFFF00"/>
                </a:solidFill>
              </a:rPr>
              <a:t> Invited  VS  </a:t>
            </a:r>
            <a:r>
              <a:rPr lang="en-US">
                <a:solidFill>
                  <a:srgbClr val="FFFF00"/>
                </a:solidFill>
              </a:rPr>
              <a:t>% Overlap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6 - Setup Moment and Metric'!$F$39</c:f>
              <c:strCache>
                <c:ptCount val="1"/>
                <c:pt idx="0">
                  <c:v>% Overlap</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6 - Setup Moment and Metric'!$A$40:$A$46</c:f>
              <c:strCache>
                <c:ptCount val="7"/>
                <c:pt idx="0">
                  <c:v>1+</c:v>
                </c:pt>
                <c:pt idx="1">
                  <c:v>2+</c:v>
                </c:pt>
                <c:pt idx="2">
                  <c:v>3+</c:v>
                </c:pt>
                <c:pt idx="3">
                  <c:v>4+</c:v>
                </c:pt>
                <c:pt idx="4">
                  <c:v>5+</c:v>
                </c:pt>
                <c:pt idx="5">
                  <c:v>6+</c:v>
                </c:pt>
                <c:pt idx="6">
                  <c:v>7+</c:v>
                </c:pt>
              </c:strCache>
            </c:strRef>
          </c:cat>
          <c:val>
            <c:numRef>
              <c:f>'Tab 6 - Setup Moment and Metric'!$F$40:$F$46</c:f>
              <c:numCache>
                <c:formatCode>0%</c:formatCode>
                <c:ptCount val="7"/>
                <c:pt idx="0">
                  <c:v>0.70123839009287925</c:v>
                </c:pt>
                <c:pt idx="1">
                  <c:v>0.67777777777777781</c:v>
                </c:pt>
                <c:pt idx="2">
                  <c:v>0.66237942122186499</c:v>
                </c:pt>
                <c:pt idx="3">
                  <c:v>0.64067796610169492</c:v>
                </c:pt>
                <c:pt idx="4">
                  <c:v>0.5056338028169014</c:v>
                </c:pt>
                <c:pt idx="5">
                  <c:v>0.3754601226993865</c:v>
                </c:pt>
                <c:pt idx="6">
                  <c:v>0.28585657370517931</c:v>
                </c:pt>
              </c:numCache>
            </c:numRef>
          </c:val>
          <c:smooth val="0"/>
          <c:extLst>
            <c:ext xmlns:c16="http://schemas.microsoft.com/office/drawing/2014/chart" uri="{C3380CC4-5D6E-409C-BE32-E72D297353CC}">
              <c16:uniqueId val="{00000000-2AB5-423A-A837-D6340BBEC7A0}"/>
            </c:ext>
          </c:extLst>
        </c:ser>
        <c:dLbls>
          <c:showLegendKey val="0"/>
          <c:showVal val="1"/>
          <c:showCatName val="0"/>
          <c:showSerName val="0"/>
          <c:showPercent val="0"/>
          <c:showBubbleSize val="0"/>
        </c:dLbls>
        <c:smooth val="0"/>
        <c:axId val="710328495"/>
        <c:axId val="710324335"/>
      </c:lineChart>
      <c:catAx>
        <c:axId val="7103284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0324335"/>
        <c:crosses val="autoZero"/>
        <c:auto val="1"/>
        <c:lblAlgn val="ctr"/>
        <c:lblOffset val="100"/>
        <c:noMultiLvlLbl val="0"/>
      </c:catAx>
      <c:valAx>
        <c:axId val="71032433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032849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982980</xdr:colOff>
      <xdr:row>12</xdr:row>
      <xdr:rowOff>133350</xdr:rowOff>
    </xdr:from>
    <xdr:to>
      <xdr:col>11</xdr:col>
      <xdr:colOff>281940</xdr:colOff>
      <xdr:row>24</xdr:row>
      <xdr:rowOff>45720</xdr:rowOff>
    </xdr:to>
    <xdr:graphicFrame macro="">
      <xdr:nvGraphicFramePr>
        <xdr:cNvPr id="2" name="Chart 1">
          <a:extLst>
            <a:ext uri="{FF2B5EF4-FFF2-40B4-BE49-F238E27FC236}">
              <a16:creationId xmlns:a16="http://schemas.microsoft.com/office/drawing/2014/main" id="{BD73AF2F-9B01-4816-822E-689FAF257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982980</xdr:colOff>
      <xdr:row>25</xdr:row>
      <xdr:rowOff>45720</xdr:rowOff>
    </xdr:from>
    <xdr:to>
      <xdr:col>11</xdr:col>
      <xdr:colOff>320040</xdr:colOff>
      <xdr:row>36</xdr:row>
      <xdr:rowOff>7620</xdr:rowOff>
    </xdr:to>
    <xdr:graphicFrame macro="">
      <xdr:nvGraphicFramePr>
        <xdr:cNvPr id="3" name="Chart 2">
          <a:extLst>
            <a:ext uri="{FF2B5EF4-FFF2-40B4-BE49-F238E27FC236}">
              <a16:creationId xmlns:a16="http://schemas.microsoft.com/office/drawing/2014/main" id="{06E06098-F806-40A6-B5FE-7EBA8EBC2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37</xdr:row>
      <xdr:rowOff>22860</xdr:rowOff>
    </xdr:from>
    <xdr:to>
      <xdr:col>11</xdr:col>
      <xdr:colOff>449580</xdr:colOff>
      <xdr:row>48</xdr:row>
      <xdr:rowOff>76200</xdr:rowOff>
    </xdr:to>
    <xdr:graphicFrame macro="">
      <xdr:nvGraphicFramePr>
        <xdr:cNvPr id="4" name="Chart 3">
          <a:extLst>
            <a:ext uri="{FF2B5EF4-FFF2-40B4-BE49-F238E27FC236}">
              <a16:creationId xmlns:a16="http://schemas.microsoft.com/office/drawing/2014/main" id="{15DF3D58-C045-488F-8EC5-C6F801785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914400</xdr:colOff>
      <xdr:row>11</xdr:row>
      <xdr:rowOff>68580</xdr:rowOff>
    </xdr:from>
    <xdr:to>
      <xdr:col>11</xdr:col>
      <xdr:colOff>190500</xdr:colOff>
      <xdr:row>22</xdr:row>
      <xdr:rowOff>106680</xdr:rowOff>
    </xdr:to>
    <xdr:graphicFrame macro="">
      <xdr:nvGraphicFramePr>
        <xdr:cNvPr id="2" name="Chart 1">
          <a:extLst>
            <a:ext uri="{FF2B5EF4-FFF2-40B4-BE49-F238E27FC236}">
              <a16:creationId xmlns:a16="http://schemas.microsoft.com/office/drawing/2014/main" id="{52508197-811A-4AAA-84DD-A9B3010A0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975360</xdr:colOff>
      <xdr:row>23</xdr:row>
      <xdr:rowOff>133350</xdr:rowOff>
    </xdr:from>
    <xdr:to>
      <xdr:col>11</xdr:col>
      <xdr:colOff>236220</xdr:colOff>
      <xdr:row>35</xdr:row>
      <xdr:rowOff>7620</xdr:rowOff>
    </xdr:to>
    <xdr:graphicFrame macro="">
      <xdr:nvGraphicFramePr>
        <xdr:cNvPr id="3" name="Chart 2">
          <a:extLst>
            <a:ext uri="{FF2B5EF4-FFF2-40B4-BE49-F238E27FC236}">
              <a16:creationId xmlns:a16="http://schemas.microsoft.com/office/drawing/2014/main" id="{1C524924-4030-45E4-835B-3938D9108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975360</xdr:colOff>
      <xdr:row>35</xdr:row>
      <xdr:rowOff>137160</xdr:rowOff>
    </xdr:from>
    <xdr:to>
      <xdr:col>11</xdr:col>
      <xdr:colOff>342900</xdr:colOff>
      <xdr:row>49</xdr:row>
      <xdr:rowOff>91440</xdr:rowOff>
    </xdr:to>
    <xdr:graphicFrame macro="">
      <xdr:nvGraphicFramePr>
        <xdr:cNvPr id="4" name="Chart 3">
          <a:extLst>
            <a:ext uri="{FF2B5EF4-FFF2-40B4-BE49-F238E27FC236}">
              <a16:creationId xmlns:a16="http://schemas.microsoft.com/office/drawing/2014/main" id="{129B2890-9219-46C0-9679-31FE9B289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15240</xdr:colOff>
      <xdr:row>11</xdr:row>
      <xdr:rowOff>30480</xdr:rowOff>
    </xdr:from>
    <xdr:to>
      <xdr:col>11</xdr:col>
      <xdr:colOff>297180</xdr:colOff>
      <xdr:row>22</xdr:row>
      <xdr:rowOff>30480</xdr:rowOff>
    </xdr:to>
    <xdr:graphicFrame macro="">
      <xdr:nvGraphicFramePr>
        <xdr:cNvPr id="2" name="Chart 1">
          <a:extLst>
            <a:ext uri="{FF2B5EF4-FFF2-40B4-BE49-F238E27FC236}">
              <a16:creationId xmlns:a16="http://schemas.microsoft.com/office/drawing/2014/main" id="{BEDEBDAE-DD6C-4F2C-80D7-27C269AE3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982980</xdr:colOff>
      <xdr:row>22</xdr:row>
      <xdr:rowOff>87630</xdr:rowOff>
    </xdr:from>
    <xdr:to>
      <xdr:col>11</xdr:col>
      <xdr:colOff>396240</xdr:colOff>
      <xdr:row>34</xdr:row>
      <xdr:rowOff>91440</xdr:rowOff>
    </xdr:to>
    <xdr:graphicFrame macro="">
      <xdr:nvGraphicFramePr>
        <xdr:cNvPr id="3" name="Chart 2">
          <a:extLst>
            <a:ext uri="{FF2B5EF4-FFF2-40B4-BE49-F238E27FC236}">
              <a16:creationId xmlns:a16="http://schemas.microsoft.com/office/drawing/2014/main" id="{85DDA351-D8CB-41CF-8677-815020FCD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34</xdr:row>
      <xdr:rowOff>152400</xdr:rowOff>
    </xdr:from>
    <xdr:to>
      <xdr:col>11</xdr:col>
      <xdr:colOff>495300</xdr:colOff>
      <xdr:row>48</xdr:row>
      <xdr:rowOff>167640</xdr:rowOff>
    </xdr:to>
    <xdr:graphicFrame macro="">
      <xdr:nvGraphicFramePr>
        <xdr:cNvPr id="4" name="Chart 3">
          <a:extLst>
            <a:ext uri="{FF2B5EF4-FFF2-40B4-BE49-F238E27FC236}">
              <a16:creationId xmlns:a16="http://schemas.microsoft.com/office/drawing/2014/main" id="{2689680F-29AD-4B57-B7C8-0F2D6BEBB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63:D70" headerRowCount="0" headerRowCellStyle="Percent" dataCellStyle="Percent" totalsRowCellStyle="Percent">
  <tableColumns count="1">
    <tableColumn id="1" xr3:uid="{00000000-0010-0000-0000-000001000000}" name="Column1" dataCellStyle="Percent">
      <calculatedColumnFormula>E63/C63</calculatedColumnFormula>
    </tableColumn>
  </tableColumns>
  <tableStyleInfo name="Tab 8 - Segment Analysis-style" showFirstColumn="1" showLastColumn="1" showRowStripes="1" showColumnStripes="0"/>
  <extLst>
    <ext uri="GoogleSheetsCustomDataVersion1">
      <go:sheetsCustomData xmlns:go="http://customooxmlschemas.google.com/" headerRowCount="1"/>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D41:D49" headerRowCount="0" headerRowCellStyle="Percent" dataCellStyle="Percent" totalsRowCellStyle="Percent">
  <tableColumns count="1">
    <tableColumn id="1" xr3:uid="{00000000-0010-0000-0A00-000001000000}" name="Column1" dataCellStyle="Percent">
      <calculatedColumnFormula>E41/C41</calculatedColumnFormula>
    </tableColumn>
  </tableColumns>
  <tableStyleInfo name="Tab 8 - Segment Analysis-style 11" showFirstColumn="1" showLastColumn="1" showRowStripes="1" showColumnStripes="0"/>
  <extLst>
    <ext uri="GoogleSheetsCustomDataVersion1">
      <go:sheetsCustomData xmlns:go="http://customooxmlschemas.google.com/" headerRowCount="1"/>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12" displayName="Table_12" ref="I63:I70" headerRowCount="0" headerRowCellStyle="Percent" dataCellStyle="Percent" totalsRowCellStyle="Percent">
  <tableColumns count="1">
    <tableColumn id="1" xr3:uid="{00000000-0010-0000-0B00-000001000000}" name="Column1" dataCellStyle="Percent">
      <calculatedColumnFormula>H63/B63</calculatedColumnFormula>
    </tableColumn>
  </tableColumns>
  <tableStyleInfo name="Tab 8 - Segment Analysis-style 12"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84:D89" headerRowCount="0" headerRowCellStyle="Percent" dataCellStyle="Percent" totalsRowCellStyle="Percent">
  <tableColumns count="1">
    <tableColumn id="1" xr3:uid="{00000000-0010-0000-0100-000001000000}" name="Column1" dataCellStyle="Percent">
      <calculatedColumnFormula>E84/C84</calculatedColumnFormula>
    </tableColumn>
  </tableColumns>
  <tableStyleInfo name="Tab 8 - Segment Analysis-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I84:I89" headerRowCount="0" headerRowCellStyle="Percent" dataCellStyle="Percent" totalsRowCellStyle="Percent">
  <tableColumns count="1">
    <tableColumn id="1" xr3:uid="{00000000-0010-0000-0200-000001000000}" name="Column1" dataCellStyle="Percent">
      <calculatedColumnFormula>H84/B84</calculatedColumnFormula>
    </tableColumn>
  </tableColumns>
  <tableStyleInfo name="Tab 8 - Segment Analysis-style 3"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H84:H89" headerRowCount="0">
  <tableColumns count="1">
    <tableColumn id="1" xr3:uid="{00000000-0010-0000-0300-000001000000}" name="Column1" dataDxfId="2">
      <calculatedColumnFormula>B84*C84*E84*G84</calculatedColumnFormula>
    </tableColumn>
  </tableColumns>
  <tableStyleInfo name="Tab 8 - Segment Analysis-style 4"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F84:F89" headerRowCount="0" headerRowCellStyle="Percent" dataCellStyle="Percent" totalsRowCellStyle="Percent">
  <tableColumns count="1">
    <tableColumn id="1" xr3:uid="{00000000-0010-0000-0400-000001000000}" name="Column1" dataCellStyle="Percent">
      <calculatedColumnFormula>G84/E84</calculatedColumnFormula>
    </tableColumn>
  </tableColumns>
  <tableStyleInfo name="Tab 8 - Segment Analysis-style 5"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H63:H70" headerRowCount="0">
  <tableColumns count="1">
    <tableColumn id="1" xr3:uid="{00000000-0010-0000-0500-000001000000}" name="Column1" dataDxfId="1">
      <calculatedColumnFormula>B63*C63*E63*G63</calculatedColumnFormula>
    </tableColumn>
  </tableColumns>
  <tableStyleInfo name="Tab 8 - Segment Analysis-style 6"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F41:F49" headerRowCount="0" headerRowCellStyle="Percent" dataCellStyle="Percent" totalsRowCellStyle="Percent">
  <tableColumns count="1">
    <tableColumn id="1" xr3:uid="{00000000-0010-0000-0700-000001000000}" name="Column1" dataCellStyle="Percent">
      <calculatedColumnFormula>G41/E41</calculatedColumnFormula>
    </tableColumn>
  </tableColumns>
  <tableStyleInfo name="Tab 8 - Segment Analysis-style 8" showFirstColumn="1" showLastColumn="1" showRowStripes="1" showColumnStripes="0"/>
  <extLst>
    <ext uri="GoogleSheetsCustomDataVersion1">
      <go:sheetsCustomData xmlns:go="http://customooxmlschemas.google.com/" headerRowCount="1"/>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F63:F70" headerRowCount="0" headerRowCellStyle="Percent" dataCellStyle="Percent" totalsRowCellStyle="Percent">
  <tableColumns count="1">
    <tableColumn id="1" xr3:uid="{00000000-0010-0000-0800-000001000000}" name="Column1" dataCellStyle="Percent">
      <calculatedColumnFormula>G63/E63</calculatedColumnFormula>
    </tableColumn>
  </tableColumns>
  <tableStyleInfo name="Tab 8 - Segment Analysis-style 9" showFirstColumn="1" showLastColumn="1" showRowStripes="1" showColumnStripes="0"/>
  <extLst>
    <ext uri="GoogleSheetsCustomDataVersion1">
      <go:sheetsCustomData xmlns:go="http://customooxmlschemas.google.com/" headerRowCount="1"/>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H41:I49" headerRowCount="0">
  <tableColumns count="2">
    <tableColumn id="1" xr3:uid="{00000000-0010-0000-0900-000001000000}" name="Column1" dataDxfId="0">
      <calculatedColumnFormula>B41*C41*E41*G41</calculatedColumnFormula>
    </tableColumn>
    <tableColumn id="2" xr3:uid="{2892FDE8-518D-4E73-922B-8E6855D2E937}" name="Column2" dataCellStyle="Percent">
      <calculatedColumnFormula>H41/B41</calculatedColumnFormula>
    </tableColumn>
  </tableColumns>
  <tableStyleInfo name="Tab 8 - Segment Analysis-style 10"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4"/>
  <sheetViews>
    <sheetView showGridLines="0" topLeftCell="A10" workbookViewId="0">
      <selection activeCell="A4" sqref="A4:C4"/>
    </sheetView>
  </sheetViews>
  <sheetFormatPr defaultColWidth="14.44140625" defaultRowHeight="15.75" customHeight="1"/>
  <cols>
    <col min="1" max="2" width="12.44140625" customWidth="1"/>
    <col min="3" max="3" width="49" customWidth="1"/>
  </cols>
  <sheetData>
    <row r="1" spans="1:3" ht="39">
      <c r="A1" s="187" t="s">
        <v>0</v>
      </c>
      <c r="B1" s="184"/>
      <c r="C1" s="185"/>
    </row>
    <row r="2" spans="1:3" ht="13.2">
      <c r="A2" s="188" t="s">
        <v>1</v>
      </c>
      <c r="B2" s="189"/>
      <c r="C2" s="190"/>
    </row>
    <row r="3" spans="1:3" ht="30.75" customHeight="1">
      <c r="A3" s="191"/>
      <c r="B3" s="192"/>
      <c r="C3" s="193"/>
    </row>
    <row r="4" spans="1:3" ht="30.75" customHeight="1">
      <c r="A4" s="194" t="str">
        <f>HYPERLINK("https://app.productboard.com/register","Step 1: Complete Tabs 1 - 2 in order by signing up for the free trial of productboard: https://app.productboard.com/register. 
")</f>
        <v xml:space="preserve">Step 1: Complete Tabs 1 - 2 in order by signing up for the free trial of productboard: https://app.productboard.com/register. 
</v>
      </c>
      <c r="B4" s="184"/>
      <c r="C4" s="185"/>
    </row>
    <row r="5" spans="1:3" ht="54.75" customHeight="1">
      <c r="A5" s="195" t="s">
        <v>2</v>
      </c>
      <c r="B5" s="192"/>
      <c r="C5" s="193"/>
    </row>
    <row r="6" spans="1:3" ht="99.75" customHeight="1">
      <c r="A6" s="195" t="s">
        <v>3</v>
      </c>
      <c r="B6" s="192"/>
      <c r="C6" s="193"/>
    </row>
    <row r="7" spans="1:3" ht="45.75" customHeight="1">
      <c r="A7" s="195" t="s">
        <v>4</v>
      </c>
      <c r="B7" s="192"/>
      <c r="C7" s="193"/>
    </row>
    <row r="8" spans="1:3" ht="56.25" customHeight="1">
      <c r="A8" s="195" t="s">
        <v>5</v>
      </c>
      <c r="B8" s="192"/>
      <c r="C8" s="193"/>
    </row>
    <row r="9" spans="1:3" ht="13.2">
      <c r="A9" s="183" t="s">
        <v>6</v>
      </c>
      <c r="B9" s="184"/>
      <c r="C9" s="185"/>
    </row>
    <row r="10" spans="1:3" ht="13.2">
      <c r="A10" s="186" t="s">
        <v>7</v>
      </c>
      <c r="B10" s="184"/>
      <c r="C10" s="185"/>
    </row>
    <row r="11" spans="1:3" ht="13.2">
      <c r="A11" s="1"/>
      <c r="B11" s="2"/>
      <c r="C11" s="3"/>
    </row>
    <row r="12" spans="1:3" ht="13.2">
      <c r="A12" s="4" t="s">
        <v>8</v>
      </c>
      <c r="B12" s="5" t="s">
        <v>9</v>
      </c>
      <c r="C12" s="4" t="s">
        <v>10</v>
      </c>
    </row>
    <row r="13" spans="1:3" ht="13.2">
      <c r="A13" s="6"/>
      <c r="B13" s="7"/>
      <c r="C13" s="8" t="s">
        <v>11</v>
      </c>
    </row>
    <row r="14" spans="1:3" ht="13.2">
      <c r="A14" s="9">
        <v>1</v>
      </c>
      <c r="B14" s="10" t="b">
        <v>0</v>
      </c>
      <c r="C14" s="11" t="s">
        <v>12</v>
      </c>
    </row>
    <row r="15" spans="1:3" ht="13.2">
      <c r="A15" s="12">
        <v>2</v>
      </c>
      <c r="B15" s="10" t="b">
        <v>0</v>
      </c>
      <c r="C15" s="13" t="s">
        <v>13</v>
      </c>
    </row>
    <row r="16" spans="1:3" ht="13.2">
      <c r="A16" s="6"/>
      <c r="B16" s="6"/>
      <c r="C16" s="8" t="s">
        <v>14</v>
      </c>
    </row>
    <row r="17" spans="1:3" ht="13.2">
      <c r="A17" s="14">
        <v>3</v>
      </c>
      <c r="B17" s="10" t="b">
        <v>0</v>
      </c>
      <c r="C17" s="13" t="s">
        <v>15</v>
      </c>
    </row>
    <row r="18" spans="1:3" ht="13.2">
      <c r="A18" s="15"/>
      <c r="B18" s="6"/>
      <c r="C18" s="8" t="s">
        <v>16</v>
      </c>
    </row>
    <row r="19" spans="1:3" ht="13.2">
      <c r="A19" s="14">
        <v>4</v>
      </c>
      <c r="B19" s="10" t="b">
        <v>0</v>
      </c>
      <c r="C19" s="13" t="s">
        <v>17</v>
      </c>
    </row>
    <row r="20" spans="1:3" ht="13.2">
      <c r="A20" s="14">
        <v>5</v>
      </c>
      <c r="B20" s="16" t="b">
        <v>0</v>
      </c>
      <c r="C20" s="13" t="s">
        <v>18</v>
      </c>
    </row>
    <row r="21" spans="1:3" ht="13.2">
      <c r="A21" s="14">
        <v>6</v>
      </c>
      <c r="B21" s="16" t="b">
        <v>0</v>
      </c>
      <c r="C21" s="13" t="s">
        <v>19</v>
      </c>
    </row>
    <row r="22" spans="1:3" ht="13.2">
      <c r="A22" s="14">
        <v>7</v>
      </c>
      <c r="B22" s="16" t="b">
        <v>0</v>
      </c>
      <c r="C22" s="13" t="s">
        <v>20</v>
      </c>
    </row>
    <row r="23" spans="1:3" ht="13.2">
      <c r="A23" s="15"/>
      <c r="B23" s="6"/>
      <c r="C23" s="8" t="s">
        <v>21</v>
      </c>
    </row>
    <row r="24" spans="1:3" ht="13.8">
      <c r="A24" s="14">
        <v>8</v>
      </c>
      <c r="B24" s="10" t="b">
        <v>0</v>
      </c>
      <c r="C24" s="17" t="s">
        <v>22</v>
      </c>
    </row>
  </sheetData>
  <mergeCells count="9">
    <mergeCell ref="A9:C9"/>
    <mergeCell ref="A10:C10"/>
    <mergeCell ref="A1:C1"/>
    <mergeCell ref="A2:C3"/>
    <mergeCell ref="A4:C4"/>
    <mergeCell ref="A5:C5"/>
    <mergeCell ref="A6:C6"/>
    <mergeCell ref="A7:C7"/>
    <mergeCell ref="A8:C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33"/>
  <sheetViews>
    <sheetView showGridLines="0" topLeftCell="C19" workbookViewId="0">
      <selection activeCell="G32" sqref="G32"/>
    </sheetView>
  </sheetViews>
  <sheetFormatPr defaultColWidth="14.44140625" defaultRowHeight="15.75" customHeight="1"/>
  <cols>
    <col min="2" max="2" width="28.109375" customWidth="1"/>
    <col min="3" max="3" width="19.77734375" customWidth="1"/>
    <col min="4" max="5" width="14.44140625" customWidth="1"/>
    <col min="6" max="6" width="14.33203125" customWidth="1"/>
    <col min="7" max="7" width="11.6640625" customWidth="1"/>
    <col min="8" max="8" width="7.109375" customWidth="1"/>
    <col min="10" max="10" width="7.33203125" customWidth="1"/>
    <col min="11" max="11" width="14.44140625" hidden="1" customWidth="1"/>
    <col min="12" max="12" width="3.6640625" hidden="1" customWidth="1"/>
    <col min="13" max="13" width="28.6640625" customWidth="1"/>
    <col min="14" max="14" width="40.21875" customWidth="1"/>
    <col min="15" max="15" width="29.109375" customWidth="1"/>
    <col min="16" max="16" width="28.88671875" customWidth="1"/>
    <col min="17" max="17" width="28.5546875" customWidth="1"/>
    <col min="18" max="18" width="29" customWidth="1"/>
    <col min="19" max="19" width="29.33203125" customWidth="1"/>
    <col min="20" max="20" width="29.109375" customWidth="1"/>
    <col min="21" max="21" width="32.109375" customWidth="1"/>
    <col min="22" max="22" width="38.44140625" customWidth="1"/>
    <col min="23" max="23" width="53.88671875" customWidth="1"/>
  </cols>
  <sheetData>
    <row r="1" spans="1:23" ht="13.2">
      <c r="A1" s="208" t="s">
        <v>12</v>
      </c>
      <c r="B1" s="189"/>
      <c r="C1" s="189"/>
      <c r="D1" s="189"/>
      <c r="E1" s="189"/>
      <c r="F1" s="189"/>
      <c r="G1" s="189"/>
      <c r="H1" s="189"/>
      <c r="I1" s="189"/>
      <c r="J1" s="189"/>
      <c r="K1" s="189"/>
      <c r="L1" s="189"/>
      <c r="M1" s="189"/>
      <c r="N1" s="189"/>
      <c r="O1" s="189"/>
      <c r="P1" s="189"/>
      <c r="Q1" s="189"/>
      <c r="R1" s="189"/>
      <c r="S1" s="189"/>
      <c r="T1" s="189"/>
      <c r="U1" s="189"/>
      <c r="V1" s="189"/>
      <c r="W1" s="190"/>
    </row>
    <row r="2" spans="1:23" ht="13.2">
      <c r="A2" s="191"/>
      <c r="B2" s="192"/>
      <c r="C2" s="192"/>
      <c r="D2" s="192"/>
      <c r="E2" s="192"/>
      <c r="F2" s="192"/>
      <c r="G2" s="192"/>
      <c r="H2" s="192"/>
      <c r="I2" s="192"/>
      <c r="J2" s="192"/>
      <c r="K2" s="192"/>
      <c r="L2" s="192"/>
      <c r="M2" s="192"/>
      <c r="N2" s="192"/>
      <c r="O2" s="192"/>
      <c r="P2" s="192"/>
      <c r="Q2" s="192"/>
      <c r="R2" s="192"/>
      <c r="S2" s="192"/>
      <c r="T2" s="192"/>
      <c r="U2" s="192"/>
      <c r="V2" s="192"/>
      <c r="W2" s="193"/>
    </row>
    <row r="3" spans="1:23" ht="13.2">
      <c r="A3" s="207" t="s">
        <v>23</v>
      </c>
      <c r="B3" s="189"/>
      <c r="C3" s="189"/>
      <c r="D3" s="189"/>
      <c r="E3" s="189"/>
      <c r="F3" s="190"/>
      <c r="G3" s="18"/>
      <c r="H3" s="18"/>
      <c r="I3" s="18"/>
      <c r="J3" s="19"/>
      <c r="K3" s="19"/>
      <c r="L3" s="19"/>
      <c r="S3" s="19"/>
      <c r="T3" s="19"/>
      <c r="U3" s="20"/>
      <c r="V3" s="20"/>
      <c r="W3" s="20"/>
    </row>
    <row r="4" spans="1:23" ht="14.25" customHeight="1">
      <c r="A4" s="191"/>
      <c r="B4" s="192"/>
      <c r="C4" s="192"/>
      <c r="D4" s="192"/>
      <c r="E4" s="192"/>
      <c r="F4" s="193"/>
      <c r="G4" s="18"/>
      <c r="H4" s="18"/>
      <c r="I4" s="18"/>
      <c r="J4" s="18"/>
      <c r="K4" s="18"/>
      <c r="L4" s="18"/>
      <c r="S4" s="19"/>
      <c r="T4" s="19"/>
      <c r="U4" s="20"/>
      <c r="V4" s="20"/>
      <c r="W4" s="20"/>
    </row>
    <row r="5" spans="1:23" ht="21.75" customHeight="1">
      <c r="A5" s="195" t="s">
        <v>24</v>
      </c>
      <c r="B5" s="192"/>
      <c r="C5" s="192"/>
      <c r="D5" s="192"/>
      <c r="E5" s="192"/>
      <c r="F5" s="193"/>
      <c r="G5" s="18"/>
      <c r="H5" s="18"/>
      <c r="I5" s="18"/>
      <c r="J5" s="18"/>
      <c r="K5" s="18"/>
      <c r="L5" s="18"/>
      <c r="S5" s="19"/>
      <c r="T5" s="19"/>
      <c r="U5" s="20"/>
      <c r="V5" s="20"/>
      <c r="W5" s="20"/>
    </row>
    <row r="6" spans="1:23" ht="21" customHeight="1">
      <c r="A6" s="195" t="s">
        <v>25</v>
      </c>
      <c r="B6" s="192"/>
      <c r="C6" s="192"/>
      <c r="D6" s="192"/>
      <c r="E6" s="192"/>
      <c r="F6" s="193"/>
      <c r="G6" s="18"/>
      <c r="H6" s="18"/>
      <c r="I6" s="18"/>
      <c r="J6" s="18"/>
      <c r="K6" s="18"/>
      <c r="L6" s="18"/>
      <c r="S6" s="19"/>
      <c r="T6" s="19"/>
      <c r="U6" s="20"/>
      <c r="V6" s="20"/>
      <c r="W6" s="20"/>
    </row>
    <row r="7" spans="1:23" ht="30" customHeight="1">
      <c r="A7" s="195" t="s">
        <v>26</v>
      </c>
      <c r="B7" s="192"/>
      <c r="C7" s="192"/>
      <c r="D7" s="192"/>
      <c r="E7" s="192"/>
      <c r="F7" s="193"/>
      <c r="G7" s="18"/>
      <c r="H7" s="18"/>
      <c r="I7" s="18"/>
      <c r="J7" s="18"/>
      <c r="K7" s="18"/>
      <c r="L7" s="18"/>
      <c r="S7" s="19"/>
      <c r="T7" s="19"/>
      <c r="U7" s="20"/>
      <c r="V7" s="20"/>
      <c r="W7" s="20"/>
    </row>
    <row r="8" spans="1:23" ht="31.5" customHeight="1">
      <c r="A8" s="195" t="s">
        <v>27</v>
      </c>
      <c r="B8" s="192"/>
      <c r="C8" s="192"/>
      <c r="D8" s="192"/>
      <c r="E8" s="192"/>
      <c r="F8" s="193"/>
      <c r="G8" s="18"/>
      <c r="H8" s="18"/>
      <c r="I8" s="18"/>
      <c r="J8" s="18"/>
      <c r="K8" s="18"/>
      <c r="L8" s="18"/>
      <c r="S8" s="19"/>
      <c r="T8" s="19"/>
      <c r="U8" s="20"/>
      <c r="V8" s="20"/>
      <c r="W8" s="20"/>
    </row>
    <row r="9" spans="1:23" ht="68.25" customHeight="1">
      <c r="A9" s="206" t="s">
        <v>28</v>
      </c>
      <c r="B9" s="184"/>
      <c r="C9" s="184"/>
      <c r="D9" s="184"/>
      <c r="E9" s="184"/>
      <c r="F9" s="185"/>
      <c r="G9" s="18"/>
      <c r="H9" s="18"/>
      <c r="I9" s="18"/>
      <c r="J9" s="18"/>
      <c r="K9" s="18"/>
      <c r="L9" s="18"/>
      <c r="S9" s="19"/>
      <c r="T9" s="19"/>
      <c r="U9" s="20"/>
      <c r="V9" s="20"/>
      <c r="W9" s="20"/>
    </row>
    <row r="10" spans="1:23" ht="93.75" customHeight="1">
      <c r="A10" s="207" t="s">
        <v>29</v>
      </c>
      <c r="B10" s="189"/>
      <c r="C10" s="189"/>
      <c r="D10" s="189"/>
      <c r="E10" s="189"/>
      <c r="F10" s="190"/>
      <c r="G10" s="18"/>
      <c r="H10" s="18"/>
      <c r="I10" s="18"/>
      <c r="J10" s="18"/>
      <c r="K10" s="18"/>
      <c r="L10" s="18"/>
      <c r="S10" s="20"/>
      <c r="T10" s="20"/>
      <c r="U10" s="20"/>
      <c r="V10" s="20"/>
      <c r="W10" s="20"/>
    </row>
    <row r="11" spans="1:23" ht="17.25" customHeight="1">
      <c r="A11" s="205" t="s">
        <v>30</v>
      </c>
      <c r="B11" s="202"/>
      <c r="C11" s="202"/>
      <c r="D11" s="202"/>
      <c r="E11" s="202"/>
      <c r="F11" s="203"/>
      <c r="G11" s="18"/>
      <c r="H11" s="18"/>
      <c r="I11" s="18"/>
      <c r="J11" s="18"/>
      <c r="K11" s="18"/>
      <c r="L11" s="18"/>
      <c r="S11" s="20"/>
      <c r="T11" s="20"/>
      <c r="U11" s="20"/>
      <c r="V11" s="20"/>
      <c r="W11" s="20"/>
    </row>
    <row r="12" spans="1:23" ht="20.25" customHeight="1">
      <c r="A12" s="205" t="s">
        <v>31</v>
      </c>
      <c r="B12" s="202"/>
      <c r="C12" s="202"/>
      <c r="D12" s="202"/>
      <c r="E12" s="202"/>
      <c r="F12" s="203"/>
      <c r="G12" s="18"/>
      <c r="H12" s="18"/>
      <c r="I12" s="18"/>
      <c r="J12" s="18"/>
      <c r="K12" s="18"/>
      <c r="L12" s="18"/>
      <c r="S12" s="20"/>
      <c r="T12" s="20"/>
      <c r="U12" s="20"/>
      <c r="V12" s="20"/>
      <c r="W12" s="20"/>
    </row>
    <row r="13" spans="1:23" ht="29.25" customHeight="1">
      <c r="A13" s="201" t="s">
        <v>32</v>
      </c>
      <c r="B13" s="202"/>
      <c r="C13" s="202"/>
      <c r="D13" s="202"/>
      <c r="E13" s="202"/>
      <c r="F13" s="203"/>
      <c r="G13" s="18"/>
      <c r="H13" s="18"/>
      <c r="I13" s="18"/>
      <c r="J13" s="18"/>
      <c r="K13" s="18"/>
      <c r="L13" s="18"/>
      <c r="S13" s="20"/>
      <c r="T13" s="20"/>
      <c r="U13" s="20"/>
      <c r="V13" s="20"/>
      <c r="W13" s="20"/>
    </row>
    <row r="14" spans="1:23" ht="26.25" customHeight="1">
      <c r="A14" s="204" t="s">
        <v>33</v>
      </c>
      <c r="B14" s="202"/>
      <c r="C14" s="202"/>
      <c r="D14" s="202"/>
      <c r="E14" s="202"/>
      <c r="F14" s="203"/>
      <c r="G14" s="18"/>
      <c r="H14" s="18"/>
      <c r="I14" s="18"/>
      <c r="J14" s="18"/>
      <c r="K14" s="18"/>
      <c r="L14" s="18"/>
      <c r="S14" s="20"/>
      <c r="T14" s="20"/>
      <c r="U14" s="20"/>
      <c r="V14" s="20"/>
      <c r="W14" s="20"/>
    </row>
    <row r="15" spans="1:23" ht="24.75" customHeight="1">
      <c r="A15" s="205" t="s">
        <v>34</v>
      </c>
      <c r="B15" s="202"/>
      <c r="C15" s="202"/>
      <c r="D15" s="202"/>
      <c r="E15" s="202"/>
      <c r="F15" s="203"/>
      <c r="G15" s="18"/>
      <c r="H15" s="18"/>
      <c r="I15" s="18"/>
      <c r="J15" s="18"/>
      <c r="K15" s="18"/>
      <c r="L15" s="18"/>
      <c r="S15" s="20"/>
      <c r="T15" s="20"/>
      <c r="U15" s="20"/>
      <c r="V15" s="20"/>
      <c r="W15" s="20"/>
    </row>
    <row r="16" spans="1:23" ht="24.75" customHeight="1">
      <c r="A16" s="205" t="s">
        <v>35</v>
      </c>
      <c r="B16" s="202"/>
      <c r="C16" s="202"/>
      <c r="D16" s="202"/>
      <c r="E16" s="202"/>
      <c r="F16" s="203"/>
      <c r="G16" s="18"/>
      <c r="H16" s="18"/>
      <c r="I16" s="18"/>
      <c r="J16" s="18"/>
      <c r="K16" s="18"/>
      <c r="L16" s="18"/>
      <c r="S16" s="20"/>
      <c r="T16" s="20"/>
      <c r="U16" s="20"/>
      <c r="V16" s="20"/>
      <c r="W16" s="20"/>
    </row>
    <row r="17" spans="1:23" ht="24.75" customHeight="1">
      <c r="A17" s="197" t="s">
        <v>36</v>
      </c>
      <c r="B17" s="192"/>
      <c r="C17" s="192"/>
      <c r="D17" s="192"/>
      <c r="E17" s="192"/>
      <c r="F17" s="193"/>
      <c r="G17" s="18"/>
      <c r="H17" s="18"/>
      <c r="I17" s="18"/>
      <c r="J17" s="18"/>
      <c r="K17" s="18"/>
      <c r="L17" s="18"/>
      <c r="S17" s="20"/>
      <c r="T17" s="20"/>
      <c r="U17" s="20"/>
      <c r="V17" s="20"/>
      <c r="W17" s="20"/>
    </row>
    <row r="18" spans="1:23" ht="18.75" customHeight="1">
      <c r="A18" s="21" t="s">
        <v>37</v>
      </c>
      <c r="B18" s="22"/>
      <c r="C18" s="22"/>
      <c r="D18" s="22"/>
      <c r="E18" s="22"/>
      <c r="F18" s="23"/>
      <c r="G18" s="18"/>
      <c r="H18" s="18"/>
      <c r="I18" s="18"/>
      <c r="J18" s="18"/>
      <c r="K18" s="18"/>
      <c r="L18" s="18"/>
      <c r="S18" s="20"/>
      <c r="T18" s="20"/>
      <c r="U18" s="20"/>
      <c r="V18" s="20"/>
      <c r="W18" s="20"/>
    </row>
    <row r="19" spans="1:23" ht="13.2">
      <c r="A19" s="24" t="s">
        <v>38</v>
      </c>
      <c r="B19" s="24" t="s">
        <v>39</v>
      </c>
      <c r="C19" s="24" t="s">
        <v>40</v>
      </c>
      <c r="D19" s="24" t="s">
        <v>41</v>
      </c>
      <c r="E19" s="24" t="s">
        <v>42</v>
      </c>
      <c r="F19" s="24" t="s">
        <v>43</v>
      </c>
      <c r="G19" s="25" t="s">
        <v>44</v>
      </c>
      <c r="H19" s="25" t="s">
        <v>45</v>
      </c>
      <c r="I19" s="25" t="s">
        <v>46</v>
      </c>
      <c r="J19" s="25" t="s">
        <v>47</v>
      </c>
      <c r="K19" s="25" t="s">
        <v>48</v>
      </c>
      <c r="L19" s="25" t="s">
        <v>49</v>
      </c>
      <c r="M19" s="25" t="s">
        <v>50</v>
      </c>
      <c r="N19" s="25" t="s">
        <v>51</v>
      </c>
      <c r="O19" s="25" t="s">
        <v>52</v>
      </c>
      <c r="P19" s="25" t="s">
        <v>53</v>
      </c>
      <c r="Q19" s="25" t="s">
        <v>54</v>
      </c>
      <c r="R19" s="25" t="s">
        <v>55</v>
      </c>
      <c r="S19" s="25" t="s">
        <v>56</v>
      </c>
      <c r="T19" s="25" t="s">
        <v>57</v>
      </c>
      <c r="U19" s="25" t="s">
        <v>58</v>
      </c>
      <c r="V19" s="25" t="s">
        <v>59</v>
      </c>
      <c r="W19" s="25" t="s">
        <v>60</v>
      </c>
    </row>
    <row r="20" spans="1:23" ht="118.8">
      <c r="A20" s="26" t="s">
        <v>61</v>
      </c>
      <c r="B20" s="26" t="s">
        <v>62</v>
      </c>
      <c r="C20" s="26" t="s">
        <v>63</v>
      </c>
      <c r="D20" s="26" t="s">
        <v>64</v>
      </c>
      <c r="E20" s="26" t="s">
        <v>65</v>
      </c>
      <c r="F20" s="26" t="s">
        <v>66</v>
      </c>
      <c r="G20" s="27" t="s">
        <v>67</v>
      </c>
      <c r="H20" s="27" t="s">
        <v>68</v>
      </c>
      <c r="I20" s="198" t="s">
        <v>69</v>
      </c>
      <c r="J20" s="184"/>
      <c r="K20" s="184"/>
      <c r="L20" s="185"/>
      <c r="M20" s="26" t="s">
        <v>70</v>
      </c>
      <c r="N20" s="26" t="s">
        <v>71</v>
      </c>
      <c r="O20" s="26" t="s">
        <v>72</v>
      </c>
      <c r="P20" s="26" t="s">
        <v>73</v>
      </c>
      <c r="Q20" s="26" t="s">
        <v>74</v>
      </c>
      <c r="R20" s="26" t="s">
        <v>75</v>
      </c>
      <c r="S20" s="26" t="s">
        <v>76</v>
      </c>
      <c r="T20" s="26" t="s">
        <v>77</v>
      </c>
      <c r="U20" s="26" t="s">
        <v>78</v>
      </c>
      <c r="V20" s="26" t="s">
        <v>79</v>
      </c>
      <c r="W20" s="26" t="s">
        <v>80</v>
      </c>
    </row>
    <row r="21" spans="1:23" ht="34.200000000000003" customHeight="1">
      <c r="A21" s="28">
        <v>1</v>
      </c>
      <c r="B21" s="29" t="s">
        <v>81</v>
      </c>
      <c r="C21" s="28">
        <f>3820*2</f>
        <v>7640</v>
      </c>
      <c r="D21" s="30">
        <v>0.11020000000000001</v>
      </c>
      <c r="E21" s="30">
        <v>0.09</v>
      </c>
      <c r="F21" s="31" t="s">
        <v>82</v>
      </c>
      <c r="G21" s="32">
        <v>1</v>
      </c>
      <c r="H21" s="32">
        <v>0</v>
      </c>
      <c r="I21" s="199" t="s">
        <v>83</v>
      </c>
      <c r="J21" s="184"/>
      <c r="K21" s="184"/>
      <c r="L21" s="185"/>
      <c r="M21" s="33" t="s">
        <v>84</v>
      </c>
      <c r="N21" s="34" t="s">
        <v>85</v>
      </c>
      <c r="O21" s="34" t="s">
        <v>86</v>
      </c>
      <c r="P21" s="34" t="s">
        <v>87</v>
      </c>
      <c r="Q21" s="34" t="s">
        <v>87</v>
      </c>
      <c r="R21" s="34" t="s">
        <v>87</v>
      </c>
      <c r="S21" s="35" t="s">
        <v>88</v>
      </c>
      <c r="T21" s="36" t="s">
        <v>361</v>
      </c>
      <c r="U21" s="90" t="s">
        <v>362</v>
      </c>
      <c r="V21" s="37" t="s">
        <v>363</v>
      </c>
      <c r="W21" s="38" t="s">
        <v>89</v>
      </c>
    </row>
    <row r="22" spans="1:23" ht="38.4" customHeight="1">
      <c r="A22" s="39">
        <v>2</v>
      </c>
      <c r="B22" s="40" t="s">
        <v>90</v>
      </c>
      <c r="C22" s="39">
        <f>421*2</f>
        <v>842</v>
      </c>
      <c r="D22" s="41">
        <f t="shared" ref="D22:D28" si="0">C23/C22</f>
        <v>0.93586698337292162</v>
      </c>
      <c r="E22" s="41">
        <f>1- D22</f>
        <v>6.4133016627078376E-2</v>
      </c>
      <c r="F22" s="41">
        <f xml:space="preserve"> 1 - (C22/C21)</f>
        <v>0.88979057591623034</v>
      </c>
      <c r="G22" s="42">
        <v>1</v>
      </c>
      <c r="H22" s="42">
        <v>1</v>
      </c>
      <c r="I22" s="200" t="s">
        <v>323</v>
      </c>
      <c r="J22" s="184"/>
      <c r="K22" s="184"/>
      <c r="L22" s="185"/>
      <c r="M22" s="43" t="s">
        <v>331</v>
      </c>
      <c r="N22" s="44" t="s">
        <v>338</v>
      </c>
      <c r="O22" s="45" t="s">
        <v>347</v>
      </c>
      <c r="P22" s="44" t="s">
        <v>87</v>
      </c>
      <c r="Q22" s="44" t="s">
        <v>87</v>
      </c>
      <c r="R22" s="44" t="s">
        <v>87</v>
      </c>
      <c r="S22" s="46" t="s">
        <v>88</v>
      </c>
      <c r="T22" s="47"/>
      <c r="U22" s="48"/>
      <c r="V22" s="47"/>
      <c r="W22" s="49" t="s">
        <v>370</v>
      </c>
    </row>
    <row r="23" spans="1:23" ht="27" customHeight="1">
      <c r="A23" s="39">
        <v>3</v>
      </c>
      <c r="B23" s="40" t="s">
        <v>91</v>
      </c>
      <c r="C23" s="39">
        <f>394*2</f>
        <v>788</v>
      </c>
      <c r="D23" s="41">
        <f t="shared" si="0"/>
        <v>0.97208121827411165</v>
      </c>
      <c r="E23" s="41">
        <f xml:space="preserve"> 1 - D23</f>
        <v>2.7918781725888353E-2</v>
      </c>
      <c r="F23" s="41">
        <f xml:space="preserve"> 1  - (C23/C22)</f>
        <v>6.4133016627078376E-2</v>
      </c>
      <c r="G23" s="42">
        <v>2</v>
      </c>
      <c r="H23" s="42">
        <v>1</v>
      </c>
      <c r="I23" s="196" t="s">
        <v>324</v>
      </c>
      <c r="J23" s="184"/>
      <c r="K23" s="184"/>
      <c r="L23" s="185"/>
      <c r="M23" s="43" t="s">
        <v>332</v>
      </c>
      <c r="N23" s="44" t="s">
        <v>339</v>
      </c>
      <c r="O23" s="44" t="s">
        <v>348</v>
      </c>
      <c r="P23" s="44" t="s">
        <v>87</v>
      </c>
      <c r="Q23" s="45" t="s">
        <v>87</v>
      </c>
      <c r="R23" s="45" t="s">
        <v>87</v>
      </c>
      <c r="S23" s="46" t="s">
        <v>88</v>
      </c>
      <c r="T23" s="47"/>
      <c r="U23" s="47"/>
      <c r="V23" s="48"/>
      <c r="W23" s="49" t="s">
        <v>366</v>
      </c>
    </row>
    <row r="24" spans="1:23" ht="18" customHeight="1">
      <c r="A24" s="39">
        <v>4</v>
      </c>
      <c r="B24" s="40" t="s">
        <v>92</v>
      </c>
      <c r="C24" s="39">
        <f>383*2</f>
        <v>766</v>
      </c>
      <c r="D24" s="41">
        <f t="shared" si="0"/>
        <v>0.96866840731070492</v>
      </c>
      <c r="E24" s="41">
        <f xml:space="preserve"> 1 -D24</f>
        <v>3.1331592689295085E-2</v>
      </c>
      <c r="F24" s="41">
        <f xml:space="preserve"> 1-(C24/C23)</f>
        <v>2.7918781725888353E-2</v>
      </c>
      <c r="G24" s="42">
        <v>3</v>
      </c>
      <c r="H24" s="42">
        <v>1</v>
      </c>
      <c r="I24" s="196" t="s">
        <v>325</v>
      </c>
      <c r="J24" s="184"/>
      <c r="K24" s="184"/>
      <c r="L24" s="185"/>
      <c r="M24" s="50" t="s">
        <v>333</v>
      </c>
      <c r="N24" s="51" t="s">
        <v>340</v>
      </c>
      <c r="O24" s="52" t="s">
        <v>349</v>
      </c>
      <c r="P24" s="52" t="s">
        <v>87</v>
      </c>
      <c r="Q24" s="52" t="s">
        <v>87</v>
      </c>
      <c r="R24" s="52" t="s">
        <v>87</v>
      </c>
      <c r="S24" s="46" t="s">
        <v>88</v>
      </c>
      <c r="T24" s="47"/>
      <c r="U24" s="53"/>
      <c r="V24" s="48"/>
      <c r="W24" s="49" t="s">
        <v>364</v>
      </c>
    </row>
    <row r="25" spans="1:23" ht="16.2" customHeight="1">
      <c r="A25" s="39">
        <v>5</v>
      </c>
      <c r="B25" s="40" t="s">
        <v>93</v>
      </c>
      <c r="C25" s="39">
        <f>371*2</f>
        <v>742</v>
      </c>
      <c r="D25" s="41">
        <f t="shared" si="0"/>
        <v>0.98921832884097038</v>
      </c>
      <c r="E25" s="41">
        <f xml:space="preserve"> 1 - D25</f>
        <v>1.0781671159029615E-2</v>
      </c>
      <c r="F25" s="41">
        <f>1-(C25/C24)</f>
        <v>3.1331592689295085E-2</v>
      </c>
      <c r="G25" s="42">
        <v>4</v>
      </c>
      <c r="H25" s="42">
        <v>2</v>
      </c>
      <c r="I25" s="196" t="s">
        <v>326</v>
      </c>
      <c r="J25" s="184"/>
      <c r="K25" s="184"/>
      <c r="L25" s="185"/>
      <c r="M25" s="50" t="s">
        <v>341</v>
      </c>
      <c r="N25" s="52" t="s">
        <v>342</v>
      </c>
      <c r="O25" s="51" t="s">
        <v>350</v>
      </c>
      <c r="P25" s="52" t="s">
        <v>87</v>
      </c>
      <c r="Q25" s="52" t="s">
        <v>87</v>
      </c>
      <c r="R25" s="52" t="s">
        <v>87</v>
      </c>
      <c r="S25" s="46" t="s">
        <v>88</v>
      </c>
      <c r="T25" s="48"/>
      <c r="U25" s="48"/>
      <c r="V25" s="53"/>
      <c r="W25" s="49" t="s">
        <v>367</v>
      </c>
    </row>
    <row r="26" spans="1:23" ht="17.399999999999999" customHeight="1">
      <c r="A26" s="39">
        <v>6</v>
      </c>
      <c r="B26" s="40" t="s">
        <v>94</v>
      </c>
      <c r="C26" s="39">
        <f>367*2</f>
        <v>734</v>
      </c>
      <c r="D26" s="41">
        <f t="shared" si="0"/>
        <v>0.86376021798365121</v>
      </c>
      <c r="E26" s="41">
        <f xml:space="preserve"> 1 - D26</f>
        <v>0.13623978201634879</v>
      </c>
      <c r="F26" s="41">
        <f>1-(C26/C25)</f>
        <v>1.0781671159029615E-2</v>
      </c>
      <c r="G26" s="42">
        <v>5</v>
      </c>
      <c r="H26" s="42">
        <v>2</v>
      </c>
      <c r="I26" s="196" t="s">
        <v>327</v>
      </c>
      <c r="J26" s="184"/>
      <c r="K26" s="184"/>
      <c r="L26" s="185"/>
      <c r="M26" s="50" t="s">
        <v>334</v>
      </c>
      <c r="N26" s="52" t="s">
        <v>343</v>
      </c>
      <c r="O26" s="52" t="s">
        <v>351</v>
      </c>
      <c r="P26" s="52" t="s">
        <v>87</v>
      </c>
      <c r="Q26" s="52" t="s">
        <v>87</v>
      </c>
      <c r="R26" s="52" t="s">
        <v>87</v>
      </c>
      <c r="S26" s="46" t="s">
        <v>88</v>
      </c>
      <c r="T26" s="48"/>
      <c r="U26" s="48"/>
      <c r="V26" s="47"/>
      <c r="W26" s="49" t="s">
        <v>368</v>
      </c>
    </row>
    <row r="27" spans="1:23" ht="16.8" customHeight="1">
      <c r="A27" s="39">
        <v>7</v>
      </c>
      <c r="B27" s="40" t="s">
        <v>95</v>
      </c>
      <c r="C27" s="39">
        <f>317*2</f>
        <v>634</v>
      </c>
      <c r="D27" s="41">
        <f t="shared" si="0"/>
        <v>0.96845425867507884</v>
      </c>
      <c r="E27" s="41">
        <f xml:space="preserve"> 1 - D27</f>
        <v>3.1545741324921162E-2</v>
      </c>
      <c r="F27" s="41">
        <f>1-(C27/C26)</f>
        <v>0.13623978201634879</v>
      </c>
      <c r="G27" s="42">
        <v>5</v>
      </c>
      <c r="H27" s="42">
        <v>3</v>
      </c>
      <c r="I27" s="196" t="s">
        <v>328</v>
      </c>
      <c r="J27" s="184"/>
      <c r="K27" s="184"/>
      <c r="L27" s="185"/>
      <c r="M27" s="50" t="s">
        <v>335</v>
      </c>
      <c r="N27" s="51" t="s">
        <v>344</v>
      </c>
      <c r="O27" s="52" t="s">
        <v>352</v>
      </c>
      <c r="P27" s="52" t="s">
        <v>87</v>
      </c>
      <c r="Q27" s="52" t="s">
        <v>87</v>
      </c>
      <c r="R27" s="52" t="s">
        <v>87</v>
      </c>
      <c r="S27" s="46" t="s">
        <v>88</v>
      </c>
      <c r="T27" s="48"/>
      <c r="U27" s="48"/>
      <c r="V27" s="47"/>
      <c r="W27" s="54" t="s">
        <v>365</v>
      </c>
    </row>
    <row r="28" spans="1:23" ht="25.2" customHeight="1">
      <c r="A28" s="39">
        <v>8</v>
      </c>
      <c r="B28" s="40" t="s">
        <v>96</v>
      </c>
      <c r="C28" s="39">
        <f>307*2</f>
        <v>614</v>
      </c>
      <c r="D28" s="41">
        <f t="shared" si="0"/>
        <v>0.92182410423452765</v>
      </c>
      <c r="E28" s="41">
        <f xml:space="preserve"> 1 - D28</f>
        <v>7.8175895765472347E-2</v>
      </c>
      <c r="F28" s="41">
        <f>1-(C28/C27)</f>
        <v>3.1545741324921162E-2</v>
      </c>
      <c r="G28" s="42">
        <v>0</v>
      </c>
      <c r="H28" s="42">
        <v>0</v>
      </c>
      <c r="I28" s="196" t="s">
        <v>329</v>
      </c>
      <c r="J28" s="184"/>
      <c r="K28" s="184"/>
      <c r="L28" s="185"/>
      <c r="M28" s="50" t="s">
        <v>336</v>
      </c>
      <c r="N28" s="52" t="s">
        <v>345</v>
      </c>
      <c r="O28" s="52" t="s">
        <v>353</v>
      </c>
      <c r="P28" s="52" t="s">
        <v>356</v>
      </c>
      <c r="Q28" s="52" t="s">
        <v>355</v>
      </c>
      <c r="R28" s="52" t="s">
        <v>357</v>
      </c>
      <c r="S28" s="47" t="s">
        <v>359</v>
      </c>
      <c r="T28" s="48"/>
      <c r="U28" s="48"/>
      <c r="V28" s="48"/>
      <c r="W28" s="47"/>
    </row>
    <row r="29" spans="1:23" ht="19.8" customHeight="1">
      <c r="A29" s="39">
        <v>9</v>
      </c>
      <c r="B29" s="40" t="s">
        <v>97</v>
      </c>
      <c r="C29" s="39">
        <f>283*2</f>
        <v>566</v>
      </c>
      <c r="D29" s="55">
        <f t="shared" ref="D29" si="1">C30/C29</f>
        <v>1</v>
      </c>
      <c r="E29" s="56">
        <v>0</v>
      </c>
      <c r="F29" s="41">
        <f>1-(C29/C28)</f>
        <v>7.8175895765472347E-2</v>
      </c>
      <c r="G29" s="42">
        <v>6</v>
      </c>
      <c r="H29" s="42">
        <v>4</v>
      </c>
      <c r="I29" s="196" t="s">
        <v>330</v>
      </c>
      <c r="J29" s="184"/>
      <c r="K29" s="184"/>
      <c r="L29" s="185"/>
      <c r="M29" s="50" t="s">
        <v>337</v>
      </c>
      <c r="N29" s="51" t="s">
        <v>346</v>
      </c>
      <c r="O29" s="51" t="s">
        <v>354</v>
      </c>
      <c r="P29" s="52" t="s">
        <v>356</v>
      </c>
      <c r="Q29" s="52" t="s">
        <v>355</v>
      </c>
      <c r="R29" s="52" t="s">
        <v>358</v>
      </c>
      <c r="S29" s="47" t="s">
        <v>360</v>
      </c>
      <c r="T29" s="53"/>
      <c r="U29" s="53"/>
      <c r="V29" s="47"/>
      <c r="W29" s="47"/>
    </row>
    <row r="30" spans="1:23" ht="13.2">
      <c r="A30" s="57">
        <v>10</v>
      </c>
      <c r="B30" s="58" t="s">
        <v>98</v>
      </c>
      <c r="C30" s="59">
        <f>C29</f>
        <v>566</v>
      </c>
      <c r="D30" s="20"/>
      <c r="E30" s="60"/>
      <c r="F30" s="61"/>
      <c r="G30" s="62"/>
      <c r="H30" s="62"/>
      <c r="I30" s="20"/>
      <c r="J30" s="20"/>
      <c r="K30" s="20"/>
      <c r="L30" s="20"/>
      <c r="M30" s="20"/>
      <c r="N30" s="20"/>
      <c r="O30" s="20"/>
      <c r="P30" s="20"/>
      <c r="Q30" s="20"/>
      <c r="R30" s="20"/>
      <c r="S30" s="20"/>
      <c r="T30" s="20"/>
      <c r="U30" s="20"/>
      <c r="V30" s="20"/>
      <c r="W30" s="20"/>
    </row>
    <row r="31" spans="1:23" ht="13.2">
      <c r="A31" s="20"/>
      <c r="B31" s="20"/>
      <c r="C31" s="20"/>
      <c r="D31" s="20"/>
      <c r="E31" s="63"/>
      <c r="F31" s="58" t="s">
        <v>99</v>
      </c>
      <c r="G31" s="58" t="s">
        <v>100</v>
      </c>
      <c r="H31" s="58" t="s">
        <v>100</v>
      </c>
      <c r="I31" s="20"/>
      <c r="J31" s="20"/>
      <c r="K31" s="20"/>
      <c r="L31" s="20"/>
      <c r="M31" s="20"/>
      <c r="N31" s="20"/>
      <c r="O31" s="20"/>
      <c r="P31" s="20"/>
      <c r="Q31" s="20"/>
      <c r="R31" s="20"/>
      <c r="S31" s="20"/>
      <c r="T31" s="20"/>
      <c r="U31" s="20"/>
      <c r="V31" s="20"/>
      <c r="W31" s="20"/>
    </row>
    <row r="32" spans="1:23" ht="13.2">
      <c r="A32" s="20"/>
      <c r="B32" s="20"/>
      <c r="C32" s="20"/>
      <c r="D32" s="20"/>
      <c r="E32" s="63"/>
      <c r="F32" s="64">
        <f>AVERAGE(F21:F29)</f>
        <v>0.15873963215303299</v>
      </c>
      <c r="G32" s="65">
        <f>SUM(G21:G29)</f>
        <v>27</v>
      </c>
      <c r="H32" s="65">
        <f>SUM(H21:H29)</f>
        <v>14</v>
      </c>
      <c r="I32" s="20"/>
      <c r="J32" s="20"/>
      <c r="K32" s="20"/>
      <c r="L32" s="20"/>
      <c r="M32" s="20"/>
      <c r="N32" s="20"/>
      <c r="O32" s="20"/>
      <c r="P32" s="20"/>
      <c r="Q32" s="20"/>
      <c r="R32" s="20"/>
      <c r="S32" s="20"/>
      <c r="T32" s="20"/>
      <c r="U32" s="20"/>
      <c r="V32" s="20"/>
      <c r="W32" s="20"/>
    </row>
    <row r="33" spans="1:23" ht="13.2">
      <c r="A33" s="20"/>
      <c r="B33" s="20"/>
      <c r="C33" s="20"/>
      <c r="D33" s="20"/>
      <c r="E33" s="20"/>
      <c r="F33" s="20"/>
      <c r="G33" s="20"/>
      <c r="H33" s="20"/>
      <c r="I33" s="20"/>
      <c r="J33" s="20"/>
      <c r="K33" s="20"/>
      <c r="L33" s="20"/>
      <c r="M33" s="20"/>
      <c r="N33" s="20"/>
      <c r="O33" s="20"/>
      <c r="P33" s="20"/>
      <c r="Q33" s="20"/>
      <c r="R33" s="20"/>
      <c r="S33" s="20"/>
      <c r="T33" s="20"/>
      <c r="U33" s="20"/>
      <c r="V33" s="20"/>
      <c r="W33" s="20"/>
    </row>
  </sheetData>
  <mergeCells count="25">
    <mergeCell ref="A1:W2"/>
    <mergeCell ref="A3:F4"/>
    <mergeCell ref="A5:F5"/>
    <mergeCell ref="A6:F6"/>
    <mergeCell ref="A7:F7"/>
    <mergeCell ref="A8:F8"/>
    <mergeCell ref="A9:F9"/>
    <mergeCell ref="A10:F10"/>
    <mergeCell ref="A11:F11"/>
    <mergeCell ref="A12:F12"/>
    <mergeCell ref="A13:F13"/>
    <mergeCell ref="A14:F14"/>
    <mergeCell ref="A15:F15"/>
    <mergeCell ref="A16:F16"/>
    <mergeCell ref="I26:L26"/>
    <mergeCell ref="I27:L27"/>
    <mergeCell ref="I28:L28"/>
    <mergeCell ref="I29:L29"/>
    <mergeCell ref="A17:F17"/>
    <mergeCell ref="I20:L20"/>
    <mergeCell ref="I21:L21"/>
    <mergeCell ref="I22:L22"/>
    <mergeCell ref="I23:L23"/>
    <mergeCell ref="I24:L24"/>
    <mergeCell ref="I25:L25"/>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23"/>
  <sheetViews>
    <sheetView showGridLines="0" topLeftCell="I17" workbookViewId="0">
      <selection activeCell="P23" sqref="P23"/>
    </sheetView>
  </sheetViews>
  <sheetFormatPr defaultColWidth="14.44140625" defaultRowHeight="15.75" customHeight="1"/>
  <cols>
    <col min="2" max="2" width="59.109375" customWidth="1"/>
    <col min="3" max="3" width="21.6640625" customWidth="1"/>
    <col min="4" max="4" width="44.5546875" customWidth="1"/>
    <col min="5" max="5" width="43.6640625" customWidth="1"/>
    <col min="6" max="6" width="44.5546875" customWidth="1"/>
    <col min="7" max="7" width="43.33203125" customWidth="1"/>
    <col min="8" max="8" width="43.88671875" customWidth="1"/>
    <col min="9" max="9" width="29.44140625" customWidth="1"/>
    <col min="10" max="10" width="23" customWidth="1"/>
    <col min="11" max="11" width="28.44140625" customWidth="1"/>
    <col min="12" max="12" width="28.5546875" customWidth="1"/>
    <col min="13" max="13" width="16.109375" customWidth="1"/>
  </cols>
  <sheetData>
    <row r="1" spans="1:16" ht="13.2">
      <c r="A1" s="208" t="s">
        <v>12</v>
      </c>
      <c r="B1" s="189"/>
      <c r="C1" s="189"/>
      <c r="D1" s="189"/>
      <c r="E1" s="189"/>
      <c r="F1" s="189"/>
      <c r="G1" s="189"/>
      <c r="H1" s="189"/>
      <c r="I1" s="189"/>
      <c r="J1" s="189"/>
      <c r="K1" s="189"/>
      <c r="L1" s="189"/>
      <c r="M1" s="189"/>
      <c r="N1" s="189"/>
      <c r="O1" s="189"/>
      <c r="P1" s="190"/>
    </row>
    <row r="2" spans="1:16" ht="13.2">
      <c r="A2" s="191"/>
      <c r="B2" s="192"/>
      <c r="C2" s="192"/>
      <c r="D2" s="192"/>
      <c r="E2" s="192"/>
      <c r="F2" s="192"/>
      <c r="G2" s="192"/>
      <c r="H2" s="192"/>
      <c r="I2" s="192"/>
      <c r="J2" s="192"/>
      <c r="K2" s="192"/>
      <c r="L2" s="192"/>
      <c r="M2" s="192"/>
      <c r="N2" s="192"/>
      <c r="O2" s="192"/>
      <c r="P2" s="193"/>
    </row>
    <row r="3" spans="1:16" ht="13.2">
      <c r="A3" s="207" t="s">
        <v>101</v>
      </c>
      <c r="B3" s="189"/>
      <c r="C3" s="189"/>
      <c r="D3" s="189"/>
      <c r="E3" s="189"/>
      <c r="F3" s="190"/>
      <c r="K3" s="19"/>
      <c r="L3" s="19"/>
      <c r="M3" s="20"/>
      <c r="N3" s="20"/>
      <c r="O3" s="20"/>
      <c r="P3" s="20"/>
    </row>
    <row r="4" spans="1:16" ht="13.2">
      <c r="A4" s="207" t="s">
        <v>102</v>
      </c>
      <c r="B4" s="189"/>
      <c r="C4" s="189"/>
      <c r="D4" s="189"/>
      <c r="E4" s="189"/>
      <c r="F4" s="190"/>
      <c r="K4" s="19"/>
      <c r="L4" s="19"/>
      <c r="M4" s="18"/>
      <c r="N4" s="20"/>
      <c r="O4" s="20"/>
      <c r="P4" s="20"/>
    </row>
    <row r="5" spans="1:16" ht="13.2">
      <c r="A5" s="210" t="s">
        <v>103</v>
      </c>
      <c r="B5" s="189"/>
      <c r="C5" s="189"/>
      <c r="D5" s="189"/>
      <c r="E5" s="189"/>
      <c r="F5" s="190"/>
      <c r="K5" s="20"/>
      <c r="L5" s="20"/>
      <c r="M5" s="20"/>
      <c r="N5" s="20"/>
      <c r="O5" s="20"/>
      <c r="P5" s="20"/>
    </row>
    <row r="6" spans="1:16" ht="15" customHeight="1">
      <c r="A6" s="209" t="s">
        <v>104</v>
      </c>
      <c r="B6" s="202"/>
      <c r="C6" s="202"/>
      <c r="D6" s="202"/>
      <c r="E6" s="202"/>
      <c r="F6" s="203"/>
      <c r="K6" s="20"/>
      <c r="L6" s="20"/>
      <c r="M6" s="20"/>
      <c r="N6" s="20"/>
      <c r="O6" s="20"/>
      <c r="P6" s="20"/>
    </row>
    <row r="7" spans="1:16" ht="15" customHeight="1">
      <c r="A7" s="209" t="s">
        <v>105</v>
      </c>
      <c r="B7" s="202"/>
      <c r="C7" s="202"/>
      <c r="D7" s="202"/>
      <c r="E7" s="202"/>
      <c r="F7" s="203"/>
      <c r="K7" s="20"/>
      <c r="L7" s="20"/>
      <c r="M7" s="20"/>
      <c r="N7" s="20"/>
      <c r="O7" s="20"/>
      <c r="P7" s="20"/>
    </row>
    <row r="8" spans="1:16" ht="15" customHeight="1">
      <c r="A8" s="209" t="s">
        <v>106</v>
      </c>
      <c r="B8" s="202"/>
      <c r="C8" s="202"/>
      <c r="D8" s="202"/>
      <c r="E8" s="202"/>
      <c r="F8" s="203"/>
      <c r="K8" s="20"/>
      <c r="L8" s="20"/>
      <c r="M8" s="20"/>
      <c r="N8" s="20"/>
      <c r="O8" s="20"/>
      <c r="P8" s="20"/>
    </row>
    <row r="9" spans="1:16" ht="15" customHeight="1">
      <c r="A9" s="209" t="s">
        <v>107</v>
      </c>
      <c r="B9" s="202"/>
      <c r="C9" s="202"/>
      <c r="D9" s="202"/>
      <c r="E9" s="202"/>
      <c r="F9" s="203"/>
      <c r="K9" s="20"/>
      <c r="L9" s="20"/>
      <c r="M9" s="20"/>
      <c r="N9" s="20"/>
      <c r="O9" s="20"/>
      <c r="P9" s="20"/>
    </row>
    <row r="10" spans="1:16" ht="15" customHeight="1">
      <c r="A10" s="209" t="s">
        <v>108</v>
      </c>
      <c r="B10" s="202"/>
      <c r="C10" s="202"/>
      <c r="D10" s="202"/>
      <c r="E10" s="202"/>
      <c r="F10" s="203"/>
      <c r="K10" s="20"/>
      <c r="L10" s="20"/>
      <c r="M10" s="20"/>
      <c r="N10" s="20"/>
      <c r="O10" s="20"/>
      <c r="P10" s="20"/>
    </row>
    <row r="11" spans="1:16" ht="15" customHeight="1">
      <c r="A11" s="209" t="s">
        <v>109</v>
      </c>
      <c r="B11" s="202"/>
      <c r="C11" s="202"/>
      <c r="D11" s="202"/>
      <c r="E11" s="202"/>
      <c r="F11" s="203"/>
      <c r="K11" s="20"/>
      <c r="L11" s="20"/>
      <c r="M11" s="20"/>
      <c r="N11" s="20"/>
      <c r="O11" s="20"/>
      <c r="P11" s="20"/>
    </row>
    <row r="12" spans="1:16" ht="15" customHeight="1">
      <c r="A12" s="209" t="s">
        <v>110</v>
      </c>
      <c r="B12" s="202"/>
      <c r="C12" s="202"/>
      <c r="D12" s="202"/>
      <c r="E12" s="202"/>
      <c r="F12" s="203"/>
      <c r="K12" s="20"/>
      <c r="L12" s="20"/>
      <c r="M12" s="20"/>
      <c r="N12" s="20"/>
      <c r="O12" s="20"/>
      <c r="P12" s="20"/>
    </row>
    <row r="13" spans="1:16" ht="15" customHeight="1">
      <c r="A13" s="209" t="s">
        <v>111</v>
      </c>
      <c r="B13" s="202"/>
      <c r="C13" s="202"/>
      <c r="D13" s="202"/>
      <c r="E13" s="202"/>
      <c r="F13" s="203"/>
      <c r="K13" s="20"/>
      <c r="L13" s="20"/>
      <c r="M13" s="20"/>
      <c r="N13" s="20"/>
      <c r="O13" s="20"/>
      <c r="P13" s="20"/>
    </row>
    <row r="14" spans="1:16" ht="15" customHeight="1">
      <c r="A14" s="209" t="s">
        <v>112</v>
      </c>
      <c r="B14" s="202"/>
      <c r="C14" s="202"/>
      <c r="D14" s="202"/>
      <c r="E14" s="202"/>
      <c r="F14" s="203"/>
      <c r="K14" s="20"/>
      <c r="L14" s="20"/>
      <c r="M14" s="20"/>
      <c r="N14" s="20"/>
      <c r="O14" s="20"/>
      <c r="P14" s="20"/>
    </row>
    <row r="15" spans="1:16" ht="15" customHeight="1">
      <c r="A15" s="66" t="s">
        <v>113</v>
      </c>
      <c r="B15" s="67"/>
      <c r="C15" s="67"/>
      <c r="D15" s="67"/>
      <c r="E15" s="67"/>
      <c r="F15" s="68"/>
      <c r="K15" s="20"/>
      <c r="L15" s="20"/>
      <c r="M15" s="20"/>
      <c r="N15" s="20"/>
      <c r="O15" s="20"/>
      <c r="P15" s="20"/>
    </row>
    <row r="16" spans="1:16" ht="15" customHeight="1">
      <c r="A16" s="21" t="s">
        <v>37</v>
      </c>
      <c r="B16" s="22"/>
      <c r="C16" s="22"/>
      <c r="D16" s="22"/>
      <c r="E16" s="22"/>
      <c r="F16" s="23"/>
      <c r="K16" s="20"/>
      <c r="L16" s="20"/>
      <c r="M16" s="20"/>
      <c r="N16" s="20"/>
      <c r="O16" s="20"/>
      <c r="P16" s="20"/>
    </row>
    <row r="17" spans="1:16" ht="15" customHeight="1">
      <c r="A17" s="13" t="s">
        <v>38</v>
      </c>
      <c r="B17" s="13" t="s">
        <v>114</v>
      </c>
      <c r="C17" s="13" t="s">
        <v>115</v>
      </c>
      <c r="D17" s="13" t="s">
        <v>41</v>
      </c>
      <c r="E17" s="69" t="s">
        <v>42</v>
      </c>
      <c r="F17" s="69" t="s">
        <v>43</v>
      </c>
      <c r="G17" s="69" t="s">
        <v>44</v>
      </c>
      <c r="H17" s="69" t="s">
        <v>45</v>
      </c>
      <c r="I17" s="69" t="s">
        <v>46</v>
      </c>
      <c r="J17" s="69" t="s">
        <v>47</v>
      </c>
      <c r="K17" s="13" t="s">
        <v>48</v>
      </c>
      <c r="L17" s="13" t="s">
        <v>49</v>
      </c>
      <c r="M17" s="13" t="s">
        <v>50</v>
      </c>
      <c r="N17" s="13" t="s">
        <v>51</v>
      </c>
      <c r="O17" s="13" t="s">
        <v>52</v>
      </c>
      <c r="P17" s="13" t="s">
        <v>53</v>
      </c>
    </row>
    <row r="18" spans="1:16" ht="39.6">
      <c r="A18" s="70"/>
      <c r="B18" s="71" t="s">
        <v>116</v>
      </c>
      <c r="C18" s="72" t="s">
        <v>117</v>
      </c>
      <c r="D18" s="71" t="s">
        <v>118</v>
      </c>
      <c r="E18" s="71" t="s">
        <v>119</v>
      </c>
      <c r="F18" s="71" t="s">
        <v>120</v>
      </c>
      <c r="G18" s="72" t="s">
        <v>121</v>
      </c>
      <c r="H18" s="71" t="s">
        <v>122</v>
      </c>
      <c r="I18" s="71" t="s">
        <v>123</v>
      </c>
      <c r="J18" s="71" t="s">
        <v>124</v>
      </c>
      <c r="K18" s="71" t="s">
        <v>125</v>
      </c>
      <c r="L18" s="71" t="s">
        <v>126</v>
      </c>
      <c r="M18" s="72" t="s">
        <v>127</v>
      </c>
      <c r="N18" s="71" t="s">
        <v>128</v>
      </c>
      <c r="O18" s="71" t="s">
        <v>129</v>
      </c>
      <c r="P18" s="71" t="s">
        <v>130</v>
      </c>
    </row>
    <row r="19" spans="1:16" ht="79.2">
      <c r="A19" s="73">
        <v>1</v>
      </c>
      <c r="B19" s="74" t="s">
        <v>131</v>
      </c>
      <c r="C19" s="74" t="s">
        <v>132</v>
      </c>
      <c r="D19" s="74" t="s">
        <v>133</v>
      </c>
      <c r="E19" s="74" t="s">
        <v>134</v>
      </c>
      <c r="F19" s="75" t="s">
        <v>135</v>
      </c>
      <c r="G19" s="74" t="s">
        <v>136</v>
      </c>
      <c r="H19" s="74" t="s">
        <v>137</v>
      </c>
      <c r="I19" s="74" t="s">
        <v>138</v>
      </c>
      <c r="J19" s="74" t="s">
        <v>139</v>
      </c>
      <c r="K19" s="76">
        <v>0.2</v>
      </c>
      <c r="L19" s="75" t="s">
        <v>140</v>
      </c>
      <c r="M19" s="77">
        <v>9</v>
      </c>
      <c r="N19" s="77">
        <v>9</v>
      </c>
      <c r="O19" s="77">
        <v>10</v>
      </c>
      <c r="P19" s="78">
        <f>AVERAGE(M19:O19)</f>
        <v>9.3333333333333339</v>
      </c>
    </row>
    <row r="20" spans="1:16" ht="52.8">
      <c r="A20" s="79"/>
      <c r="B20" s="80" t="s">
        <v>370</v>
      </c>
      <c r="C20" s="80" t="s">
        <v>369</v>
      </c>
      <c r="D20" s="80" t="s">
        <v>371</v>
      </c>
      <c r="E20" s="80" t="s">
        <v>378</v>
      </c>
      <c r="F20" s="80" t="s">
        <v>372</v>
      </c>
      <c r="G20" s="80" t="s">
        <v>373</v>
      </c>
      <c r="H20" s="80" t="s">
        <v>389</v>
      </c>
      <c r="I20" s="80" t="s">
        <v>374</v>
      </c>
      <c r="J20" s="80" t="s">
        <v>375</v>
      </c>
      <c r="K20" s="81">
        <v>0.35</v>
      </c>
      <c r="L20" s="80" t="s">
        <v>393</v>
      </c>
      <c r="M20" s="82">
        <v>8</v>
      </c>
      <c r="N20" s="82">
        <v>9</v>
      </c>
      <c r="O20" s="82">
        <v>10</v>
      </c>
      <c r="P20" s="83">
        <v>9</v>
      </c>
    </row>
    <row r="21" spans="1:16" ht="66">
      <c r="A21" s="79"/>
      <c r="B21" s="84" t="s">
        <v>367</v>
      </c>
      <c r="C21" s="80" t="s">
        <v>376</v>
      </c>
      <c r="D21" s="80" t="s">
        <v>377</v>
      </c>
      <c r="E21" s="80" t="s">
        <v>379</v>
      </c>
      <c r="F21" s="80" t="s">
        <v>384</v>
      </c>
      <c r="G21" s="85" t="s">
        <v>386</v>
      </c>
      <c r="H21" s="80" t="s">
        <v>390</v>
      </c>
      <c r="I21" s="80"/>
      <c r="J21" s="80" t="s">
        <v>387</v>
      </c>
      <c r="K21" s="81">
        <v>0.4</v>
      </c>
      <c r="L21" s="80" t="s">
        <v>394</v>
      </c>
      <c r="M21" s="82">
        <v>7</v>
      </c>
      <c r="N21" s="82">
        <v>8</v>
      </c>
      <c r="O21" s="82">
        <v>10</v>
      </c>
      <c r="P21" s="83">
        <v>8.33</v>
      </c>
    </row>
    <row r="22" spans="1:16" ht="105.6">
      <c r="A22" s="79"/>
      <c r="B22" s="86" t="s">
        <v>368</v>
      </c>
      <c r="C22" s="80" t="s">
        <v>380</v>
      </c>
      <c r="D22" s="80" t="s">
        <v>381</v>
      </c>
      <c r="E22" s="80" t="s">
        <v>382</v>
      </c>
      <c r="F22" s="80" t="s">
        <v>383</v>
      </c>
      <c r="G22" s="80" t="s">
        <v>385</v>
      </c>
      <c r="H22" s="85" t="s">
        <v>391</v>
      </c>
      <c r="I22" s="80" t="s">
        <v>392</v>
      </c>
      <c r="J22" s="80" t="s">
        <v>388</v>
      </c>
      <c r="K22" s="81">
        <v>0.3</v>
      </c>
      <c r="L22" s="80" t="s">
        <v>395</v>
      </c>
      <c r="M22" s="82">
        <v>7</v>
      </c>
      <c r="N22" s="82">
        <v>7</v>
      </c>
      <c r="O22" s="82">
        <v>9</v>
      </c>
      <c r="P22" s="83">
        <v>7.66</v>
      </c>
    </row>
    <row r="23" spans="1:16" ht="13.2">
      <c r="A23" s="79"/>
      <c r="B23" s="86"/>
      <c r="C23" s="80"/>
      <c r="D23" s="80"/>
      <c r="E23" s="80"/>
      <c r="F23" s="85"/>
      <c r="G23" s="80"/>
      <c r="H23" s="80"/>
      <c r="I23" s="80"/>
      <c r="J23" s="80"/>
      <c r="K23" s="81"/>
      <c r="L23" s="80"/>
      <c r="M23" s="82"/>
      <c r="N23" s="82"/>
      <c r="O23" s="82"/>
      <c r="P23" s="83"/>
    </row>
  </sheetData>
  <mergeCells count="13">
    <mergeCell ref="A14:F14"/>
    <mergeCell ref="A1:P2"/>
    <mergeCell ref="A3:F3"/>
    <mergeCell ref="A4:F4"/>
    <mergeCell ref="A5:F5"/>
    <mergeCell ref="A6:F6"/>
    <mergeCell ref="A7:F7"/>
    <mergeCell ref="A8:F8"/>
    <mergeCell ref="A9:F9"/>
    <mergeCell ref="A10:F10"/>
    <mergeCell ref="A11:F11"/>
    <mergeCell ref="A12:F12"/>
    <mergeCell ref="A13:F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34"/>
  <sheetViews>
    <sheetView showGridLines="0" topLeftCell="A4" workbookViewId="0">
      <selection activeCell="B40" sqref="B40"/>
    </sheetView>
  </sheetViews>
  <sheetFormatPr defaultColWidth="14.44140625" defaultRowHeight="15.75" customHeight="1"/>
  <cols>
    <col min="1" max="1" width="13.33203125" customWidth="1"/>
    <col min="2" max="2" width="89.33203125" customWidth="1"/>
  </cols>
  <sheetData>
    <row r="1" spans="1:2" ht="37.799999999999997">
      <c r="A1" s="217" t="s">
        <v>15</v>
      </c>
      <c r="B1" s="185"/>
    </row>
    <row r="2" spans="1:2" ht="44.25" customHeight="1">
      <c r="A2" s="218" t="s">
        <v>141</v>
      </c>
      <c r="B2" s="185"/>
    </row>
    <row r="3" spans="1:2" ht="77.25" customHeight="1">
      <c r="A3" s="215" t="s">
        <v>142</v>
      </c>
      <c r="B3" s="185"/>
    </row>
    <row r="4" spans="1:2" ht="66" customHeight="1">
      <c r="A4" s="215" t="s">
        <v>143</v>
      </c>
      <c r="B4" s="185"/>
    </row>
    <row r="5" spans="1:2" ht="43.5" customHeight="1">
      <c r="A5" s="210" t="s">
        <v>144</v>
      </c>
      <c r="B5" s="190"/>
    </row>
    <row r="6" spans="1:2" ht="21.75" customHeight="1">
      <c r="A6" s="211" t="str">
        <f>HYPERLINK("https://slack.com/get-started#/ ","Instructions: Signup for Slack at https://slack.com/get-started#/")</f>
        <v>Instructions: Signup for Slack at https://slack.com/get-started#/</v>
      </c>
      <c r="B6" s="190"/>
    </row>
    <row r="7" spans="1:2" ht="13.2">
      <c r="A7" s="212" t="s">
        <v>145</v>
      </c>
      <c r="B7" s="185"/>
    </row>
    <row r="8" spans="1:2" ht="13.2">
      <c r="A8" s="214" t="s">
        <v>146</v>
      </c>
      <c r="B8" s="203"/>
    </row>
    <row r="9" spans="1:2" ht="13.2">
      <c r="A9" s="215" t="s">
        <v>147</v>
      </c>
      <c r="B9" s="185"/>
    </row>
    <row r="10" spans="1:2" ht="13.2">
      <c r="A10" s="215" t="s">
        <v>148</v>
      </c>
      <c r="B10" s="185"/>
    </row>
    <row r="11" spans="1:2" ht="13.2">
      <c r="A11" s="215" t="s">
        <v>149</v>
      </c>
      <c r="B11" s="185"/>
    </row>
    <row r="12" spans="1:2" ht="13.2">
      <c r="A12" s="216" t="s">
        <v>150</v>
      </c>
      <c r="B12" s="203"/>
    </row>
    <row r="13" spans="1:2" ht="13.2">
      <c r="A13" s="216" t="s">
        <v>151</v>
      </c>
      <c r="B13" s="203"/>
    </row>
    <row r="14" spans="1:2" ht="13.2">
      <c r="A14" s="216" t="s">
        <v>152</v>
      </c>
      <c r="B14" s="203"/>
    </row>
    <row r="15" spans="1:2" ht="13.2">
      <c r="A15" s="13" t="s">
        <v>38</v>
      </c>
      <c r="B15" s="13" t="s">
        <v>114</v>
      </c>
    </row>
    <row r="16" spans="1:2" ht="13.2">
      <c r="A16" s="21" t="s">
        <v>37</v>
      </c>
      <c r="B16" s="88"/>
    </row>
    <row r="17" spans="1:2" ht="13.2">
      <c r="A17" s="213" t="s">
        <v>153</v>
      </c>
      <c r="B17" s="185"/>
    </row>
    <row r="18" spans="1:2" ht="13.2">
      <c r="A18" s="89">
        <v>1</v>
      </c>
      <c r="B18" s="90" t="s">
        <v>154</v>
      </c>
    </row>
    <row r="19" spans="1:2" ht="13.2">
      <c r="A19" s="89">
        <v>2</v>
      </c>
      <c r="B19" s="10" t="s">
        <v>396</v>
      </c>
    </row>
    <row r="20" spans="1:2" ht="13.2">
      <c r="A20" s="89">
        <v>3</v>
      </c>
      <c r="B20" s="10" t="s">
        <v>397</v>
      </c>
    </row>
    <row r="21" spans="1:2" ht="13.2">
      <c r="A21" s="89">
        <v>4</v>
      </c>
      <c r="B21" s="10" t="s">
        <v>398</v>
      </c>
    </row>
    <row r="22" spans="1:2" ht="13.2">
      <c r="A22" s="89">
        <v>5</v>
      </c>
      <c r="B22" s="16" t="s">
        <v>399</v>
      </c>
    </row>
    <row r="23" spans="1:2" ht="13.2">
      <c r="A23" s="213" t="s">
        <v>155</v>
      </c>
      <c r="B23" s="185"/>
    </row>
    <row r="24" spans="1:2" ht="13.2">
      <c r="A24" s="89">
        <v>1</v>
      </c>
      <c r="B24" s="90" t="s">
        <v>156</v>
      </c>
    </row>
    <row r="25" spans="1:2" ht="13.2">
      <c r="A25" s="89">
        <v>2</v>
      </c>
      <c r="B25" s="10" t="s">
        <v>400</v>
      </c>
    </row>
    <row r="26" spans="1:2" ht="13.2">
      <c r="A26" s="89">
        <v>3</v>
      </c>
      <c r="B26" s="10" t="s">
        <v>401</v>
      </c>
    </row>
    <row r="27" spans="1:2" ht="13.2">
      <c r="A27" s="89">
        <v>4</v>
      </c>
      <c r="B27" s="10" t="s">
        <v>402</v>
      </c>
    </row>
    <row r="28" spans="1:2" ht="13.2">
      <c r="A28" s="89">
        <v>5</v>
      </c>
      <c r="B28" s="16" t="s">
        <v>403</v>
      </c>
    </row>
    <row r="29" spans="1:2" ht="13.2">
      <c r="A29" s="213" t="s">
        <v>157</v>
      </c>
      <c r="B29" s="185"/>
    </row>
    <row r="30" spans="1:2" ht="13.2">
      <c r="A30" s="89">
        <v>1</v>
      </c>
      <c r="B30" s="90" t="s">
        <v>158</v>
      </c>
    </row>
    <row r="31" spans="1:2" ht="13.2">
      <c r="A31" s="89">
        <v>2</v>
      </c>
      <c r="B31" s="10" t="s">
        <v>404</v>
      </c>
    </row>
    <row r="32" spans="1:2" ht="13.2">
      <c r="A32" s="89">
        <v>3</v>
      </c>
      <c r="B32" s="10" t="s">
        <v>405</v>
      </c>
    </row>
    <row r="33" spans="1:2" ht="13.2">
      <c r="A33" s="89">
        <v>4</v>
      </c>
      <c r="B33" s="10" t="s">
        <v>406</v>
      </c>
    </row>
    <row r="34" spans="1:2" ht="13.2">
      <c r="A34" s="89">
        <v>5</v>
      </c>
      <c r="B34" s="10" t="s">
        <v>407</v>
      </c>
    </row>
  </sheetData>
  <mergeCells count="17">
    <mergeCell ref="A1:B1"/>
    <mergeCell ref="A2:B2"/>
    <mergeCell ref="A3:B3"/>
    <mergeCell ref="A4:B4"/>
    <mergeCell ref="A5:B5"/>
    <mergeCell ref="A6:B6"/>
    <mergeCell ref="A7:B7"/>
    <mergeCell ref="A17:B17"/>
    <mergeCell ref="A23:B23"/>
    <mergeCell ref="A29:B29"/>
    <mergeCell ref="A8:B8"/>
    <mergeCell ref="A9:B9"/>
    <mergeCell ref="A10:B10"/>
    <mergeCell ref="A11:B11"/>
    <mergeCell ref="A12:B12"/>
    <mergeCell ref="A13:B13"/>
    <mergeCell ref="A14:B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65"/>
  <sheetViews>
    <sheetView showGridLines="0" topLeftCell="G22" workbookViewId="0">
      <selection activeCell="R59" sqref="R59:S64"/>
    </sheetView>
  </sheetViews>
  <sheetFormatPr defaultColWidth="14.44140625" defaultRowHeight="15.75" customHeight="1"/>
  <cols>
    <col min="1" max="1" width="11.6640625" customWidth="1"/>
    <col min="2" max="2" width="17" customWidth="1"/>
    <col min="3" max="4" width="17.109375" customWidth="1"/>
    <col min="5" max="5" width="11.6640625" customWidth="1"/>
    <col min="18" max="18" width="16.6640625" customWidth="1"/>
    <col min="19" max="19" width="19.88671875" customWidth="1"/>
  </cols>
  <sheetData>
    <row r="1" spans="1:19" ht="40.200000000000003" customHeight="1">
      <c r="A1" s="217" t="s">
        <v>17</v>
      </c>
      <c r="B1" s="184"/>
      <c r="C1" s="184"/>
      <c r="D1" s="184"/>
      <c r="E1" s="184"/>
      <c r="F1" s="184"/>
      <c r="G1" s="184"/>
      <c r="H1" s="184"/>
      <c r="I1" s="184"/>
      <c r="J1" s="184"/>
      <c r="K1" s="184"/>
      <c r="L1" s="184"/>
      <c r="M1" s="184"/>
      <c r="N1" s="184"/>
      <c r="O1" s="184"/>
      <c r="P1" s="184"/>
      <c r="Q1" s="184"/>
      <c r="R1" s="184"/>
      <c r="S1" s="185"/>
    </row>
    <row r="2" spans="1:19" ht="13.2">
      <c r="A2" s="218" t="s">
        <v>159</v>
      </c>
      <c r="B2" s="184"/>
      <c r="C2" s="184"/>
      <c r="D2" s="184"/>
      <c r="E2" s="184"/>
      <c r="F2" s="184"/>
      <c r="G2" s="184"/>
      <c r="H2" s="184"/>
      <c r="I2" s="185"/>
      <c r="J2" s="91"/>
      <c r="K2" s="91"/>
      <c r="L2" s="91"/>
      <c r="M2" s="91"/>
      <c r="N2" s="91"/>
      <c r="O2" s="91"/>
      <c r="Q2" s="92"/>
      <c r="R2" s="92"/>
    </row>
    <row r="3" spans="1:19" ht="13.2">
      <c r="A3" s="215" t="s">
        <v>160</v>
      </c>
      <c r="B3" s="184"/>
      <c r="C3" s="184"/>
      <c r="D3" s="184"/>
      <c r="E3" s="184"/>
      <c r="F3" s="184"/>
      <c r="G3" s="184"/>
      <c r="H3" s="184"/>
      <c r="I3" s="185"/>
      <c r="J3" s="91"/>
      <c r="K3" s="91"/>
      <c r="L3" s="91"/>
      <c r="M3" s="91"/>
      <c r="N3" s="91"/>
      <c r="O3" s="91"/>
      <c r="Q3" s="92"/>
      <c r="R3" s="92"/>
    </row>
    <row r="4" spans="1:19" ht="13.2">
      <c r="A4" s="195" t="s">
        <v>161</v>
      </c>
      <c r="B4" s="192"/>
      <c r="C4" s="192"/>
      <c r="D4" s="192"/>
      <c r="E4" s="192"/>
      <c r="F4" s="192"/>
      <c r="G4" s="192"/>
      <c r="H4" s="192"/>
      <c r="I4" s="193"/>
      <c r="J4" s="91"/>
      <c r="K4" s="91"/>
      <c r="L4" s="91"/>
      <c r="M4" s="91"/>
      <c r="N4" s="91"/>
      <c r="O4" s="91"/>
      <c r="Q4" s="92"/>
      <c r="R4" s="92"/>
    </row>
    <row r="5" spans="1:19" ht="13.2">
      <c r="A5" s="195" t="s">
        <v>162</v>
      </c>
      <c r="B5" s="192"/>
      <c r="C5" s="192"/>
      <c r="D5" s="192"/>
      <c r="E5" s="192"/>
      <c r="F5" s="192"/>
      <c r="G5" s="192"/>
      <c r="H5" s="192"/>
      <c r="I5" s="193"/>
      <c r="J5" s="91"/>
      <c r="K5" s="91"/>
      <c r="L5" s="91"/>
      <c r="M5" s="91"/>
      <c r="N5" s="91"/>
      <c r="O5" s="91"/>
      <c r="Q5" s="92"/>
      <c r="R5" s="92"/>
    </row>
    <row r="6" spans="1:19" ht="13.2">
      <c r="A6" s="197" t="s">
        <v>163</v>
      </c>
      <c r="B6" s="192"/>
      <c r="C6" s="192"/>
      <c r="D6" s="192"/>
      <c r="E6" s="192"/>
      <c r="F6" s="192"/>
      <c r="G6" s="192"/>
      <c r="H6" s="192"/>
      <c r="I6" s="193"/>
      <c r="J6" s="91"/>
      <c r="K6" s="91"/>
      <c r="L6" s="91"/>
      <c r="M6" s="91"/>
      <c r="N6" s="91"/>
      <c r="O6" s="91"/>
      <c r="Q6" s="92"/>
      <c r="R6" s="92"/>
    </row>
    <row r="7" spans="1:19" ht="13.2">
      <c r="A7" s="237" t="s">
        <v>164</v>
      </c>
      <c r="B7" s="189"/>
      <c r="C7" s="189"/>
      <c r="D7" s="189"/>
      <c r="E7" s="189"/>
      <c r="F7" s="189"/>
      <c r="G7" s="189"/>
      <c r="H7" s="189"/>
      <c r="I7" s="190"/>
      <c r="J7" s="93"/>
      <c r="K7" s="93"/>
      <c r="L7" s="93"/>
      <c r="M7" s="93"/>
      <c r="N7" s="93"/>
      <c r="O7" s="91"/>
      <c r="Q7" s="92"/>
      <c r="R7" s="92"/>
    </row>
    <row r="8" spans="1:19" ht="13.2">
      <c r="A8" s="228" t="s">
        <v>165</v>
      </c>
      <c r="B8" s="202"/>
      <c r="C8" s="202"/>
      <c r="D8" s="202"/>
      <c r="E8" s="202"/>
      <c r="F8" s="202"/>
      <c r="G8" s="202"/>
      <c r="H8" s="202"/>
      <c r="I8" s="203"/>
      <c r="J8" s="93"/>
      <c r="K8" s="93"/>
      <c r="L8" s="93"/>
      <c r="M8" s="93"/>
      <c r="N8" s="93"/>
      <c r="O8" s="91"/>
      <c r="Q8" s="92"/>
      <c r="R8" s="92"/>
    </row>
    <row r="9" spans="1:19" ht="13.2">
      <c r="A9" s="228" t="s">
        <v>166</v>
      </c>
      <c r="B9" s="202"/>
      <c r="C9" s="202"/>
      <c r="D9" s="202"/>
      <c r="E9" s="202"/>
      <c r="F9" s="202"/>
      <c r="G9" s="202"/>
      <c r="H9" s="202"/>
      <c r="I9" s="203"/>
      <c r="J9" s="93"/>
      <c r="K9" s="93"/>
      <c r="L9" s="93"/>
      <c r="M9" s="93"/>
      <c r="N9" s="93"/>
      <c r="O9" s="91"/>
      <c r="Q9" s="92"/>
      <c r="R9" s="92"/>
    </row>
    <row r="10" spans="1:19" ht="13.2">
      <c r="A10" s="228" t="s">
        <v>167</v>
      </c>
      <c r="B10" s="202"/>
      <c r="C10" s="202"/>
      <c r="D10" s="202"/>
      <c r="E10" s="202"/>
      <c r="F10" s="202"/>
      <c r="G10" s="202"/>
      <c r="H10" s="202"/>
      <c r="I10" s="203"/>
      <c r="J10" s="93"/>
      <c r="K10" s="93"/>
      <c r="L10" s="93"/>
      <c r="M10" s="93"/>
      <c r="N10" s="93"/>
      <c r="O10" s="91"/>
      <c r="Q10" s="92"/>
      <c r="R10" s="92"/>
    </row>
    <row r="11" spans="1:19" ht="13.2">
      <c r="A11" s="229" t="s">
        <v>168</v>
      </c>
      <c r="B11" s="192"/>
      <c r="C11" s="192"/>
      <c r="D11" s="192"/>
      <c r="E11" s="192"/>
      <c r="F11" s="192"/>
      <c r="G11" s="192"/>
      <c r="H11" s="192"/>
      <c r="I11" s="193"/>
      <c r="J11" s="93"/>
      <c r="K11" s="93"/>
      <c r="L11" s="93"/>
      <c r="M11" s="93"/>
      <c r="N11" s="93"/>
      <c r="O11" s="91"/>
      <c r="Q11" s="92"/>
      <c r="R11" s="92"/>
    </row>
    <row r="12" spans="1:19" ht="13.2">
      <c r="A12" s="230" t="s">
        <v>37</v>
      </c>
      <c r="B12" s="202"/>
      <c r="C12" s="202"/>
      <c r="D12" s="202"/>
      <c r="E12" s="202"/>
      <c r="F12" s="202"/>
      <c r="G12" s="202"/>
      <c r="H12" s="202"/>
      <c r="I12" s="202"/>
      <c r="J12" s="93"/>
      <c r="K12" s="93"/>
      <c r="L12" s="93"/>
      <c r="M12" s="93"/>
      <c r="N12" s="93"/>
      <c r="O12" s="91"/>
      <c r="Q12" s="92"/>
      <c r="R12" s="92"/>
    </row>
    <row r="13" spans="1:19" ht="13.2">
      <c r="A13" s="94"/>
      <c r="B13" s="94"/>
      <c r="C13" s="94"/>
      <c r="D13" s="94"/>
      <c r="E13" s="94"/>
      <c r="F13" s="94"/>
      <c r="G13" s="94"/>
      <c r="H13" s="94"/>
      <c r="I13" s="94"/>
      <c r="J13" s="94"/>
      <c r="K13" s="94"/>
      <c r="L13" s="94"/>
      <c r="M13" s="95"/>
      <c r="N13" s="95"/>
      <c r="O13" s="95"/>
      <c r="P13" s="96"/>
      <c r="Q13" s="97"/>
      <c r="R13" s="97"/>
      <c r="S13" s="96"/>
    </row>
    <row r="14" spans="1:19" ht="13.2">
      <c r="A14" s="213" t="s">
        <v>169</v>
      </c>
      <c r="B14" s="231"/>
      <c r="C14" s="231"/>
      <c r="D14" s="231"/>
      <c r="E14" s="231"/>
      <c r="F14" s="232"/>
      <c r="G14" s="98"/>
      <c r="H14" s="236"/>
      <c r="I14" s="189"/>
      <c r="J14" s="189"/>
      <c r="K14" s="190"/>
      <c r="L14" s="98"/>
      <c r="M14" s="91"/>
      <c r="N14" s="91"/>
      <c r="O14" s="91"/>
      <c r="Q14" s="92"/>
      <c r="R14" s="92"/>
    </row>
    <row r="15" spans="1:19" ht="13.2">
      <c r="A15" s="233" t="s">
        <v>170</v>
      </c>
      <c r="B15" s="234"/>
      <c r="C15" s="234"/>
      <c r="D15" s="234"/>
      <c r="E15" s="234"/>
      <c r="F15" s="235"/>
      <c r="G15" s="98"/>
      <c r="H15" s="223"/>
      <c r="I15" s="202"/>
      <c r="J15" s="202"/>
      <c r="K15" s="203"/>
      <c r="L15" s="98"/>
      <c r="M15" s="224" t="s">
        <v>409</v>
      </c>
      <c r="N15" s="189"/>
      <c r="O15" s="190"/>
      <c r="Q15" s="225" t="s">
        <v>172</v>
      </c>
      <c r="R15" s="190"/>
      <c r="S15" s="226" t="s">
        <v>87</v>
      </c>
    </row>
    <row r="16" spans="1:19" ht="13.2">
      <c r="A16" s="99" t="s">
        <v>173</v>
      </c>
      <c r="B16" s="238" t="s">
        <v>174</v>
      </c>
      <c r="C16" s="239"/>
      <c r="D16" s="239"/>
      <c r="E16" s="239"/>
      <c r="F16" s="240"/>
      <c r="G16" s="100"/>
      <c r="H16" s="223"/>
      <c r="I16" s="202"/>
      <c r="J16" s="202"/>
      <c r="K16" s="203"/>
      <c r="L16" s="100"/>
      <c r="M16" s="223"/>
      <c r="N16" s="202"/>
      <c r="O16" s="203"/>
      <c r="Q16" s="223"/>
      <c r="R16" s="203"/>
      <c r="S16" s="220"/>
    </row>
    <row r="17" spans="1:19" ht="26.4">
      <c r="A17" s="101" t="s">
        <v>175</v>
      </c>
      <c r="B17" s="102" t="s">
        <v>176</v>
      </c>
      <c r="C17" s="102" t="s">
        <v>177</v>
      </c>
      <c r="D17" s="102" t="s">
        <v>178</v>
      </c>
      <c r="E17" s="102" t="s">
        <v>179</v>
      </c>
      <c r="F17" s="102" t="s">
        <v>180</v>
      </c>
      <c r="G17" s="100"/>
      <c r="H17" s="223"/>
      <c r="I17" s="202"/>
      <c r="J17" s="202"/>
      <c r="K17" s="203"/>
      <c r="L17" s="100"/>
      <c r="M17" s="223"/>
      <c r="N17" s="202"/>
      <c r="O17" s="203"/>
      <c r="Q17" s="191"/>
      <c r="R17" s="193"/>
      <c r="S17" s="221"/>
    </row>
    <row r="18" spans="1:19" ht="13.8">
      <c r="A18" s="103">
        <v>100</v>
      </c>
      <c r="B18" s="104">
        <f>997-200</f>
        <v>797</v>
      </c>
      <c r="C18" s="104">
        <f>139+0</f>
        <v>139</v>
      </c>
      <c r="D18" s="105">
        <f>358</f>
        <v>358</v>
      </c>
      <c r="E18" s="106">
        <f t="shared" ref="E18:E24" si="0">B18+C18</f>
        <v>936</v>
      </c>
      <c r="F18" s="107">
        <v>0.38</v>
      </c>
      <c r="G18" s="108"/>
      <c r="H18" s="223"/>
      <c r="I18" s="202"/>
      <c r="J18" s="202"/>
      <c r="K18" s="203"/>
      <c r="L18" s="108"/>
      <c r="M18" s="223"/>
      <c r="N18" s="202"/>
      <c r="O18" s="203"/>
      <c r="Q18" s="109"/>
      <c r="R18" s="92"/>
      <c r="S18" s="110"/>
    </row>
    <row r="19" spans="1:19" ht="13.2">
      <c r="A19" s="111">
        <v>500</v>
      </c>
      <c r="B19" s="28">
        <f>620-200</f>
        <v>420</v>
      </c>
      <c r="C19" s="28">
        <v>146</v>
      </c>
      <c r="D19" s="28">
        <v>282</v>
      </c>
      <c r="E19" s="112">
        <f t="shared" si="0"/>
        <v>566</v>
      </c>
      <c r="F19" s="113">
        <f t="shared" ref="F19:F24" si="1">D19/E19</f>
        <v>0.49823321554770317</v>
      </c>
      <c r="G19" s="114"/>
      <c r="H19" s="223"/>
      <c r="I19" s="202"/>
      <c r="J19" s="202"/>
      <c r="K19" s="203"/>
      <c r="L19" s="114"/>
      <c r="M19" s="223"/>
      <c r="N19" s="202"/>
      <c r="O19" s="203"/>
      <c r="Q19" s="219" t="s">
        <v>181</v>
      </c>
      <c r="R19" s="222" t="s">
        <v>410</v>
      </c>
      <c r="S19" s="190"/>
    </row>
    <row r="20" spans="1:19" ht="13.2">
      <c r="A20" s="103">
        <v>1000</v>
      </c>
      <c r="B20" s="104">
        <f>565-200</f>
        <v>365</v>
      </c>
      <c r="C20" s="104">
        <v>158</v>
      </c>
      <c r="D20" s="104">
        <v>249</v>
      </c>
      <c r="E20" s="106">
        <f t="shared" si="0"/>
        <v>523</v>
      </c>
      <c r="F20" s="113">
        <f t="shared" si="1"/>
        <v>0.47609942638623326</v>
      </c>
      <c r="G20" s="114"/>
      <c r="H20" s="223"/>
      <c r="I20" s="202"/>
      <c r="J20" s="202"/>
      <c r="K20" s="203"/>
      <c r="L20" s="114"/>
      <c r="M20" s="223"/>
      <c r="N20" s="202"/>
      <c r="O20" s="203"/>
      <c r="Q20" s="220"/>
      <c r="R20" s="223"/>
      <c r="S20" s="203"/>
    </row>
    <row r="21" spans="1:19" ht="13.2">
      <c r="A21" s="111">
        <v>2000</v>
      </c>
      <c r="B21" s="28">
        <f>432-200</f>
        <v>232</v>
      </c>
      <c r="C21" s="28">
        <v>171</v>
      </c>
      <c r="D21" s="28">
        <v>222</v>
      </c>
      <c r="E21" s="112">
        <f t="shared" si="0"/>
        <v>403</v>
      </c>
      <c r="F21" s="113">
        <f t="shared" si="1"/>
        <v>0.5508684863523573</v>
      </c>
      <c r="G21" s="114"/>
      <c r="H21" s="223"/>
      <c r="I21" s="202"/>
      <c r="J21" s="202"/>
      <c r="K21" s="203"/>
      <c r="L21" s="114"/>
      <c r="M21" s="223"/>
      <c r="N21" s="202"/>
      <c r="O21" s="203"/>
      <c r="Q21" s="220"/>
      <c r="R21" s="223"/>
      <c r="S21" s="203"/>
    </row>
    <row r="22" spans="1:19" ht="13.2">
      <c r="A22" s="103">
        <v>5000</v>
      </c>
      <c r="B22" s="115">
        <v>185</v>
      </c>
      <c r="C22" s="115">
        <v>190</v>
      </c>
      <c r="D22" s="115">
        <v>210</v>
      </c>
      <c r="E22" s="106">
        <f t="shared" si="0"/>
        <v>375</v>
      </c>
      <c r="F22" s="113">
        <f t="shared" si="1"/>
        <v>0.56000000000000005</v>
      </c>
      <c r="G22" s="114"/>
      <c r="H22" s="223"/>
      <c r="I22" s="202"/>
      <c r="J22" s="202"/>
      <c r="K22" s="203"/>
      <c r="L22" s="114"/>
      <c r="M22" s="223"/>
      <c r="N22" s="202"/>
      <c r="O22" s="203"/>
      <c r="P22" s="116"/>
      <c r="Q22" s="220"/>
      <c r="R22" s="223"/>
      <c r="S22" s="203"/>
    </row>
    <row r="23" spans="1:19" ht="13.2">
      <c r="A23" s="111">
        <v>10000</v>
      </c>
      <c r="B23" s="117">
        <v>150</v>
      </c>
      <c r="C23" s="117">
        <v>200</v>
      </c>
      <c r="D23" s="117">
        <v>200</v>
      </c>
      <c r="E23" s="112">
        <f t="shared" si="0"/>
        <v>350</v>
      </c>
      <c r="F23" s="113">
        <f t="shared" si="1"/>
        <v>0.5714285714285714</v>
      </c>
      <c r="G23" s="114"/>
      <c r="H23" s="223"/>
      <c r="I23" s="202"/>
      <c r="J23" s="202"/>
      <c r="K23" s="203"/>
      <c r="L23" s="114"/>
      <c r="M23" s="223"/>
      <c r="N23" s="202"/>
      <c r="O23" s="203"/>
      <c r="P23" s="116"/>
      <c r="Q23" s="220"/>
      <c r="R23" s="223"/>
      <c r="S23" s="203"/>
    </row>
    <row r="24" spans="1:19" ht="13.2">
      <c r="A24" s="103">
        <v>20000</v>
      </c>
      <c r="B24" s="115">
        <v>120</v>
      </c>
      <c r="C24" s="115">
        <v>210</v>
      </c>
      <c r="D24" s="115">
        <v>190</v>
      </c>
      <c r="E24" s="106">
        <f t="shared" si="0"/>
        <v>330</v>
      </c>
      <c r="F24" s="113">
        <f t="shared" si="1"/>
        <v>0.5757575757575758</v>
      </c>
      <c r="G24" s="114"/>
      <c r="H24" s="191"/>
      <c r="I24" s="192"/>
      <c r="J24" s="192"/>
      <c r="K24" s="193"/>
      <c r="L24" s="114"/>
      <c r="M24" s="191"/>
      <c r="N24" s="192"/>
      <c r="O24" s="193"/>
      <c r="P24" s="116"/>
      <c r="Q24" s="221"/>
      <c r="R24" s="191"/>
      <c r="S24" s="193"/>
    </row>
    <row r="25" spans="1:19" ht="13.2">
      <c r="A25" s="94"/>
      <c r="B25" s="94"/>
      <c r="C25" s="94"/>
      <c r="D25" s="94"/>
      <c r="E25" s="94"/>
      <c r="F25" s="94"/>
      <c r="G25" s="94"/>
      <c r="H25" s="94"/>
      <c r="I25" s="94"/>
      <c r="J25" s="94"/>
      <c r="K25" s="94"/>
      <c r="L25" s="94"/>
      <c r="M25" s="95"/>
      <c r="N25" s="95"/>
      <c r="O25" s="95"/>
      <c r="P25" s="96"/>
      <c r="Q25" s="97"/>
      <c r="R25" s="97"/>
      <c r="S25" s="96"/>
    </row>
    <row r="26" spans="1:19" ht="13.2">
      <c r="A26" s="213" t="s">
        <v>182</v>
      </c>
      <c r="B26" s="184"/>
      <c r="C26" s="184"/>
      <c r="D26" s="184"/>
      <c r="E26" s="184"/>
      <c r="F26" s="185"/>
      <c r="H26" s="236"/>
      <c r="I26" s="189"/>
      <c r="J26" s="189"/>
      <c r="K26" s="190"/>
      <c r="M26" s="91"/>
      <c r="N26" s="91"/>
      <c r="O26" s="91"/>
      <c r="Q26" s="92"/>
      <c r="R26" s="92"/>
      <c r="S26" s="92"/>
    </row>
    <row r="27" spans="1:19" ht="13.2">
      <c r="A27" s="213" t="s">
        <v>183</v>
      </c>
      <c r="B27" s="184"/>
      <c r="C27" s="184"/>
      <c r="D27" s="184"/>
      <c r="E27" s="184"/>
      <c r="F27" s="185"/>
      <c r="H27" s="223"/>
      <c r="I27" s="202"/>
      <c r="J27" s="202"/>
      <c r="K27" s="203"/>
      <c r="M27" s="224" t="s">
        <v>408</v>
      </c>
      <c r="N27" s="189"/>
      <c r="O27" s="190"/>
      <c r="Q27" s="225" t="s">
        <v>172</v>
      </c>
      <c r="R27" s="190"/>
      <c r="S27" s="226" t="s">
        <v>87</v>
      </c>
    </row>
    <row r="28" spans="1:19" ht="13.2">
      <c r="A28" s="8" t="s">
        <v>184</v>
      </c>
      <c r="B28" s="213" t="s">
        <v>174</v>
      </c>
      <c r="C28" s="184"/>
      <c r="D28" s="184"/>
      <c r="E28" s="184"/>
      <c r="F28" s="185"/>
      <c r="G28" s="100"/>
      <c r="H28" s="223"/>
      <c r="I28" s="202"/>
      <c r="J28" s="202"/>
      <c r="K28" s="203"/>
      <c r="L28" s="100"/>
      <c r="M28" s="223"/>
      <c r="N28" s="202"/>
      <c r="O28" s="203"/>
      <c r="Q28" s="223"/>
      <c r="R28" s="203"/>
      <c r="S28" s="220"/>
    </row>
    <row r="29" spans="1:19" ht="26.4">
      <c r="A29" s="118" t="s">
        <v>185</v>
      </c>
      <c r="B29" s="119" t="s">
        <v>176</v>
      </c>
      <c r="C29" s="119" t="s">
        <v>177</v>
      </c>
      <c r="D29" s="119" t="s">
        <v>178</v>
      </c>
      <c r="E29" s="119" t="s">
        <v>179</v>
      </c>
      <c r="F29" s="119" t="s">
        <v>180</v>
      </c>
      <c r="H29" s="223"/>
      <c r="I29" s="202"/>
      <c r="J29" s="202"/>
      <c r="K29" s="203"/>
      <c r="M29" s="223"/>
      <c r="N29" s="202"/>
      <c r="O29" s="203"/>
      <c r="Q29" s="191"/>
      <c r="R29" s="193"/>
      <c r="S29" s="221"/>
    </row>
    <row r="30" spans="1:19" ht="13.8">
      <c r="A30" s="120" t="s">
        <v>186</v>
      </c>
      <c r="B30" s="39">
        <f>954+150</f>
        <v>1104</v>
      </c>
      <c r="C30" s="39">
        <f>192</f>
        <v>192</v>
      </c>
      <c r="D30" s="121">
        <f>303+150</f>
        <v>453</v>
      </c>
      <c r="E30" s="122">
        <f t="shared" ref="E30:E36" si="2">B30+C30</f>
        <v>1296</v>
      </c>
      <c r="F30" s="113">
        <f t="shared" ref="F30:F36" si="3">D30/E30</f>
        <v>0.34953703703703703</v>
      </c>
      <c r="H30" s="223"/>
      <c r="I30" s="202"/>
      <c r="J30" s="202"/>
      <c r="K30" s="203"/>
      <c r="M30" s="223"/>
      <c r="N30" s="202"/>
      <c r="O30" s="203"/>
      <c r="Q30" s="109"/>
      <c r="R30" s="92"/>
      <c r="S30" s="110"/>
    </row>
    <row r="31" spans="1:19" ht="13.2">
      <c r="A31" s="120" t="s">
        <v>187</v>
      </c>
      <c r="B31" s="39">
        <f>540+150</f>
        <v>690</v>
      </c>
      <c r="C31" s="39">
        <f>223+150</f>
        <v>373</v>
      </c>
      <c r="D31" s="39">
        <f>277+150</f>
        <v>427</v>
      </c>
      <c r="E31" s="122">
        <f t="shared" si="2"/>
        <v>1063</v>
      </c>
      <c r="F31" s="113">
        <f t="shared" si="3"/>
        <v>0.40169332079021636</v>
      </c>
      <c r="H31" s="223"/>
      <c r="I31" s="202"/>
      <c r="J31" s="202"/>
      <c r="K31" s="203"/>
      <c r="M31" s="223"/>
      <c r="N31" s="202"/>
      <c r="O31" s="203"/>
      <c r="Q31" s="219" t="s">
        <v>181</v>
      </c>
      <c r="R31" s="222" t="s">
        <v>422</v>
      </c>
      <c r="S31" s="190"/>
    </row>
    <row r="32" spans="1:19" ht="13.2">
      <c r="A32" s="120" t="s">
        <v>188</v>
      </c>
      <c r="B32" s="39">
        <f>402+150</f>
        <v>552</v>
      </c>
      <c r="C32" s="39">
        <f>238+120</f>
        <v>358</v>
      </c>
      <c r="D32" s="39">
        <f>262+150</f>
        <v>412</v>
      </c>
      <c r="E32" s="122">
        <f t="shared" si="2"/>
        <v>910</v>
      </c>
      <c r="F32" s="113">
        <f t="shared" si="3"/>
        <v>0.45274725274725275</v>
      </c>
      <c r="H32" s="223"/>
      <c r="I32" s="202"/>
      <c r="J32" s="202"/>
      <c r="K32" s="203"/>
      <c r="M32" s="223"/>
      <c r="N32" s="202"/>
      <c r="O32" s="203"/>
      <c r="Q32" s="220"/>
      <c r="R32" s="223"/>
      <c r="S32" s="203"/>
    </row>
    <row r="33" spans="1:19" ht="13.2">
      <c r="A33" s="120" t="s">
        <v>189</v>
      </c>
      <c r="B33" s="39">
        <f>310+150</f>
        <v>460</v>
      </c>
      <c r="C33" s="39">
        <f>272+100</f>
        <v>372</v>
      </c>
      <c r="D33" s="39">
        <f>228+150</f>
        <v>378</v>
      </c>
      <c r="E33" s="122">
        <f t="shared" si="2"/>
        <v>832</v>
      </c>
      <c r="F33" s="113">
        <f t="shared" si="3"/>
        <v>0.45432692307692307</v>
      </c>
      <c r="H33" s="223"/>
      <c r="I33" s="202"/>
      <c r="J33" s="202"/>
      <c r="K33" s="203"/>
      <c r="M33" s="223"/>
      <c r="N33" s="202"/>
      <c r="O33" s="203"/>
      <c r="Q33" s="220"/>
      <c r="R33" s="223"/>
      <c r="S33" s="203"/>
    </row>
    <row r="34" spans="1:19" ht="13.2">
      <c r="A34" s="120" t="s">
        <v>190</v>
      </c>
      <c r="B34" s="39">
        <f>278+150</f>
        <v>428</v>
      </c>
      <c r="C34" s="39">
        <f>291+100</f>
        <v>391</v>
      </c>
      <c r="D34" s="39">
        <f>209+150</f>
        <v>359</v>
      </c>
      <c r="E34" s="122">
        <f t="shared" si="2"/>
        <v>819</v>
      </c>
      <c r="F34" s="113">
        <f t="shared" si="3"/>
        <v>0.43833943833943834</v>
      </c>
      <c r="H34" s="223"/>
      <c r="I34" s="202"/>
      <c r="J34" s="202"/>
      <c r="K34" s="203"/>
      <c r="M34" s="223"/>
      <c r="N34" s="202"/>
      <c r="O34" s="203"/>
      <c r="P34" s="116"/>
      <c r="Q34" s="220"/>
      <c r="R34" s="223"/>
      <c r="S34" s="203"/>
    </row>
    <row r="35" spans="1:19" ht="13.2">
      <c r="A35" s="120" t="s">
        <v>191</v>
      </c>
      <c r="B35" s="39">
        <f>202+150</f>
        <v>352</v>
      </c>
      <c r="C35" s="39">
        <f>334</f>
        <v>334</v>
      </c>
      <c r="D35" s="39">
        <f>156+150</f>
        <v>306</v>
      </c>
      <c r="E35" s="122">
        <f t="shared" si="2"/>
        <v>686</v>
      </c>
      <c r="F35" s="113">
        <f t="shared" si="3"/>
        <v>0.44606413994169097</v>
      </c>
      <c r="H35" s="223"/>
      <c r="I35" s="202"/>
      <c r="J35" s="202"/>
      <c r="K35" s="203"/>
      <c r="M35" s="223"/>
      <c r="N35" s="202"/>
      <c r="O35" s="203"/>
      <c r="P35" s="116"/>
      <c r="Q35" s="220"/>
      <c r="R35" s="223"/>
      <c r="S35" s="203"/>
    </row>
    <row r="36" spans="1:19" ht="13.2">
      <c r="A36" s="120" t="s">
        <v>192</v>
      </c>
      <c r="B36" s="39">
        <f>160+150</f>
        <v>310</v>
      </c>
      <c r="C36" s="39">
        <f>363</f>
        <v>363</v>
      </c>
      <c r="D36" s="39">
        <f>137+150</f>
        <v>287</v>
      </c>
      <c r="E36" s="122">
        <f t="shared" si="2"/>
        <v>673</v>
      </c>
      <c r="F36" s="113">
        <f t="shared" si="3"/>
        <v>0.4264487369985141</v>
      </c>
      <c r="H36" s="191"/>
      <c r="I36" s="192"/>
      <c r="J36" s="192"/>
      <c r="K36" s="193"/>
      <c r="M36" s="191"/>
      <c r="N36" s="192"/>
      <c r="O36" s="193"/>
      <c r="P36" s="116"/>
      <c r="Q36" s="221"/>
      <c r="R36" s="191"/>
      <c r="S36" s="193"/>
    </row>
    <row r="37" spans="1:19" ht="13.2">
      <c r="A37" s="94"/>
      <c r="B37" s="94"/>
      <c r="C37" s="94"/>
      <c r="D37" s="94"/>
      <c r="E37" s="94"/>
      <c r="F37" s="94"/>
      <c r="G37" s="94"/>
      <c r="H37" s="94"/>
      <c r="I37" s="94"/>
      <c r="J37" s="94"/>
      <c r="K37" s="94"/>
      <c r="L37" s="94"/>
      <c r="M37" s="95"/>
      <c r="N37" s="95"/>
      <c r="O37" s="95"/>
      <c r="P37" s="96"/>
      <c r="Q37" s="97"/>
      <c r="R37" s="97"/>
      <c r="S37" s="96"/>
    </row>
    <row r="38" spans="1:19" ht="13.2">
      <c r="A38" s="213" t="s">
        <v>193</v>
      </c>
      <c r="B38" s="184"/>
      <c r="C38" s="184"/>
      <c r="D38" s="184"/>
      <c r="E38" s="184"/>
      <c r="F38" s="185"/>
      <c r="H38" s="236"/>
      <c r="I38" s="189"/>
      <c r="J38" s="189"/>
      <c r="K38" s="190"/>
      <c r="M38" s="91"/>
      <c r="N38" s="91"/>
      <c r="O38" s="91"/>
      <c r="Q38" s="92"/>
      <c r="R38" s="92"/>
      <c r="S38" s="92"/>
    </row>
    <row r="39" spans="1:19" ht="13.2">
      <c r="A39" s="213" t="s">
        <v>194</v>
      </c>
      <c r="B39" s="184"/>
      <c r="C39" s="184"/>
      <c r="D39" s="184"/>
      <c r="E39" s="184"/>
      <c r="F39" s="185"/>
      <c r="H39" s="223"/>
      <c r="I39" s="202"/>
      <c r="J39" s="202"/>
      <c r="K39" s="203"/>
      <c r="M39" s="224" t="s">
        <v>421</v>
      </c>
      <c r="N39" s="189"/>
      <c r="O39" s="190"/>
      <c r="Q39" s="225" t="s">
        <v>172</v>
      </c>
      <c r="R39" s="190"/>
      <c r="S39" s="226" t="s">
        <v>87</v>
      </c>
    </row>
    <row r="40" spans="1:19" ht="13.2">
      <c r="A40" s="8" t="s">
        <v>173</v>
      </c>
      <c r="B40" s="213" t="s">
        <v>174</v>
      </c>
      <c r="C40" s="184"/>
      <c r="D40" s="184"/>
      <c r="E40" s="184"/>
      <c r="F40" s="185"/>
      <c r="G40" s="100"/>
      <c r="H40" s="223"/>
      <c r="I40" s="202"/>
      <c r="J40" s="202"/>
      <c r="K40" s="203"/>
      <c r="L40" s="100"/>
      <c r="M40" s="223"/>
      <c r="N40" s="202"/>
      <c r="O40" s="203"/>
      <c r="Q40" s="223"/>
      <c r="R40" s="203"/>
      <c r="S40" s="220"/>
    </row>
    <row r="41" spans="1:19" ht="26.4">
      <c r="A41" s="118" t="s">
        <v>195</v>
      </c>
      <c r="B41" s="119" t="s">
        <v>176</v>
      </c>
      <c r="C41" s="119" t="s">
        <v>177</v>
      </c>
      <c r="D41" s="119" t="s">
        <v>178</v>
      </c>
      <c r="E41" s="119" t="s">
        <v>179</v>
      </c>
      <c r="F41" s="119" t="s">
        <v>180</v>
      </c>
      <c r="H41" s="223"/>
      <c r="I41" s="202"/>
      <c r="J41" s="202"/>
      <c r="K41" s="203"/>
      <c r="M41" s="223"/>
      <c r="N41" s="202"/>
      <c r="O41" s="203"/>
      <c r="Q41" s="191"/>
      <c r="R41" s="193"/>
      <c r="S41" s="221"/>
    </row>
    <row r="42" spans="1:19" ht="13.8">
      <c r="A42" s="120" t="s">
        <v>186</v>
      </c>
      <c r="B42" s="39">
        <f>997-600</f>
        <v>397</v>
      </c>
      <c r="C42" s="39">
        <v>139</v>
      </c>
      <c r="D42" s="123">
        <v>250</v>
      </c>
      <c r="E42" s="122">
        <f t="shared" ref="E42:E48" si="4">B42+C42</f>
        <v>536</v>
      </c>
      <c r="F42" s="113">
        <f t="shared" ref="F42:F48" si="5">D42/E42</f>
        <v>0.46641791044776121</v>
      </c>
      <c r="H42" s="223"/>
      <c r="I42" s="202"/>
      <c r="J42" s="202"/>
      <c r="K42" s="203"/>
      <c r="M42" s="223"/>
      <c r="N42" s="202"/>
      <c r="O42" s="203"/>
      <c r="Q42" s="109"/>
      <c r="R42" s="92"/>
      <c r="S42" s="110"/>
    </row>
    <row r="43" spans="1:19" ht="13.2">
      <c r="A43" s="120" t="s">
        <v>187</v>
      </c>
      <c r="B43" s="39">
        <f>620-350</f>
        <v>270</v>
      </c>
      <c r="C43" s="39">
        <v>146</v>
      </c>
      <c r="D43" s="124">
        <v>190</v>
      </c>
      <c r="E43" s="122">
        <f t="shared" si="4"/>
        <v>416</v>
      </c>
      <c r="F43" s="113">
        <f t="shared" si="5"/>
        <v>0.45673076923076922</v>
      </c>
      <c r="H43" s="223"/>
      <c r="I43" s="202"/>
      <c r="J43" s="202"/>
      <c r="K43" s="203"/>
      <c r="M43" s="223"/>
      <c r="N43" s="202"/>
      <c r="O43" s="203"/>
      <c r="Q43" s="219" t="s">
        <v>181</v>
      </c>
      <c r="R43" s="222" t="s">
        <v>423</v>
      </c>
      <c r="S43" s="190"/>
    </row>
    <row r="44" spans="1:19" ht="13.2">
      <c r="A44" s="120" t="s">
        <v>188</v>
      </c>
      <c r="B44" s="39">
        <f>565-350</f>
        <v>215</v>
      </c>
      <c r="C44" s="39">
        <v>158</v>
      </c>
      <c r="D44" s="124">
        <v>170</v>
      </c>
      <c r="E44" s="122">
        <f t="shared" si="4"/>
        <v>373</v>
      </c>
      <c r="F44" s="113">
        <f t="shared" si="5"/>
        <v>0.45576407506702415</v>
      </c>
      <c r="H44" s="223"/>
      <c r="I44" s="202"/>
      <c r="J44" s="202"/>
      <c r="K44" s="203"/>
      <c r="M44" s="223"/>
      <c r="N44" s="202"/>
      <c r="O44" s="203"/>
      <c r="Q44" s="220"/>
      <c r="R44" s="223"/>
      <c r="S44" s="203"/>
    </row>
    <row r="45" spans="1:19" ht="13.2">
      <c r="A45" s="120" t="s">
        <v>189</v>
      </c>
      <c r="B45" s="39">
        <f>432-280</f>
        <v>152</v>
      </c>
      <c r="C45" s="39">
        <v>171</v>
      </c>
      <c r="D45" s="124">
        <v>145</v>
      </c>
      <c r="E45" s="122">
        <f t="shared" si="4"/>
        <v>323</v>
      </c>
      <c r="F45" s="113">
        <f t="shared" si="5"/>
        <v>0.44891640866873067</v>
      </c>
      <c r="H45" s="223"/>
      <c r="I45" s="202"/>
      <c r="J45" s="202"/>
      <c r="K45" s="203"/>
      <c r="M45" s="223"/>
      <c r="N45" s="202"/>
      <c r="O45" s="203"/>
      <c r="Q45" s="220"/>
      <c r="R45" s="223"/>
      <c r="S45" s="203"/>
    </row>
    <row r="46" spans="1:19" ht="13.2">
      <c r="A46" s="120" t="s">
        <v>190</v>
      </c>
      <c r="B46" s="39">
        <f>294-190</f>
        <v>104</v>
      </c>
      <c r="C46" s="39">
        <v>179</v>
      </c>
      <c r="D46" s="124">
        <v>122</v>
      </c>
      <c r="E46" s="122">
        <f t="shared" si="4"/>
        <v>283</v>
      </c>
      <c r="F46" s="113">
        <f t="shared" si="5"/>
        <v>0.43109540636042404</v>
      </c>
      <c r="H46" s="223"/>
      <c r="I46" s="202"/>
      <c r="J46" s="202"/>
      <c r="K46" s="203"/>
      <c r="M46" s="223"/>
      <c r="N46" s="202"/>
      <c r="O46" s="203"/>
      <c r="P46" s="116"/>
      <c r="Q46" s="220"/>
      <c r="R46" s="223"/>
      <c r="S46" s="203"/>
    </row>
    <row r="47" spans="1:19" ht="13.2">
      <c r="A47" s="120" t="s">
        <v>191</v>
      </c>
      <c r="B47" s="39">
        <f>209-150</f>
        <v>59</v>
      </c>
      <c r="C47" s="39">
        <v>192</v>
      </c>
      <c r="D47" s="124">
        <v>109</v>
      </c>
      <c r="E47" s="122">
        <f t="shared" si="4"/>
        <v>251</v>
      </c>
      <c r="F47" s="113">
        <f t="shared" si="5"/>
        <v>0.43426294820717132</v>
      </c>
      <c r="H47" s="223"/>
      <c r="I47" s="202"/>
      <c r="J47" s="202"/>
      <c r="K47" s="203"/>
      <c r="M47" s="223"/>
      <c r="N47" s="202"/>
      <c r="O47" s="203"/>
      <c r="P47" s="116"/>
      <c r="Q47" s="220"/>
      <c r="R47" s="223"/>
      <c r="S47" s="203"/>
    </row>
    <row r="48" spans="1:19" ht="13.2">
      <c r="A48" s="120" t="s">
        <v>192</v>
      </c>
      <c r="B48" s="39">
        <f>144-120</f>
        <v>24</v>
      </c>
      <c r="C48" s="39">
        <v>214</v>
      </c>
      <c r="D48" s="124">
        <v>102</v>
      </c>
      <c r="E48" s="122">
        <f t="shared" si="4"/>
        <v>238</v>
      </c>
      <c r="F48" s="113">
        <f t="shared" si="5"/>
        <v>0.42857142857142855</v>
      </c>
      <c r="H48" s="191"/>
      <c r="I48" s="192"/>
      <c r="J48" s="192"/>
      <c r="K48" s="193"/>
      <c r="M48" s="191"/>
      <c r="N48" s="192"/>
      <c r="O48" s="193"/>
      <c r="P48" s="116"/>
      <c r="Q48" s="221"/>
      <c r="R48" s="191"/>
      <c r="S48" s="193"/>
    </row>
    <row r="49" spans="1:19" ht="13.2">
      <c r="A49" s="94"/>
      <c r="B49" s="94"/>
      <c r="C49" s="94"/>
      <c r="D49" s="94"/>
      <c r="E49" s="94"/>
      <c r="F49" s="94"/>
      <c r="G49" s="94"/>
      <c r="H49" s="94"/>
      <c r="I49" s="94"/>
      <c r="J49" s="94"/>
      <c r="K49" s="94"/>
      <c r="L49" s="94"/>
      <c r="M49" s="95"/>
      <c r="N49" s="95"/>
      <c r="O49" s="95"/>
      <c r="P49" s="96"/>
      <c r="Q49" s="97"/>
      <c r="R49" s="97"/>
      <c r="S49" s="96"/>
    </row>
    <row r="50" spans="1:19" ht="13.8">
      <c r="D50" s="108"/>
      <c r="P50" s="116"/>
      <c r="Q50" s="125"/>
      <c r="R50" s="126" t="s">
        <v>196</v>
      </c>
      <c r="S50" s="126" t="s">
        <v>197</v>
      </c>
    </row>
    <row r="51" spans="1:19" ht="13.2">
      <c r="D51" s="114"/>
      <c r="P51" s="225" t="s">
        <v>198</v>
      </c>
      <c r="Q51" s="190"/>
      <c r="R51" s="227">
        <v>1</v>
      </c>
      <c r="S51" s="227">
        <v>2</v>
      </c>
    </row>
    <row r="52" spans="1:19" ht="13.2">
      <c r="D52" s="114"/>
      <c r="P52" s="223"/>
      <c r="Q52" s="203"/>
      <c r="R52" s="220"/>
      <c r="S52" s="220"/>
    </row>
    <row r="53" spans="1:19" ht="13.2">
      <c r="D53" s="114"/>
      <c r="P53" s="223"/>
      <c r="Q53" s="203"/>
      <c r="R53" s="220"/>
      <c r="S53" s="220"/>
    </row>
    <row r="54" spans="1:19" ht="13.2">
      <c r="D54" s="114"/>
      <c r="P54" s="223"/>
      <c r="Q54" s="203"/>
      <c r="R54" s="220"/>
      <c r="S54" s="220"/>
    </row>
    <row r="55" spans="1:19" ht="13.2">
      <c r="D55" s="114"/>
      <c r="P55" s="223"/>
      <c r="Q55" s="203"/>
      <c r="R55" s="220"/>
      <c r="S55" s="220"/>
    </row>
    <row r="56" spans="1:19" ht="13.2">
      <c r="D56" s="114"/>
      <c r="P56" s="191"/>
      <c r="Q56" s="193"/>
      <c r="R56" s="221"/>
      <c r="S56" s="221"/>
    </row>
    <row r="57" spans="1:19" ht="13.2">
      <c r="D57" s="114"/>
      <c r="Q57" s="92"/>
      <c r="R57" s="92"/>
      <c r="S57" s="92"/>
    </row>
    <row r="58" spans="1:19" ht="13.2">
      <c r="D58" s="114"/>
      <c r="Q58" s="92"/>
      <c r="R58" s="92"/>
      <c r="S58" s="92"/>
    </row>
    <row r="59" spans="1:19" ht="13.2">
      <c r="D59" s="114"/>
      <c r="Q59" s="219" t="s">
        <v>199</v>
      </c>
      <c r="R59" s="222" t="s">
        <v>424</v>
      </c>
      <c r="S59" s="190"/>
    </row>
    <row r="60" spans="1:19" ht="13.2">
      <c r="D60" s="114"/>
      <c r="Q60" s="220"/>
      <c r="R60" s="223"/>
      <c r="S60" s="203"/>
    </row>
    <row r="61" spans="1:19" ht="13.2">
      <c r="Q61" s="220"/>
      <c r="R61" s="223"/>
      <c r="S61" s="203"/>
    </row>
    <row r="62" spans="1:19" ht="13.2">
      <c r="Q62" s="220"/>
      <c r="R62" s="223"/>
      <c r="S62" s="203"/>
    </row>
    <row r="63" spans="1:19" ht="13.2">
      <c r="Q63" s="220"/>
      <c r="R63" s="223"/>
      <c r="S63" s="203"/>
    </row>
    <row r="64" spans="1:19" ht="13.2">
      <c r="Q64" s="221"/>
      <c r="R64" s="191"/>
      <c r="S64" s="193"/>
    </row>
    <row r="65" spans="1:19" ht="13.2">
      <c r="A65" s="94"/>
      <c r="B65" s="94"/>
      <c r="C65" s="94"/>
      <c r="D65" s="94"/>
      <c r="E65" s="94"/>
      <c r="F65" s="94"/>
      <c r="G65" s="94"/>
      <c r="H65" s="94"/>
      <c r="I65" s="94"/>
      <c r="J65" s="94"/>
      <c r="K65" s="94"/>
      <c r="L65" s="94"/>
      <c r="M65" s="95"/>
      <c r="N65" s="95"/>
      <c r="O65" s="95"/>
      <c r="P65" s="96"/>
      <c r="Q65" s="97"/>
      <c r="R65" s="97"/>
      <c r="S65" s="96"/>
    </row>
  </sheetData>
  <mergeCells count="44">
    <mergeCell ref="A1:S1"/>
    <mergeCell ref="A2:I2"/>
    <mergeCell ref="A3:I3"/>
    <mergeCell ref="A4:I4"/>
    <mergeCell ref="A5:I5"/>
    <mergeCell ref="A6:I6"/>
    <mergeCell ref="A7:I7"/>
    <mergeCell ref="B16:F16"/>
    <mergeCell ref="A26:F26"/>
    <mergeCell ref="A27:F27"/>
    <mergeCell ref="B28:F28"/>
    <mergeCell ref="A38:F38"/>
    <mergeCell ref="A39:F39"/>
    <mergeCell ref="B40:F40"/>
    <mergeCell ref="A8:I8"/>
    <mergeCell ref="A9:I9"/>
    <mergeCell ref="A10:I10"/>
    <mergeCell ref="A11:I11"/>
    <mergeCell ref="A12:I12"/>
    <mergeCell ref="A14:F14"/>
    <mergeCell ref="A15:F15"/>
    <mergeCell ref="H26:K36"/>
    <mergeCell ref="H38:K48"/>
    <mergeCell ref="H14:K24"/>
    <mergeCell ref="Q19:Q24"/>
    <mergeCell ref="Q27:R29"/>
    <mergeCell ref="M15:O24"/>
    <mergeCell ref="Q15:R17"/>
    <mergeCell ref="S15:S17"/>
    <mergeCell ref="R19:S24"/>
    <mergeCell ref="S27:S29"/>
    <mergeCell ref="Q59:Q64"/>
    <mergeCell ref="R59:S64"/>
    <mergeCell ref="M27:O36"/>
    <mergeCell ref="Q31:Q36"/>
    <mergeCell ref="M39:O48"/>
    <mergeCell ref="Q39:R41"/>
    <mergeCell ref="S39:S41"/>
    <mergeCell ref="Q43:Q48"/>
    <mergeCell ref="R43:S48"/>
    <mergeCell ref="R31:S36"/>
    <mergeCell ref="P51:Q56"/>
    <mergeCell ref="R51:R56"/>
    <mergeCell ref="S51:S5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63"/>
  <sheetViews>
    <sheetView showGridLines="0" topLeftCell="F19" workbookViewId="0">
      <selection activeCell="R58" sqref="R58:S63"/>
    </sheetView>
  </sheetViews>
  <sheetFormatPr defaultColWidth="14.44140625" defaultRowHeight="15.75" customHeight="1"/>
  <cols>
    <col min="2" max="2" width="11.5546875" customWidth="1"/>
    <col min="3" max="3" width="17.44140625" customWidth="1"/>
    <col min="4" max="4" width="18" customWidth="1"/>
    <col min="5" max="5" width="9" customWidth="1"/>
    <col min="6" max="6" width="11.44140625" customWidth="1"/>
  </cols>
  <sheetData>
    <row r="1" spans="1:19" ht="15.75" customHeight="1">
      <c r="A1" s="217" t="s">
        <v>18</v>
      </c>
      <c r="B1" s="184"/>
      <c r="C1" s="184"/>
      <c r="D1" s="184"/>
      <c r="E1" s="184"/>
      <c r="F1" s="184"/>
      <c r="G1" s="184"/>
      <c r="H1" s="184"/>
      <c r="I1" s="184"/>
      <c r="J1" s="184"/>
      <c r="K1" s="184"/>
      <c r="L1" s="184"/>
      <c r="M1" s="184"/>
      <c r="N1" s="184"/>
      <c r="O1" s="184"/>
      <c r="P1" s="184"/>
      <c r="Q1" s="184"/>
      <c r="R1" s="184"/>
      <c r="S1" s="185"/>
    </row>
    <row r="2" spans="1:19" ht="13.2">
      <c r="A2" s="218" t="s">
        <v>200</v>
      </c>
      <c r="B2" s="184"/>
      <c r="C2" s="184"/>
      <c r="D2" s="184"/>
      <c r="E2" s="184"/>
      <c r="F2" s="184"/>
      <c r="G2" s="184"/>
      <c r="H2" s="184"/>
      <c r="I2" s="185"/>
      <c r="O2" s="127"/>
      <c r="P2" s="91"/>
      <c r="R2" s="92"/>
      <c r="S2" s="92"/>
    </row>
    <row r="3" spans="1:19" ht="13.2">
      <c r="A3" s="215" t="s">
        <v>201</v>
      </c>
      <c r="B3" s="184"/>
      <c r="C3" s="184"/>
      <c r="D3" s="184"/>
      <c r="E3" s="184"/>
      <c r="F3" s="184"/>
      <c r="G3" s="184"/>
      <c r="H3" s="184"/>
      <c r="I3" s="185"/>
      <c r="O3" s="127"/>
      <c r="P3" s="91"/>
      <c r="R3" s="92"/>
      <c r="S3" s="92"/>
    </row>
    <row r="4" spans="1:19" ht="13.2">
      <c r="A4" s="195" t="s">
        <v>202</v>
      </c>
      <c r="B4" s="192"/>
      <c r="C4" s="192"/>
      <c r="D4" s="192"/>
      <c r="E4" s="192"/>
      <c r="F4" s="192"/>
      <c r="G4" s="192"/>
      <c r="H4" s="192"/>
      <c r="I4" s="193"/>
      <c r="O4" s="127"/>
      <c r="P4" s="91"/>
      <c r="R4" s="92"/>
      <c r="S4" s="92"/>
    </row>
    <row r="5" spans="1:19" ht="13.2">
      <c r="A5" s="218" t="s">
        <v>203</v>
      </c>
      <c r="B5" s="184"/>
      <c r="C5" s="184"/>
      <c r="D5" s="184"/>
      <c r="E5" s="184"/>
      <c r="F5" s="184"/>
      <c r="G5" s="184"/>
      <c r="H5" s="184"/>
      <c r="I5" s="185"/>
      <c r="O5" s="127"/>
      <c r="P5" s="91"/>
      <c r="R5" s="92"/>
      <c r="S5" s="92"/>
    </row>
    <row r="6" spans="1:19" ht="13.2">
      <c r="A6" s="241" t="s">
        <v>204</v>
      </c>
      <c r="B6" s="184"/>
      <c r="C6" s="184"/>
      <c r="D6" s="184"/>
      <c r="E6" s="184"/>
      <c r="F6" s="184"/>
      <c r="G6" s="184"/>
      <c r="H6" s="184"/>
      <c r="I6" s="185"/>
      <c r="O6" s="127"/>
      <c r="P6" s="91"/>
      <c r="R6" s="92"/>
      <c r="S6" s="92"/>
    </row>
    <row r="7" spans="1:19" ht="13.2">
      <c r="A7" s="241" t="s">
        <v>205</v>
      </c>
      <c r="B7" s="184"/>
      <c r="C7" s="184"/>
      <c r="D7" s="184"/>
      <c r="E7" s="184"/>
      <c r="F7" s="184"/>
      <c r="G7" s="184"/>
      <c r="H7" s="184"/>
      <c r="I7" s="185"/>
      <c r="O7" s="127"/>
      <c r="P7" s="91"/>
      <c r="R7" s="92"/>
      <c r="S7" s="92"/>
    </row>
    <row r="8" spans="1:19" ht="13.2">
      <c r="A8" s="241" t="s">
        <v>206</v>
      </c>
      <c r="B8" s="184"/>
      <c r="C8" s="184"/>
      <c r="D8" s="184"/>
      <c r="E8" s="184"/>
      <c r="F8" s="184"/>
      <c r="G8" s="184"/>
      <c r="H8" s="184"/>
      <c r="I8" s="185"/>
      <c r="O8" s="127"/>
      <c r="P8" s="91"/>
      <c r="R8" s="92"/>
      <c r="S8" s="92"/>
    </row>
    <row r="9" spans="1:19" ht="13.2">
      <c r="A9" s="241" t="s">
        <v>207</v>
      </c>
      <c r="B9" s="184"/>
      <c r="C9" s="184"/>
      <c r="D9" s="184"/>
      <c r="E9" s="184"/>
      <c r="F9" s="184"/>
      <c r="G9" s="184"/>
      <c r="H9" s="184"/>
      <c r="I9" s="185"/>
      <c r="O9" s="127"/>
      <c r="P9" s="91"/>
      <c r="R9" s="92"/>
      <c r="S9" s="92"/>
    </row>
    <row r="10" spans="1:19" ht="13.2">
      <c r="A10" s="241" t="s">
        <v>208</v>
      </c>
      <c r="B10" s="184"/>
      <c r="C10" s="184"/>
      <c r="D10" s="184"/>
      <c r="E10" s="184"/>
      <c r="F10" s="184"/>
      <c r="G10" s="184"/>
      <c r="H10" s="184"/>
      <c r="I10" s="185"/>
      <c r="O10" s="127"/>
      <c r="P10" s="91"/>
      <c r="R10" s="92"/>
      <c r="S10" s="92"/>
    </row>
    <row r="11" spans="1:19" ht="13.2">
      <c r="A11" s="230" t="s">
        <v>37</v>
      </c>
      <c r="B11" s="202"/>
      <c r="C11" s="202"/>
      <c r="D11" s="202"/>
      <c r="E11" s="202"/>
      <c r="F11" s="202"/>
      <c r="G11" s="202"/>
      <c r="H11" s="202"/>
      <c r="I11" s="202"/>
      <c r="J11" s="98"/>
      <c r="K11" s="98"/>
      <c r="L11" s="98"/>
      <c r="M11" s="98"/>
      <c r="N11" s="98"/>
      <c r="O11" s="98"/>
      <c r="P11" s="91"/>
      <c r="R11" s="92"/>
      <c r="S11" s="92"/>
    </row>
    <row r="12" spans="1:19" ht="13.2">
      <c r="A12" s="98"/>
      <c r="B12" s="98"/>
      <c r="C12" s="98"/>
      <c r="D12" s="98"/>
      <c r="E12" s="98"/>
      <c r="F12" s="98"/>
      <c r="G12" s="98"/>
      <c r="H12" s="98"/>
      <c r="I12" s="98"/>
      <c r="J12" s="98"/>
      <c r="K12" s="98"/>
      <c r="L12" s="98"/>
      <c r="M12" s="98"/>
      <c r="N12" s="98"/>
      <c r="O12" s="98"/>
      <c r="P12" s="91"/>
      <c r="R12" s="92"/>
      <c r="S12" s="92"/>
    </row>
    <row r="13" spans="1:19" ht="13.2">
      <c r="A13" s="213" t="s">
        <v>209</v>
      </c>
      <c r="B13" s="184"/>
      <c r="C13" s="184"/>
      <c r="D13" s="184"/>
      <c r="E13" s="184"/>
      <c r="F13" s="185"/>
      <c r="H13" s="236"/>
      <c r="I13" s="189"/>
      <c r="J13" s="189"/>
      <c r="K13" s="190"/>
      <c r="L13" s="91"/>
      <c r="M13" s="91"/>
      <c r="N13" s="91"/>
      <c r="O13" s="91"/>
    </row>
    <row r="14" spans="1:19" ht="13.2">
      <c r="A14" s="213" t="s">
        <v>210</v>
      </c>
      <c r="B14" s="184"/>
      <c r="C14" s="184"/>
      <c r="D14" s="184"/>
      <c r="E14" s="184"/>
      <c r="F14" s="185"/>
      <c r="H14" s="223"/>
      <c r="I14" s="202"/>
      <c r="J14" s="202"/>
      <c r="K14" s="203"/>
      <c r="L14" s="91"/>
      <c r="M14" s="224" t="s">
        <v>411</v>
      </c>
      <c r="N14" s="189"/>
      <c r="O14" s="190"/>
      <c r="Q14" s="225" t="s">
        <v>211</v>
      </c>
      <c r="R14" s="189"/>
      <c r="S14" s="226" t="s">
        <v>414</v>
      </c>
    </row>
    <row r="15" spans="1:19" ht="13.2">
      <c r="A15" s="8" t="s">
        <v>212</v>
      </c>
      <c r="B15" s="213" t="s">
        <v>174</v>
      </c>
      <c r="C15" s="184"/>
      <c r="D15" s="184"/>
      <c r="E15" s="184"/>
      <c r="F15" s="185"/>
      <c r="H15" s="223"/>
      <c r="I15" s="202"/>
      <c r="J15" s="202"/>
      <c r="K15" s="203"/>
      <c r="L15" s="91"/>
      <c r="M15" s="223"/>
      <c r="N15" s="202"/>
      <c r="O15" s="203"/>
      <c r="Q15" s="223"/>
      <c r="R15" s="202"/>
      <c r="S15" s="220"/>
    </row>
    <row r="16" spans="1:19" ht="26.4">
      <c r="A16" s="118" t="s">
        <v>213</v>
      </c>
      <c r="B16" s="119" t="s">
        <v>176</v>
      </c>
      <c r="C16" s="119" t="s">
        <v>177</v>
      </c>
      <c r="D16" s="119" t="s">
        <v>178</v>
      </c>
      <c r="E16" s="119" t="s">
        <v>179</v>
      </c>
      <c r="F16" s="119" t="s">
        <v>180</v>
      </c>
      <c r="G16" s="128"/>
      <c r="H16" s="223"/>
      <c r="I16" s="202"/>
      <c r="J16" s="202"/>
      <c r="K16" s="203"/>
      <c r="L16" s="91"/>
      <c r="M16" s="223"/>
      <c r="N16" s="202"/>
      <c r="O16" s="203"/>
      <c r="Q16" s="223"/>
      <c r="R16" s="202"/>
      <c r="S16" s="221"/>
    </row>
    <row r="17" spans="1:19" ht="13.8">
      <c r="A17" s="120" t="s">
        <v>186</v>
      </c>
      <c r="B17" s="39">
        <f>954-750</f>
        <v>204</v>
      </c>
      <c r="C17" s="39">
        <f>192+150</f>
        <v>342</v>
      </c>
      <c r="D17" s="121">
        <f>303+150</f>
        <v>453</v>
      </c>
      <c r="E17" s="122">
        <f t="shared" ref="E17:E23" si="0">B17+C17</f>
        <v>546</v>
      </c>
      <c r="F17" s="129">
        <v>0.83</v>
      </c>
      <c r="H17" s="223"/>
      <c r="I17" s="202"/>
      <c r="J17" s="202"/>
      <c r="K17" s="203"/>
      <c r="L17" s="91"/>
      <c r="M17" s="223"/>
      <c r="N17" s="202"/>
      <c r="O17" s="203"/>
      <c r="Q17" s="109"/>
      <c r="R17" s="92"/>
      <c r="S17" s="110"/>
    </row>
    <row r="18" spans="1:19" ht="13.2">
      <c r="A18" s="120" t="s">
        <v>187</v>
      </c>
      <c r="B18" s="39">
        <f>540-370</f>
        <v>170</v>
      </c>
      <c r="C18" s="124">
        <v>360</v>
      </c>
      <c r="D18" s="39">
        <f>277+150</f>
        <v>427</v>
      </c>
      <c r="E18" s="122">
        <f t="shared" si="0"/>
        <v>530</v>
      </c>
      <c r="F18" s="113">
        <f t="shared" ref="F18:F23" si="1">D18/E18</f>
        <v>0.80566037735849061</v>
      </c>
      <c r="H18" s="223"/>
      <c r="I18" s="202"/>
      <c r="J18" s="202"/>
      <c r="K18" s="203"/>
      <c r="L18" s="91"/>
      <c r="M18" s="223"/>
      <c r="N18" s="202"/>
      <c r="O18" s="203"/>
      <c r="Q18" s="219" t="s">
        <v>181</v>
      </c>
      <c r="R18" s="222" t="s">
        <v>415</v>
      </c>
      <c r="S18" s="190"/>
    </row>
    <row r="19" spans="1:19" ht="13.2">
      <c r="A19" s="120" t="s">
        <v>188</v>
      </c>
      <c r="B19" s="39">
        <f>402-250</f>
        <v>152</v>
      </c>
      <c r="C19" s="124">
        <v>370</v>
      </c>
      <c r="D19" s="39">
        <f>262+150</f>
        <v>412</v>
      </c>
      <c r="E19" s="122">
        <f t="shared" si="0"/>
        <v>522</v>
      </c>
      <c r="F19" s="113">
        <f t="shared" si="1"/>
        <v>0.78927203065134099</v>
      </c>
      <c r="H19" s="223"/>
      <c r="I19" s="202"/>
      <c r="J19" s="202"/>
      <c r="K19" s="203"/>
      <c r="L19" s="91"/>
      <c r="M19" s="223"/>
      <c r="N19" s="202"/>
      <c r="O19" s="203"/>
      <c r="Q19" s="220"/>
      <c r="R19" s="223"/>
      <c r="S19" s="203"/>
    </row>
    <row r="20" spans="1:19" ht="13.2">
      <c r="A20" s="120" t="s">
        <v>189</v>
      </c>
      <c r="B20" s="39">
        <f>310-200</f>
        <v>110</v>
      </c>
      <c r="C20" s="124">
        <v>380</v>
      </c>
      <c r="D20" s="39">
        <f>228+150</f>
        <v>378</v>
      </c>
      <c r="E20" s="122">
        <f t="shared" si="0"/>
        <v>490</v>
      </c>
      <c r="F20" s="113">
        <f t="shared" si="1"/>
        <v>0.77142857142857146</v>
      </c>
      <c r="H20" s="223"/>
      <c r="I20" s="202"/>
      <c r="J20" s="202"/>
      <c r="K20" s="203"/>
      <c r="L20" s="91"/>
      <c r="M20" s="223"/>
      <c r="N20" s="202"/>
      <c r="O20" s="203"/>
      <c r="Q20" s="220"/>
      <c r="R20" s="223"/>
      <c r="S20" s="203"/>
    </row>
    <row r="21" spans="1:19" ht="13.2">
      <c r="A21" s="120" t="s">
        <v>190</v>
      </c>
      <c r="B21" s="124">
        <v>90</v>
      </c>
      <c r="C21" s="124">
        <v>520</v>
      </c>
      <c r="D21" s="39">
        <f>209+150</f>
        <v>359</v>
      </c>
      <c r="E21" s="122">
        <f t="shared" si="0"/>
        <v>610</v>
      </c>
      <c r="F21" s="113">
        <f t="shared" si="1"/>
        <v>0.58852459016393444</v>
      </c>
      <c r="H21" s="223"/>
      <c r="I21" s="202"/>
      <c r="J21" s="202"/>
      <c r="K21" s="203"/>
      <c r="L21" s="91"/>
      <c r="M21" s="223"/>
      <c r="N21" s="202"/>
      <c r="O21" s="203"/>
      <c r="P21" s="116"/>
      <c r="Q21" s="220"/>
      <c r="R21" s="223"/>
      <c r="S21" s="203"/>
    </row>
    <row r="22" spans="1:19" ht="13.2">
      <c r="A22" s="120" t="s">
        <v>191</v>
      </c>
      <c r="B22" s="124">
        <v>65</v>
      </c>
      <c r="C22" s="124">
        <v>650</v>
      </c>
      <c r="D22" s="39">
        <f>156+150</f>
        <v>306</v>
      </c>
      <c r="E22" s="122">
        <f t="shared" si="0"/>
        <v>715</v>
      </c>
      <c r="F22" s="113">
        <f t="shared" si="1"/>
        <v>0.42797202797202799</v>
      </c>
      <c r="H22" s="223"/>
      <c r="I22" s="202"/>
      <c r="J22" s="202"/>
      <c r="K22" s="203"/>
      <c r="L22" s="91"/>
      <c r="M22" s="223"/>
      <c r="N22" s="202"/>
      <c r="O22" s="203"/>
      <c r="P22" s="116"/>
      <c r="Q22" s="220"/>
      <c r="R22" s="223"/>
      <c r="S22" s="203"/>
    </row>
    <row r="23" spans="1:19" ht="13.2">
      <c r="A23" s="120" t="s">
        <v>192</v>
      </c>
      <c r="B23" s="124">
        <v>30</v>
      </c>
      <c r="C23" s="124">
        <v>874</v>
      </c>
      <c r="D23" s="39">
        <f>137+150</f>
        <v>287</v>
      </c>
      <c r="E23" s="122">
        <f t="shared" si="0"/>
        <v>904</v>
      </c>
      <c r="F23" s="113">
        <f t="shared" si="1"/>
        <v>0.31747787610619471</v>
      </c>
      <c r="H23" s="191"/>
      <c r="I23" s="192"/>
      <c r="J23" s="192"/>
      <c r="K23" s="193"/>
      <c r="L23" s="91"/>
      <c r="M23" s="191"/>
      <c r="N23" s="192"/>
      <c r="O23" s="193"/>
      <c r="P23" s="116"/>
      <c r="Q23" s="221"/>
      <c r="R23" s="191"/>
      <c r="S23" s="193"/>
    </row>
    <row r="24" spans="1:19" ht="13.2">
      <c r="A24" s="128"/>
      <c r="C24" s="114"/>
    </row>
    <row r="25" spans="1:19" ht="13.2">
      <c r="A25" s="213" t="s">
        <v>214</v>
      </c>
      <c r="B25" s="184"/>
      <c r="C25" s="184"/>
      <c r="D25" s="184"/>
      <c r="E25" s="184"/>
      <c r="F25" s="185"/>
      <c r="H25" s="236"/>
      <c r="I25" s="189"/>
      <c r="J25" s="189"/>
      <c r="K25" s="190"/>
      <c r="L25" s="91"/>
      <c r="M25" s="91"/>
      <c r="N25" s="91"/>
      <c r="O25" s="91"/>
    </row>
    <row r="26" spans="1:19" ht="13.2">
      <c r="A26" s="213" t="s">
        <v>215</v>
      </c>
      <c r="B26" s="184"/>
      <c r="C26" s="184"/>
      <c r="D26" s="184"/>
      <c r="E26" s="184"/>
      <c r="F26" s="185"/>
      <c r="H26" s="223"/>
      <c r="I26" s="202"/>
      <c r="J26" s="202"/>
      <c r="K26" s="203"/>
      <c r="L26" s="91"/>
      <c r="M26" s="224" t="s">
        <v>412</v>
      </c>
      <c r="N26" s="189"/>
      <c r="O26" s="190"/>
      <c r="Q26" s="225" t="s">
        <v>211</v>
      </c>
      <c r="R26" s="190"/>
      <c r="S26" s="226" t="s">
        <v>416</v>
      </c>
    </row>
    <row r="27" spans="1:19" ht="13.2">
      <c r="A27" s="8" t="s">
        <v>212</v>
      </c>
      <c r="B27" s="213" t="s">
        <v>174</v>
      </c>
      <c r="C27" s="184"/>
      <c r="D27" s="184"/>
      <c r="E27" s="184"/>
      <c r="F27" s="185"/>
      <c r="H27" s="223"/>
      <c r="I27" s="202"/>
      <c r="J27" s="202"/>
      <c r="K27" s="203"/>
      <c r="L27" s="91"/>
      <c r="M27" s="223"/>
      <c r="N27" s="202"/>
      <c r="O27" s="203"/>
      <c r="Q27" s="223"/>
      <c r="R27" s="203"/>
      <c r="S27" s="220"/>
    </row>
    <row r="28" spans="1:19" ht="26.4">
      <c r="A28" s="118" t="s">
        <v>213</v>
      </c>
      <c r="B28" s="119" t="s">
        <v>176</v>
      </c>
      <c r="C28" s="119" t="s">
        <v>177</v>
      </c>
      <c r="D28" s="119" t="s">
        <v>178</v>
      </c>
      <c r="E28" s="119" t="s">
        <v>179</v>
      </c>
      <c r="F28" s="119" t="s">
        <v>180</v>
      </c>
      <c r="G28" s="128"/>
      <c r="H28" s="223"/>
      <c r="I28" s="202"/>
      <c r="J28" s="202"/>
      <c r="K28" s="203"/>
      <c r="L28" s="91"/>
      <c r="M28" s="223"/>
      <c r="N28" s="202"/>
      <c r="O28" s="203"/>
      <c r="Q28" s="191"/>
      <c r="R28" s="193"/>
      <c r="S28" s="221"/>
    </row>
    <row r="29" spans="1:19" ht="13.8">
      <c r="A29" s="120" t="s">
        <v>186</v>
      </c>
      <c r="B29" s="39">
        <f>954+150</f>
        <v>1104</v>
      </c>
      <c r="C29" s="124">
        <v>200</v>
      </c>
      <c r="D29" s="123">
        <v>800</v>
      </c>
      <c r="E29" s="122">
        <f t="shared" ref="E29:E35" si="2">B29+C29</f>
        <v>1304</v>
      </c>
      <c r="F29" s="113">
        <f t="shared" ref="F29:F35" si="3">D29/E29</f>
        <v>0.61349693251533743</v>
      </c>
      <c r="H29" s="223"/>
      <c r="I29" s="202"/>
      <c r="J29" s="202"/>
      <c r="K29" s="203"/>
      <c r="L29" s="91"/>
      <c r="M29" s="223"/>
      <c r="N29" s="202"/>
      <c r="O29" s="203"/>
      <c r="Q29" s="109"/>
      <c r="R29" s="92"/>
      <c r="S29" s="110"/>
    </row>
    <row r="30" spans="1:19" ht="13.2">
      <c r="A30" s="120" t="s">
        <v>187</v>
      </c>
      <c r="B30" s="39">
        <f>540+150</f>
        <v>690</v>
      </c>
      <c r="C30" s="39">
        <f>223+150</f>
        <v>373</v>
      </c>
      <c r="D30" s="39">
        <f>277+150+200</f>
        <v>627</v>
      </c>
      <c r="E30" s="122">
        <f t="shared" si="2"/>
        <v>1063</v>
      </c>
      <c r="F30" s="113">
        <f t="shared" si="3"/>
        <v>0.58984007525870175</v>
      </c>
      <c r="H30" s="223"/>
      <c r="I30" s="202"/>
      <c r="J30" s="202"/>
      <c r="K30" s="203"/>
      <c r="L30" s="91"/>
      <c r="M30" s="223"/>
      <c r="N30" s="202"/>
      <c r="O30" s="203"/>
      <c r="Q30" s="219" t="s">
        <v>181</v>
      </c>
      <c r="R30" s="222" t="s">
        <v>417</v>
      </c>
      <c r="S30" s="190"/>
    </row>
    <row r="31" spans="1:19" ht="13.2">
      <c r="A31" s="120" t="s">
        <v>188</v>
      </c>
      <c r="B31" s="39">
        <f>402+150</f>
        <v>552</v>
      </c>
      <c r="C31" s="39">
        <f>238+150</f>
        <v>388</v>
      </c>
      <c r="D31" s="39">
        <f>262+150+120</f>
        <v>532</v>
      </c>
      <c r="E31" s="122">
        <f t="shared" si="2"/>
        <v>940</v>
      </c>
      <c r="F31" s="113">
        <f t="shared" si="3"/>
        <v>0.56595744680851068</v>
      </c>
      <c r="H31" s="223"/>
      <c r="I31" s="202"/>
      <c r="J31" s="202"/>
      <c r="K31" s="203"/>
      <c r="L31" s="91"/>
      <c r="M31" s="223"/>
      <c r="N31" s="202"/>
      <c r="O31" s="203"/>
      <c r="Q31" s="220"/>
      <c r="R31" s="223"/>
      <c r="S31" s="203"/>
    </row>
    <row r="32" spans="1:19" ht="13.2">
      <c r="A32" s="120" t="s">
        <v>189</v>
      </c>
      <c r="B32" s="39">
        <f>310+150</f>
        <v>460</v>
      </c>
      <c r="C32" s="39">
        <f>272+150-50</f>
        <v>372</v>
      </c>
      <c r="D32" s="39">
        <f>228+150+80</f>
        <v>458</v>
      </c>
      <c r="E32" s="122">
        <f t="shared" si="2"/>
        <v>832</v>
      </c>
      <c r="F32" s="113">
        <f t="shared" si="3"/>
        <v>0.55048076923076927</v>
      </c>
      <c r="H32" s="223"/>
      <c r="I32" s="202"/>
      <c r="J32" s="202"/>
      <c r="K32" s="203"/>
      <c r="L32" s="91"/>
      <c r="M32" s="223"/>
      <c r="N32" s="202"/>
      <c r="O32" s="203"/>
      <c r="Q32" s="220"/>
      <c r="R32" s="223"/>
      <c r="S32" s="203"/>
    </row>
    <row r="33" spans="1:19" ht="13.2">
      <c r="A33" s="120" t="s">
        <v>190</v>
      </c>
      <c r="B33" s="39">
        <f>278+150</f>
        <v>428</v>
      </c>
      <c r="C33" s="39">
        <f>291+150</f>
        <v>441</v>
      </c>
      <c r="D33" s="39">
        <f>209+150</f>
        <v>359</v>
      </c>
      <c r="E33" s="122">
        <f t="shared" si="2"/>
        <v>869</v>
      </c>
      <c r="F33" s="113">
        <f t="shared" si="3"/>
        <v>0.41311852704257768</v>
      </c>
      <c r="H33" s="223"/>
      <c r="I33" s="202"/>
      <c r="J33" s="202"/>
      <c r="K33" s="203"/>
      <c r="L33" s="91"/>
      <c r="M33" s="223"/>
      <c r="N33" s="202"/>
      <c r="O33" s="203"/>
      <c r="P33" s="116"/>
      <c r="Q33" s="220"/>
      <c r="R33" s="223"/>
      <c r="S33" s="203"/>
    </row>
    <row r="34" spans="1:19" ht="13.2">
      <c r="A34" s="120" t="s">
        <v>191</v>
      </c>
      <c r="B34" s="39">
        <f>202+150</f>
        <v>352</v>
      </c>
      <c r="C34" s="39">
        <f>334+150</f>
        <v>484</v>
      </c>
      <c r="D34" s="39">
        <f>156+150</f>
        <v>306</v>
      </c>
      <c r="E34" s="122">
        <f t="shared" si="2"/>
        <v>836</v>
      </c>
      <c r="F34" s="113">
        <f t="shared" si="3"/>
        <v>0.36602870813397131</v>
      </c>
      <c r="H34" s="223"/>
      <c r="I34" s="202"/>
      <c r="J34" s="202"/>
      <c r="K34" s="203"/>
      <c r="L34" s="91"/>
      <c r="M34" s="223"/>
      <c r="N34" s="202"/>
      <c r="O34" s="203"/>
      <c r="P34" s="116"/>
      <c r="Q34" s="220"/>
      <c r="R34" s="223"/>
      <c r="S34" s="203"/>
    </row>
    <row r="35" spans="1:19" ht="13.2">
      <c r="A35" s="120" t="s">
        <v>192</v>
      </c>
      <c r="B35" s="39">
        <f>160+150</f>
        <v>310</v>
      </c>
      <c r="C35" s="39">
        <f>363+150</f>
        <v>513</v>
      </c>
      <c r="D35" s="39">
        <f>137+150-100</f>
        <v>187</v>
      </c>
      <c r="E35" s="122">
        <f t="shared" si="2"/>
        <v>823</v>
      </c>
      <c r="F35" s="113">
        <f t="shared" si="3"/>
        <v>0.22721749696233293</v>
      </c>
      <c r="H35" s="191"/>
      <c r="I35" s="192"/>
      <c r="J35" s="192"/>
      <c r="K35" s="193"/>
      <c r="L35" s="91"/>
      <c r="M35" s="191"/>
      <c r="N35" s="192"/>
      <c r="O35" s="193"/>
      <c r="P35" s="116"/>
      <c r="Q35" s="221"/>
      <c r="R35" s="191"/>
      <c r="S35" s="193"/>
    </row>
    <row r="36" spans="1:19" ht="13.2">
      <c r="A36" s="128"/>
    </row>
    <row r="37" spans="1:19" ht="13.2">
      <c r="A37" s="213" t="s">
        <v>216</v>
      </c>
      <c r="B37" s="184"/>
      <c r="C37" s="184"/>
      <c r="D37" s="184"/>
      <c r="E37" s="184"/>
      <c r="F37" s="185"/>
      <c r="H37" s="236"/>
      <c r="I37" s="189"/>
      <c r="J37" s="189"/>
      <c r="K37" s="190"/>
      <c r="L37" s="91"/>
      <c r="M37" s="91"/>
      <c r="N37" s="91"/>
      <c r="O37" s="91"/>
    </row>
    <row r="38" spans="1:19" ht="13.2">
      <c r="A38" s="213" t="s">
        <v>217</v>
      </c>
      <c r="B38" s="184"/>
      <c r="C38" s="184"/>
      <c r="D38" s="184"/>
      <c r="E38" s="184"/>
      <c r="F38" s="185"/>
      <c r="H38" s="223"/>
      <c r="I38" s="202"/>
      <c r="J38" s="202"/>
      <c r="K38" s="203"/>
      <c r="L38" s="91"/>
      <c r="M38" s="224" t="s">
        <v>413</v>
      </c>
      <c r="N38" s="189"/>
      <c r="O38" s="190"/>
      <c r="Q38" s="225" t="s">
        <v>211</v>
      </c>
      <c r="R38" s="189"/>
      <c r="S38" s="226" t="s">
        <v>418</v>
      </c>
    </row>
    <row r="39" spans="1:19" ht="13.2">
      <c r="A39" s="8" t="s">
        <v>212</v>
      </c>
      <c r="B39" s="213" t="s">
        <v>174</v>
      </c>
      <c r="C39" s="184"/>
      <c r="D39" s="184"/>
      <c r="E39" s="184"/>
      <c r="F39" s="185"/>
      <c r="H39" s="223"/>
      <c r="I39" s="202"/>
      <c r="J39" s="202"/>
      <c r="K39" s="203"/>
      <c r="L39" s="91"/>
      <c r="M39" s="223"/>
      <c r="N39" s="202"/>
      <c r="O39" s="203"/>
      <c r="Q39" s="223"/>
      <c r="R39" s="202"/>
      <c r="S39" s="220"/>
    </row>
    <row r="40" spans="1:19" ht="26.4">
      <c r="A40" s="118" t="s">
        <v>213</v>
      </c>
      <c r="B40" s="119" t="s">
        <v>176</v>
      </c>
      <c r="C40" s="119" t="s">
        <v>177</v>
      </c>
      <c r="D40" s="119" t="s">
        <v>178</v>
      </c>
      <c r="E40" s="119" t="s">
        <v>179</v>
      </c>
      <c r="F40" s="119" t="s">
        <v>180</v>
      </c>
      <c r="G40" s="128"/>
      <c r="H40" s="223"/>
      <c r="I40" s="202"/>
      <c r="J40" s="202"/>
      <c r="K40" s="203"/>
      <c r="L40" s="91"/>
      <c r="M40" s="223"/>
      <c r="N40" s="202"/>
      <c r="O40" s="203"/>
      <c r="Q40" s="223"/>
      <c r="R40" s="202"/>
      <c r="S40" s="221"/>
    </row>
    <row r="41" spans="1:19" ht="13.8">
      <c r="A41" s="120" t="s">
        <v>186</v>
      </c>
      <c r="B41" s="39">
        <f>954+150</f>
        <v>1104</v>
      </c>
      <c r="C41" s="39">
        <f>192+150</f>
        <v>342</v>
      </c>
      <c r="D41" s="121">
        <f>303+300</f>
        <v>603</v>
      </c>
      <c r="E41" s="122">
        <f t="shared" ref="E41:E47" si="4">B41+C41</f>
        <v>1446</v>
      </c>
      <c r="F41" s="113">
        <f t="shared" ref="F41:F47" si="5">D41/E41</f>
        <v>0.4170124481327801</v>
      </c>
      <c r="H41" s="223"/>
      <c r="I41" s="202"/>
      <c r="J41" s="202"/>
      <c r="K41" s="203"/>
      <c r="L41" s="91"/>
      <c r="M41" s="223"/>
      <c r="N41" s="202"/>
      <c r="O41" s="203"/>
      <c r="Q41" s="109"/>
      <c r="R41" s="92"/>
      <c r="S41" s="110"/>
    </row>
    <row r="42" spans="1:19" ht="13.2">
      <c r="A42" s="120" t="s">
        <v>187</v>
      </c>
      <c r="B42" s="39">
        <f>540+150</f>
        <v>690</v>
      </c>
      <c r="C42" s="39">
        <f>223+150</f>
        <v>373</v>
      </c>
      <c r="D42" s="39">
        <f>277+150</f>
        <v>427</v>
      </c>
      <c r="E42" s="122">
        <f t="shared" si="4"/>
        <v>1063</v>
      </c>
      <c r="F42" s="113">
        <f t="shared" si="5"/>
        <v>0.40169332079021636</v>
      </c>
      <c r="H42" s="223"/>
      <c r="I42" s="202"/>
      <c r="J42" s="202"/>
      <c r="K42" s="203"/>
      <c r="L42" s="91"/>
      <c r="M42" s="223"/>
      <c r="N42" s="202"/>
      <c r="O42" s="203"/>
      <c r="Q42" s="219" t="s">
        <v>181</v>
      </c>
      <c r="R42" s="222" t="s">
        <v>419</v>
      </c>
      <c r="S42" s="190"/>
    </row>
    <row r="43" spans="1:19" ht="13.2">
      <c r="A43" s="120" t="s">
        <v>188</v>
      </c>
      <c r="B43" s="39">
        <f>402+150</f>
        <v>552</v>
      </c>
      <c r="C43" s="39">
        <f>238+150</f>
        <v>388</v>
      </c>
      <c r="D43" s="39">
        <f>262+150</f>
        <v>412</v>
      </c>
      <c r="E43" s="122">
        <f t="shared" si="4"/>
        <v>940</v>
      </c>
      <c r="F43" s="113">
        <f t="shared" si="5"/>
        <v>0.43829787234042555</v>
      </c>
      <c r="H43" s="223"/>
      <c r="I43" s="202"/>
      <c r="J43" s="202"/>
      <c r="K43" s="203"/>
      <c r="L43" s="91"/>
      <c r="M43" s="223"/>
      <c r="N43" s="202"/>
      <c r="O43" s="203"/>
      <c r="Q43" s="220"/>
      <c r="R43" s="223"/>
      <c r="S43" s="203"/>
    </row>
    <row r="44" spans="1:19" ht="13.2">
      <c r="A44" s="120" t="s">
        <v>189</v>
      </c>
      <c r="B44" s="39">
        <f>310+150</f>
        <v>460</v>
      </c>
      <c r="C44" s="39">
        <f>272+150</f>
        <v>422</v>
      </c>
      <c r="D44" s="39">
        <f>228+150</f>
        <v>378</v>
      </c>
      <c r="E44" s="122">
        <f t="shared" si="4"/>
        <v>882</v>
      </c>
      <c r="F44" s="113">
        <f t="shared" si="5"/>
        <v>0.42857142857142855</v>
      </c>
      <c r="H44" s="223"/>
      <c r="I44" s="202"/>
      <c r="J44" s="202"/>
      <c r="K44" s="203"/>
      <c r="L44" s="91"/>
      <c r="M44" s="223"/>
      <c r="N44" s="202"/>
      <c r="O44" s="203"/>
      <c r="Q44" s="220"/>
      <c r="R44" s="223"/>
      <c r="S44" s="203"/>
    </row>
    <row r="45" spans="1:19" ht="13.2">
      <c r="A45" s="120" t="s">
        <v>190</v>
      </c>
      <c r="B45" s="39">
        <f>278+150</f>
        <v>428</v>
      </c>
      <c r="C45" s="39">
        <f>291+150</f>
        <v>441</v>
      </c>
      <c r="D45" s="39">
        <f>209+150</f>
        <v>359</v>
      </c>
      <c r="E45" s="122">
        <f t="shared" si="4"/>
        <v>869</v>
      </c>
      <c r="F45" s="113">
        <f t="shared" si="5"/>
        <v>0.41311852704257768</v>
      </c>
      <c r="H45" s="223"/>
      <c r="I45" s="202"/>
      <c r="J45" s="202"/>
      <c r="K45" s="203"/>
      <c r="L45" s="91"/>
      <c r="M45" s="223"/>
      <c r="N45" s="202"/>
      <c r="O45" s="203"/>
      <c r="P45" s="116"/>
      <c r="Q45" s="220"/>
      <c r="R45" s="223"/>
      <c r="S45" s="203"/>
    </row>
    <row r="46" spans="1:19" ht="13.2">
      <c r="A46" s="120" t="s">
        <v>191</v>
      </c>
      <c r="B46" s="39">
        <f>202+150</f>
        <v>352</v>
      </c>
      <c r="C46" s="39">
        <f>334+150</f>
        <v>484</v>
      </c>
      <c r="D46" s="39">
        <f>156+150</f>
        <v>306</v>
      </c>
      <c r="E46" s="122">
        <f t="shared" si="4"/>
        <v>836</v>
      </c>
      <c r="F46" s="113">
        <f t="shared" si="5"/>
        <v>0.36602870813397131</v>
      </c>
      <c r="H46" s="223"/>
      <c r="I46" s="202"/>
      <c r="J46" s="202"/>
      <c r="K46" s="203"/>
      <c r="L46" s="91"/>
      <c r="M46" s="223"/>
      <c r="N46" s="202"/>
      <c r="O46" s="203"/>
      <c r="P46" s="116"/>
      <c r="Q46" s="220"/>
      <c r="R46" s="223"/>
      <c r="S46" s="203"/>
    </row>
    <row r="47" spans="1:19" ht="13.2">
      <c r="A47" s="120" t="s">
        <v>192</v>
      </c>
      <c r="B47" s="39">
        <f>160+150</f>
        <v>310</v>
      </c>
      <c r="C47" s="39">
        <f>363+150</f>
        <v>513</v>
      </c>
      <c r="D47" s="39">
        <f>137+150</f>
        <v>287</v>
      </c>
      <c r="E47" s="122">
        <f t="shared" si="4"/>
        <v>823</v>
      </c>
      <c r="F47" s="113">
        <f t="shared" si="5"/>
        <v>0.34872417982989062</v>
      </c>
      <c r="H47" s="191"/>
      <c r="I47" s="192"/>
      <c r="J47" s="192"/>
      <c r="K47" s="193"/>
      <c r="L47" s="91"/>
      <c r="M47" s="191"/>
      <c r="N47" s="192"/>
      <c r="O47" s="193"/>
      <c r="P47" s="116"/>
      <c r="Q47" s="221"/>
      <c r="R47" s="191"/>
      <c r="S47" s="193"/>
    </row>
    <row r="48" spans="1:19" ht="13.2">
      <c r="A48" s="128"/>
    </row>
    <row r="49" spans="1:19" ht="13.2">
      <c r="A49" s="128"/>
      <c r="R49" s="100" t="s">
        <v>196</v>
      </c>
      <c r="S49" s="100" t="s">
        <v>197</v>
      </c>
    </row>
    <row r="50" spans="1:19" ht="13.2">
      <c r="A50" s="128"/>
      <c r="P50" s="225" t="s">
        <v>218</v>
      </c>
      <c r="Q50" s="190"/>
      <c r="R50" s="227">
        <v>1</v>
      </c>
      <c r="S50" s="227">
        <v>1</v>
      </c>
    </row>
    <row r="51" spans="1:19" ht="13.2">
      <c r="A51" s="128"/>
      <c r="P51" s="223"/>
      <c r="Q51" s="203"/>
      <c r="R51" s="220"/>
      <c r="S51" s="220"/>
    </row>
    <row r="52" spans="1:19" ht="13.2">
      <c r="A52" s="128"/>
      <c r="P52" s="223"/>
      <c r="Q52" s="203"/>
      <c r="R52" s="220"/>
      <c r="S52" s="220"/>
    </row>
    <row r="53" spans="1:19" ht="13.2">
      <c r="A53" s="128"/>
      <c r="P53" s="223"/>
      <c r="Q53" s="203"/>
      <c r="R53" s="220"/>
      <c r="S53" s="220"/>
    </row>
    <row r="54" spans="1:19" ht="13.2">
      <c r="A54" s="128"/>
      <c r="P54" s="223"/>
      <c r="Q54" s="203"/>
      <c r="R54" s="220"/>
      <c r="S54" s="220"/>
    </row>
    <row r="55" spans="1:19" ht="13.2">
      <c r="A55" s="128"/>
      <c r="P55" s="191"/>
      <c r="Q55" s="193"/>
      <c r="R55" s="221"/>
      <c r="S55" s="221"/>
    </row>
    <row r="56" spans="1:19" ht="13.2">
      <c r="A56" s="128"/>
      <c r="Q56" s="92"/>
      <c r="R56" s="92"/>
      <c r="S56" s="92"/>
    </row>
    <row r="57" spans="1:19" ht="13.2">
      <c r="A57" s="128"/>
      <c r="Q57" s="92"/>
      <c r="R57" s="92"/>
      <c r="S57" s="92"/>
    </row>
    <row r="58" spans="1:19" ht="13.2">
      <c r="A58" s="128"/>
      <c r="Q58" s="219" t="s">
        <v>219</v>
      </c>
      <c r="R58" s="222" t="s">
        <v>420</v>
      </c>
      <c r="S58" s="190"/>
    </row>
    <row r="59" spans="1:19" ht="13.2">
      <c r="A59" s="128"/>
      <c r="Q59" s="220"/>
      <c r="R59" s="223"/>
      <c r="S59" s="203"/>
    </row>
    <row r="60" spans="1:19" ht="13.2">
      <c r="A60" s="128"/>
      <c r="Q60" s="220"/>
      <c r="R60" s="223"/>
      <c r="S60" s="203"/>
    </row>
    <row r="61" spans="1:19" ht="13.2">
      <c r="A61" s="128"/>
      <c r="Q61" s="220"/>
      <c r="R61" s="223"/>
      <c r="S61" s="203"/>
    </row>
    <row r="62" spans="1:19" ht="13.2">
      <c r="A62" s="128"/>
      <c r="Q62" s="220"/>
      <c r="R62" s="223"/>
      <c r="S62" s="203"/>
    </row>
    <row r="63" spans="1:19" ht="13.2">
      <c r="A63" s="128"/>
      <c r="Q63" s="221"/>
      <c r="R63" s="191"/>
      <c r="S63" s="193"/>
    </row>
  </sheetData>
  <mergeCells count="43">
    <mergeCell ref="R50:R55"/>
    <mergeCell ref="S50:S55"/>
    <mergeCell ref="Q58:Q63"/>
    <mergeCell ref="R58:S63"/>
    <mergeCell ref="Q18:Q23"/>
    <mergeCell ref="Q30:Q35"/>
    <mergeCell ref="Q38:R40"/>
    <mergeCell ref="S38:S40"/>
    <mergeCell ref="Q42:Q47"/>
    <mergeCell ref="R42:S47"/>
    <mergeCell ref="P50:Q55"/>
    <mergeCell ref="A1:S1"/>
    <mergeCell ref="A2:I2"/>
    <mergeCell ref="A3:I3"/>
    <mergeCell ref="A4:I4"/>
    <mergeCell ref="A5:I5"/>
    <mergeCell ref="A6:I6"/>
    <mergeCell ref="A7:I7"/>
    <mergeCell ref="B15:F15"/>
    <mergeCell ref="A25:F25"/>
    <mergeCell ref="A14:F14"/>
    <mergeCell ref="A8:I8"/>
    <mergeCell ref="A9:I9"/>
    <mergeCell ref="A10:I10"/>
    <mergeCell ref="A11:I11"/>
    <mergeCell ref="A13:F13"/>
    <mergeCell ref="A26:F26"/>
    <mergeCell ref="M14:O23"/>
    <mergeCell ref="Q14:R16"/>
    <mergeCell ref="S14:S16"/>
    <mergeCell ref="R18:S23"/>
    <mergeCell ref="M26:O35"/>
    <mergeCell ref="Q26:R28"/>
    <mergeCell ref="S26:S28"/>
    <mergeCell ref="R30:S35"/>
    <mergeCell ref="B27:F27"/>
    <mergeCell ref="H13:K23"/>
    <mergeCell ref="H25:K35"/>
    <mergeCell ref="A37:F37"/>
    <mergeCell ref="H37:K47"/>
    <mergeCell ref="A38:F38"/>
    <mergeCell ref="M38:O47"/>
    <mergeCell ref="B39:F3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S62"/>
  <sheetViews>
    <sheetView showGridLines="0" tabSelected="1" topLeftCell="G7" workbookViewId="0">
      <selection activeCell="M25" sqref="M25:O34"/>
    </sheetView>
  </sheetViews>
  <sheetFormatPr defaultColWidth="14.44140625" defaultRowHeight="15.75" customHeight="1"/>
  <cols>
    <col min="2" max="2" width="11.5546875" customWidth="1"/>
    <col min="3" max="3" width="17.44140625" customWidth="1"/>
    <col min="4" max="4" width="18" customWidth="1"/>
    <col min="5" max="5" width="9" customWidth="1"/>
    <col min="6" max="6" width="11.44140625" customWidth="1"/>
    <col min="19" max="19" width="27" customWidth="1"/>
  </cols>
  <sheetData>
    <row r="1" spans="1:19" ht="15.75" customHeight="1">
      <c r="A1" s="217" t="s">
        <v>19</v>
      </c>
      <c r="B1" s="184"/>
      <c r="C1" s="184"/>
      <c r="D1" s="184"/>
      <c r="E1" s="184"/>
      <c r="F1" s="184"/>
      <c r="G1" s="184"/>
      <c r="H1" s="184"/>
      <c r="I1" s="184"/>
      <c r="J1" s="184"/>
      <c r="K1" s="184"/>
      <c r="L1" s="184"/>
      <c r="M1" s="184"/>
      <c r="N1" s="184"/>
      <c r="O1" s="184"/>
      <c r="P1" s="184"/>
      <c r="Q1" s="184"/>
      <c r="R1" s="184"/>
      <c r="S1" s="185"/>
    </row>
    <row r="2" spans="1:19" ht="13.2">
      <c r="A2" s="218" t="s">
        <v>220</v>
      </c>
      <c r="B2" s="184"/>
      <c r="C2" s="184"/>
      <c r="D2" s="184"/>
      <c r="E2" s="184"/>
      <c r="F2" s="184"/>
      <c r="G2" s="184"/>
      <c r="H2" s="184"/>
      <c r="I2" s="184"/>
      <c r="J2" s="185"/>
      <c r="K2" s="91"/>
      <c r="L2" s="91"/>
      <c r="M2" s="91"/>
      <c r="N2" s="91"/>
      <c r="O2" s="91"/>
      <c r="P2" s="91"/>
      <c r="R2" s="92"/>
      <c r="S2" s="92"/>
    </row>
    <row r="3" spans="1:19" ht="13.2">
      <c r="A3" s="215" t="s">
        <v>221</v>
      </c>
      <c r="B3" s="184"/>
      <c r="C3" s="184"/>
      <c r="D3" s="184"/>
      <c r="E3" s="184"/>
      <c r="F3" s="184"/>
      <c r="G3" s="184"/>
      <c r="H3" s="184"/>
      <c r="I3" s="184"/>
      <c r="J3" s="185"/>
      <c r="K3" s="91"/>
      <c r="L3" s="91"/>
      <c r="M3" s="91"/>
      <c r="N3" s="91"/>
      <c r="O3" s="91"/>
      <c r="P3" s="91"/>
      <c r="R3" s="92"/>
      <c r="S3" s="92"/>
    </row>
    <row r="4" spans="1:19" ht="13.2">
      <c r="A4" s="195" t="s">
        <v>222</v>
      </c>
      <c r="B4" s="192"/>
      <c r="C4" s="192"/>
      <c r="D4" s="192"/>
      <c r="E4" s="192"/>
      <c r="F4" s="192"/>
      <c r="G4" s="192"/>
      <c r="H4" s="192"/>
      <c r="I4" s="192"/>
      <c r="J4" s="193"/>
      <c r="K4" s="91"/>
      <c r="L4" s="91"/>
      <c r="M4" s="91"/>
      <c r="N4" s="91"/>
      <c r="O4" s="91"/>
      <c r="P4" s="91"/>
      <c r="R4" s="92"/>
      <c r="S4" s="92"/>
    </row>
    <row r="5" spans="1:19" ht="13.2">
      <c r="A5" s="218" t="s">
        <v>223</v>
      </c>
      <c r="B5" s="184"/>
      <c r="C5" s="184"/>
      <c r="D5" s="184"/>
      <c r="E5" s="184"/>
      <c r="F5" s="184"/>
      <c r="G5" s="184"/>
      <c r="H5" s="184"/>
      <c r="I5" s="184"/>
      <c r="J5" s="185"/>
      <c r="K5" s="91"/>
      <c r="L5" s="91"/>
      <c r="M5" s="91"/>
      <c r="N5" s="91"/>
      <c r="O5" s="91"/>
      <c r="P5" s="91"/>
      <c r="R5" s="92"/>
      <c r="S5" s="92"/>
    </row>
    <row r="6" spans="1:19" ht="13.2">
      <c r="A6" s="241" t="s">
        <v>224</v>
      </c>
      <c r="B6" s="184"/>
      <c r="C6" s="184"/>
      <c r="D6" s="184"/>
      <c r="E6" s="184"/>
      <c r="F6" s="184"/>
      <c r="G6" s="184"/>
      <c r="H6" s="184"/>
      <c r="I6" s="184"/>
      <c r="J6" s="185"/>
      <c r="K6" s="93"/>
      <c r="L6" s="93"/>
      <c r="M6" s="93"/>
      <c r="N6" s="93"/>
      <c r="O6" s="93"/>
      <c r="P6" s="91"/>
      <c r="R6" s="92"/>
      <c r="S6" s="92"/>
    </row>
    <row r="7" spans="1:19" ht="13.2">
      <c r="A7" s="241" t="s">
        <v>225</v>
      </c>
      <c r="B7" s="184"/>
      <c r="C7" s="184"/>
      <c r="D7" s="184"/>
      <c r="E7" s="184"/>
      <c r="F7" s="184"/>
      <c r="G7" s="184"/>
      <c r="H7" s="184"/>
      <c r="I7" s="184"/>
      <c r="J7" s="185"/>
      <c r="K7" s="93"/>
      <c r="L7" s="93"/>
      <c r="M7" s="93"/>
      <c r="N7" s="93"/>
      <c r="O7" s="93"/>
      <c r="P7" s="91"/>
      <c r="R7" s="92"/>
      <c r="S7" s="92"/>
    </row>
    <row r="8" spans="1:19" ht="13.2">
      <c r="A8" s="241" t="s">
        <v>226</v>
      </c>
      <c r="B8" s="184"/>
      <c r="C8" s="184"/>
      <c r="D8" s="184"/>
      <c r="E8" s="184"/>
      <c r="F8" s="184"/>
      <c r="G8" s="184"/>
      <c r="H8" s="184"/>
      <c r="I8" s="184"/>
      <c r="J8" s="185"/>
      <c r="K8" s="93"/>
      <c r="L8" s="93"/>
      <c r="M8" s="93"/>
      <c r="N8" s="93"/>
      <c r="O8" s="93"/>
      <c r="P8" s="91"/>
      <c r="R8" s="92"/>
      <c r="S8" s="92"/>
    </row>
    <row r="9" spans="1:19" ht="13.2">
      <c r="A9" s="241" t="s">
        <v>227</v>
      </c>
      <c r="B9" s="184"/>
      <c r="C9" s="184"/>
      <c r="D9" s="184"/>
      <c r="E9" s="184"/>
      <c r="F9" s="184"/>
      <c r="G9" s="184"/>
      <c r="H9" s="184"/>
      <c r="I9" s="184"/>
      <c r="J9" s="185"/>
      <c r="K9" s="93"/>
      <c r="L9" s="93"/>
      <c r="M9" s="93"/>
      <c r="N9" s="93"/>
      <c r="O9" s="93"/>
      <c r="P9" s="91"/>
      <c r="R9" s="92"/>
      <c r="S9" s="92"/>
    </row>
    <row r="10" spans="1:19" ht="13.2">
      <c r="A10" s="241" t="s">
        <v>228</v>
      </c>
      <c r="B10" s="184"/>
      <c r="C10" s="184"/>
      <c r="D10" s="184"/>
      <c r="E10" s="184"/>
      <c r="F10" s="184"/>
      <c r="G10" s="184"/>
      <c r="H10" s="184"/>
      <c r="I10" s="184"/>
      <c r="J10" s="185"/>
      <c r="K10" s="93"/>
      <c r="L10" s="93"/>
      <c r="M10" s="93"/>
      <c r="N10" s="93"/>
      <c r="O10" s="93"/>
      <c r="P10" s="91"/>
    </row>
    <row r="11" spans="1:19" ht="13.2">
      <c r="A11" s="230" t="s">
        <v>37</v>
      </c>
      <c r="B11" s="202"/>
      <c r="C11" s="202"/>
      <c r="D11" s="202"/>
      <c r="E11" s="202"/>
      <c r="F11" s="202"/>
      <c r="G11" s="202"/>
      <c r="H11" s="202"/>
      <c r="I11" s="202"/>
      <c r="J11" s="98"/>
      <c r="K11" s="98"/>
      <c r="L11" s="98"/>
      <c r="M11" s="98"/>
      <c r="N11" s="98"/>
      <c r="O11" s="98"/>
      <c r="P11" s="91"/>
      <c r="R11" s="92"/>
      <c r="S11" s="92"/>
    </row>
    <row r="12" spans="1:19" ht="13.2">
      <c r="A12" s="213" t="s">
        <v>229</v>
      </c>
      <c r="B12" s="184"/>
      <c r="C12" s="184"/>
      <c r="D12" s="184"/>
      <c r="E12" s="184"/>
      <c r="F12" s="185"/>
      <c r="H12" s="242"/>
      <c r="I12" s="189"/>
      <c r="J12" s="189"/>
      <c r="K12" s="190"/>
      <c r="L12" s="91"/>
      <c r="M12" s="91"/>
      <c r="N12" s="91"/>
      <c r="O12" s="91"/>
    </row>
    <row r="13" spans="1:19" ht="13.2">
      <c r="A13" s="213" t="s">
        <v>230</v>
      </c>
      <c r="B13" s="184"/>
      <c r="C13" s="184"/>
      <c r="D13" s="184"/>
      <c r="E13" s="184"/>
      <c r="F13" s="185"/>
      <c r="H13" s="223"/>
      <c r="I13" s="202"/>
      <c r="J13" s="202"/>
      <c r="K13" s="203"/>
      <c r="L13" s="91"/>
      <c r="M13" s="224" t="s">
        <v>171</v>
      </c>
      <c r="N13" s="189"/>
      <c r="O13" s="190"/>
      <c r="Q13" s="225" t="s">
        <v>231</v>
      </c>
      <c r="R13" s="190"/>
      <c r="S13" s="226"/>
    </row>
    <row r="14" spans="1:19" ht="13.2">
      <c r="A14" s="8" t="s">
        <v>212</v>
      </c>
      <c r="B14" s="213" t="s">
        <v>174</v>
      </c>
      <c r="C14" s="184"/>
      <c r="D14" s="184"/>
      <c r="E14" s="184"/>
      <c r="F14" s="185"/>
      <c r="H14" s="223"/>
      <c r="I14" s="202"/>
      <c r="J14" s="202"/>
      <c r="K14" s="203"/>
      <c r="L14" s="91"/>
      <c r="M14" s="223"/>
      <c r="N14" s="202"/>
      <c r="O14" s="203"/>
      <c r="Q14" s="223"/>
      <c r="R14" s="203"/>
      <c r="S14" s="220"/>
    </row>
    <row r="15" spans="1:19" ht="26.4">
      <c r="A15" s="118" t="s">
        <v>213</v>
      </c>
      <c r="B15" s="119" t="s">
        <v>176</v>
      </c>
      <c r="C15" s="119" t="s">
        <v>177</v>
      </c>
      <c r="D15" s="119" t="s">
        <v>178</v>
      </c>
      <c r="E15" s="119" t="s">
        <v>179</v>
      </c>
      <c r="F15" s="119" t="s">
        <v>180</v>
      </c>
      <c r="G15" s="128"/>
      <c r="H15" s="223"/>
      <c r="I15" s="202"/>
      <c r="J15" s="202"/>
      <c r="K15" s="203"/>
      <c r="L15" s="91"/>
      <c r="M15" s="223"/>
      <c r="N15" s="202"/>
      <c r="O15" s="203"/>
      <c r="Q15" s="191"/>
      <c r="R15" s="193"/>
      <c r="S15" s="221"/>
    </row>
    <row r="16" spans="1:19" ht="13.8">
      <c r="A16" s="120" t="s">
        <v>186</v>
      </c>
      <c r="B16" s="39">
        <f>954+150+100</f>
        <v>1204</v>
      </c>
      <c r="C16" s="39">
        <f>192+150</f>
        <v>342</v>
      </c>
      <c r="D16" s="121">
        <f>303+300</f>
        <v>603</v>
      </c>
      <c r="E16" s="122">
        <f t="shared" ref="E16:E22" si="0">B16+C16</f>
        <v>1546</v>
      </c>
      <c r="F16" s="107">
        <v>0.39</v>
      </c>
      <c r="H16" s="223"/>
      <c r="I16" s="202"/>
      <c r="J16" s="202"/>
      <c r="K16" s="203"/>
      <c r="L16" s="91"/>
      <c r="M16" s="223"/>
      <c r="N16" s="202"/>
      <c r="O16" s="203"/>
      <c r="Q16" s="109"/>
      <c r="R16" s="92"/>
      <c r="S16" s="110"/>
    </row>
    <row r="17" spans="1:19" ht="13.2">
      <c r="A17" s="120" t="s">
        <v>187</v>
      </c>
      <c r="B17" s="39">
        <f>540+150+100</f>
        <v>790</v>
      </c>
      <c r="C17" s="39">
        <f>223+150</f>
        <v>373</v>
      </c>
      <c r="D17" s="39">
        <f>277+150</f>
        <v>427</v>
      </c>
      <c r="E17" s="122">
        <f t="shared" si="0"/>
        <v>1163</v>
      </c>
      <c r="F17" s="113">
        <f t="shared" ref="F17:F22" si="1">D17/E17</f>
        <v>0.36715391229578676</v>
      </c>
      <c r="H17" s="223"/>
      <c r="I17" s="202"/>
      <c r="J17" s="202"/>
      <c r="K17" s="203"/>
      <c r="L17" s="91"/>
      <c r="M17" s="223"/>
      <c r="N17" s="202"/>
      <c r="O17" s="203"/>
      <c r="Q17" s="219" t="s">
        <v>181</v>
      </c>
      <c r="R17" s="222"/>
      <c r="S17" s="190"/>
    </row>
    <row r="18" spans="1:19" ht="13.2">
      <c r="A18" s="120" t="s">
        <v>188</v>
      </c>
      <c r="B18" s="39">
        <f>402+150+100</f>
        <v>652</v>
      </c>
      <c r="C18" s="39">
        <f>238+150</f>
        <v>388</v>
      </c>
      <c r="D18" s="39">
        <f>262+150</f>
        <v>412</v>
      </c>
      <c r="E18" s="122">
        <f t="shared" si="0"/>
        <v>1040</v>
      </c>
      <c r="F18" s="113">
        <f t="shared" si="1"/>
        <v>0.39615384615384613</v>
      </c>
      <c r="H18" s="223"/>
      <c r="I18" s="202"/>
      <c r="J18" s="202"/>
      <c r="K18" s="203"/>
      <c r="L18" s="91"/>
      <c r="M18" s="223"/>
      <c r="N18" s="202"/>
      <c r="O18" s="203"/>
      <c r="Q18" s="220"/>
      <c r="R18" s="223"/>
      <c r="S18" s="203"/>
    </row>
    <row r="19" spans="1:19" ht="13.2">
      <c r="A19" s="120" t="s">
        <v>189</v>
      </c>
      <c r="B19" s="39">
        <f>310+150+100</f>
        <v>560</v>
      </c>
      <c r="C19" s="39">
        <f>272+150</f>
        <v>422</v>
      </c>
      <c r="D19" s="39">
        <f>228+150</f>
        <v>378</v>
      </c>
      <c r="E19" s="122">
        <f t="shared" si="0"/>
        <v>982</v>
      </c>
      <c r="F19" s="113">
        <f t="shared" si="1"/>
        <v>0.38492871690427699</v>
      </c>
      <c r="H19" s="223"/>
      <c r="I19" s="202"/>
      <c r="J19" s="202"/>
      <c r="K19" s="203"/>
      <c r="L19" s="91"/>
      <c r="M19" s="223"/>
      <c r="N19" s="202"/>
      <c r="O19" s="203"/>
      <c r="Q19" s="220"/>
      <c r="R19" s="223"/>
      <c r="S19" s="203"/>
    </row>
    <row r="20" spans="1:19" ht="13.2">
      <c r="A20" s="120" t="s">
        <v>190</v>
      </c>
      <c r="B20" s="39">
        <f>278+150+100</f>
        <v>528</v>
      </c>
      <c r="C20" s="39">
        <f>291+150</f>
        <v>441</v>
      </c>
      <c r="D20" s="39">
        <f>209+150</f>
        <v>359</v>
      </c>
      <c r="E20" s="122">
        <f t="shared" si="0"/>
        <v>969</v>
      </c>
      <c r="F20" s="113">
        <f t="shared" si="1"/>
        <v>0.37048503611971106</v>
      </c>
      <c r="H20" s="223"/>
      <c r="I20" s="202"/>
      <c r="J20" s="202"/>
      <c r="K20" s="203"/>
      <c r="L20" s="91"/>
      <c r="M20" s="223"/>
      <c r="N20" s="202"/>
      <c r="O20" s="203"/>
      <c r="P20" s="116"/>
      <c r="Q20" s="220"/>
      <c r="R20" s="223"/>
      <c r="S20" s="203"/>
    </row>
    <row r="21" spans="1:19" ht="13.2">
      <c r="A21" s="120" t="s">
        <v>191</v>
      </c>
      <c r="B21" s="39">
        <f>202+150+100</f>
        <v>452</v>
      </c>
      <c r="C21" s="39">
        <f>334+150</f>
        <v>484</v>
      </c>
      <c r="D21" s="39">
        <f>156+150</f>
        <v>306</v>
      </c>
      <c r="E21" s="122">
        <f t="shared" si="0"/>
        <v>936</v>
      </c>
      <c r="F21" s="113">
        <f t="shared" si="1"/>
        <v>0.32692307692307693</v>
      </c>
      <c r="H21" s="223"/>
      <c r="I21" s="202"/>
      <c r="J21" s="202"/>
      <c r="K21" s="203"/>
      <c r="L21" s="91"/>
      <c r="M21" s="223"/>
      <c r="N21" s="202"/>
      <c r="O21" s="203"/>
      <c r="P21" s="116"/>
      <c r="Q21" s="220"/>
      <c r="R21" s="223"/>
      <c r="S21" s="203"/>
    </row>
    <row r="22" spans="1:19" ht="13.2">
      <c r="A22" s="120" t="s">
        <v>192</v>
      </c>
      <c r="B22" s="39">
        <f>160+150+100</f>
        <v>410</v>
      </c>
      <c r="C22" s="39">
        <f>363+150</f>
        <v>513</v>
      </c>
      <c r="D22" s="39">
        <f>137+150</f>
        <v>287</v>
      </c>
      <c r="E22" s="122">
        <f t="shared" si="0"/>
        <v>923</v>
      </c>
      <c r="F22" s="113">
        <f t="shared" si="1"/>
        <v>0.31094257854821233</v>
      </c>
      <c r="H22" s="191"/>
      <c r="I22" s="192"/>
      <c r="J22" s="192"/>
      <c r="K22" s="193"/>
      <c r="L22" s="91"/>
      <c r="M22" s="191"/>
      <c r="N22" s="192"/>
      <c r="O22" s="193"/>
      <c r="P22" s="116"/>
      <c r="Q22" s="221"/>
      <c r="R22" s="191"/>
      <c r="S22" s="193"/>
    </row>
    <row r="23" spans="1:19" ht="13.2">
      <c r="A23" s="128"/>
      <c r="C23" s="114"/>
    </row>
    <row r="24" spans="1:19" ht="13.2">
      <c r="A24" s="213" t="s">
        <v>232</v>
      </c>
      <c r="B24" s="184"/>
      <c r="C24" s="184"/>
      <c r="D24" s="184"/>
      <c r="E24" s="184"/>
      <c r="F24" s="185"/>
      <c r="H24" s="242"/>
      <c r="I24" s="189"/>
      <c r="J24" s="189"/>
      <c r="K24" s="190"/>
      <c r="L24" s="91"/>
      <c r="M24" s="91"/>
      <c r="N24" s="91"/>
      <c r="O24" s="91"/>
    </row>
    <row r="25" spans="1:19" ht="13.2">
      <c r="A25" s="213" t="s">
        <v>233</v>
      </c>
      <c r="B25" s="184"/>
      <c r="C25" s="184"/>
      <c r="D25" s="184"/>
      <c r="E25" s="184"/>
      <c r="F25" s="185"/>
      <c r="H25" s="223"/>
      <c r="I25" s="202"/>
      <c r="J25" s="202"/>
      <c r="K25" s="203"/>
      <c r="L25" s="91"/>
      <c r="M25" s="224" t="s">
        <v>426</v>
      </c>
      <c r="N25" s="189"/>
      <c r="O25" s="190"/>
      <c r="Q25" s="225" t="s">
        <v>231</v>
      </c>
      <c r="R25" s="190"/>
      <c r="S25" s="226"/>
    </row>
    <row r="26" spans="1:19" ht="13.2">
      <c r="A26" s="8" t="s">
        <v>212</v>
      </c>
      <c r="B26" s="213" t="s">
        <v>174</v>
      </c>
      <c r="C26" s="184"/>
      <c r="D26" s="184"/>
      <c r="E26" s="184"/>
      <c r="F26" s="185"/>
      <c r="H26" s="223"/>
      <c r="I26" s="202"/>
      <c r="J26" s="202"/>
      <c r="K26" s="203"/>
      <c r="L26" s="91"/>
      <c r="M26" s="223"/>
      <c r="N26" s="202"/>
      <c r="O26" s="203"/>
      <c r="Q26" s="223"/>
      <c r="R26" s="203"/>
      <c r="S26" s="220"/>
    </row>
    <row r="27" spans="1:19" ht="26.4">
      <c r="A27" s="118" t="s">
        <v>213</v>
      </c>
      <c r="B27" s="119" t="s">
        <v>176</v>
      </c>
      <c r="C27" s="119" t="s">
        <v>177</v>
      </c>
      <c r="D27" s="119" t="s">
        <v>178</v>
      </c>
      <c r="E27" s="119" t="s">
        <v>179</v>
      </c>
      <c r="F27" s="119" t="s">
        <v>180</v>
      </c>
      <c r="G27" s="128"/>
      <c r="H27" s="223"/>
      <c r="I27" s="202"/>
      <c r="J27" s="202"/>
      <c r="K27" s="203"/>
      <c r="L27" s="91"/>
      <c r="M27" s="223"/>
      <c r="N27" s="202"/>
      <c r="O27" s="203"/>
      <c r="Q27" s="191"/>
      <c r="R27" s="193"/>
      <c r="S27" s="221"/>
    </row>
    <row r="28" spans="1:19" ht="13.8">
      <c r="A28" s="120" t="s">
        <v>186</v>
      </c>
      <c r="B28" s="39">
        <f>954+150+100</f>
        <v>1204</v>
      </c>
      <c r="C28" s="124">
        <v>200</v>
      </c>
      <c r="D28" s="123">
        <v>800</v>
      </c>
      <c r="E28" s="122">
        <f t="shared" ref="E28:E34" si="2">B28+C28</f>
        <v>1404</v>
      </c>
      <c r="F28" s="113">
        <f t="shared" ref="F28:F34" si="3">D28/E28</f>
        <v>0.56980056980056981</v>
      </c>
      <c r="H28" s="223"/>
      <c r="I28" s="202"/>
      <c r="J28" s="202"/>
      <c r="K28" s="203"/>
      <c r="L28" s="91"/>
      <c r="M28" s="223"/>
      <c r="N28" s="202"/>
      <c r="O28" s="203"/>
      <c r="Q28" s="109"/>
      <c r="R28" s="92"/>
      <c r="S28" s="110"/>
    </row>
    <row r="29" spans="1:19" ht="13.2">
      <c r="A29" s="120" t="s">
        <v>187</v>
      </c>
      <c r="B29" s="39">
        <f>540+150+100</f>
        <v>790</v>
      </c>
      <c r="C29" s="39">
        <f>223+150</f>
        <v>373</v>
      </c>
      <c r="D29" s="39">
        <f>277+150+200</f>
        <v>627</v>
      </c>
      <c r="E29" s="122">
        <f t="shared" si="2"/>
        <v>1163</v>
      </c>
      <c r="F29" s="113">
        <f t="shared" si="3"/>
        <v>0.5391229578675838</v>
      </c>
      <c r="H29" s="223"/>
      <c r="I29" s="202"/>
      <c r="J29" s="202"/>
      <c r="K29" s="203"/>
      <c r="L29" s="91"/>
      <c r="M29" s="223"/>
      <c r="N29" s="202"/>
      <c r="O29" s="203"/>
      <c r="Q29" s="219" t="s">
        <v>181</v>
      </c>
      <c r="R29" s="222"/>
      <c r="S29" s="190"/>
    </row>
    <row r="30" spans="1:19" ht="13.2">
      <c r="A30" s="120" t="s">
        <v>188</v>
      </c>
      <c r="B30" s="124">
        <v>620</v>
      </c>
      <c r="C30" s="39">
        <f>238+150</f>
        <v>388</v>
      </c>
      <c r="D30" s="39">
        <f>262+150+120</f>
        <v>532</v>
      </c>
      <c r="E30" s="122">
        <f t="shared" si="2"/>
        <v>1008</v>
      </c>
      <c r="F30" s="113">
        <f t="shared" si="3"/>
        <v>0.52777777777777779</v>
      </c>
      <c r="H30" s="223"/>
      <c r="I30" s="202"/>
      <c r="J30" s="202"/>
      <c r="K30" s="203"/>
      <c r="L30" s="91"/>
      <c r="M30" s="223"/>
      <c r="N30" s="202"/>
      <c r="O30" s="203"/>
      <c r="Q30" s="220"/>
      <c r="R30" s="223"/>
      <c r="S30" s="203"/>
    </row>
    <row r="31" spans="1:19" ht="13.2">
      <c r="A31" s="120" t="s">
        <v>189</v>
      </c>
      <c r="B31" s="124">
        <v>510</v>
      </c>
      <c r="C31" s="39">
        <f>272+150-50</f>
        <v>372</v>
      </c>
      <c r="D31" s="39">
        <f>228+150+80</f>
        <v>458</v>
      </c>
      <c r="E31" s="122">
        <f t="shared" si="2"/>
        <v>882</v>
      </c>
      <c r="F31" s="113">
        <f t="shared" si="3"/>
        <v>0.51927437641723351</v>
      </c>
      <c r="H31" s="223"/>
      <c r="I31" s="202"/>
      <c r="J31" s="202"/>
      <c r="K31" s="203"/>
      <c r="L31" s="91"/>
      <c r="M31" s="223"/>
      <c r="N31" s="202"/>
      <c r="O31" s="203"/>
      <c r="Q31" s="220"/>
      <c r="R31" s="223"/>
      <c r="S31" s="203"/>
    </row>
    <row r="32" spans="1:19" ht="13.2">
      <c r="A32" s="120" t="s">
        <v>190</v>
      </c>
      <c r="B32" s="124">
        <v>272</v>
      </c>
      <c r="C32" s="39">
        <f>291+150</f>
        <v>441</v>
      </c>
      <c r="D32" s="39">
        <f>209+150</f>
        <v>359</v>
      </c>
      <c r="E32" s="122">
        <f t="shared" si="2"/>
        <v>713</v>
      </c>
      <c r="F32" s="113">
        <f t="shared" si="3"/>
        <v>0.50350631136044877</v>
      </c>
      <c r="H32" s="223"/>
      <c r="I32" s="202"/>
      <c r="J32" s="202"/>
      <c r="K32" s="203"/>
      <c r="L32" s="91"/>
      <c r="M32" s="223"/>
      <c r="N32" s="202"/>
      <c r="O32" s="203"/>
      <c r="P32" s="116"/>
      <c r="Q32" s="220"/>
      <c r="R32" s="223"/>
      <c r="S32" s="203"/>
    </row>
    <row r="33" spans="1:19" ht="13.2">
      <c r="A33" s="120" t="s">
        <v>191</v>
      </c>
      <c r="B33" s="124">
        <v>135</v>
      </c>
      <c r="C33" s="39">
        <f>334+150</f>
        <v>484</v>
      </c>
      <c r="D33" s="39">
        <f>156+150</f>
        <v>306</v>
      </c>
      <c r="E33" s="122">
        <f t="shared" si="2"/>
        <v>619</v>
      </c>
      <c r="F33" s="113">
        <f t="shared" si="3"/>
        <v>0.49434571890145396</v>
      </c>
      <c r="H33" s="223"/>
      <c r="I33" s="202"/>
      <c r="J33" s="202"/>
      <c r="K33" s="203"/>
      <c r="L33" s="91"/>
      <c r="M33" s="223"/>
      <c r="N33" s="202"/>
      <c r="O33" s="203"/>
      <c r="P33" s="116"/>
      <c r="Q33" s="220"/>
      <c r="R33" s="223"/>
      <c r="S33" s="203"/>
    </row>
    <row r="34" spans="1:19" ht="13.2">
      <c r="A34" s="120" t="s">
        <v>192</v>
      </c>
      <c r="B34" s="124">
        <v>50</v>
      </c>
      <c r="C34" s="124">
        <v>590</v>
      </c>
      <c r="D34" s="124">
        <v>300</v>
      </c>
      <c r="E34" s="122">
        <f t="shared" si="2"/>
        <v>640</v>
      </c>
      <c r="F34" s="113">
        <f t="shared" si="3"/>
        <v>0.46875</v>
      </c>
      <c r="H34" s="191"/>
      <c r="I34" s="192"/>
      <c r="J34" s="192"/>
      <c r="K34" s="193"/>
      <c r="L34" s="91"/>
      <c r="M34" s="191"/>
      <c r="N34" s="192"/>
      <c r="O34" s="193"/>
      <c r="P34" s="116"/>
      <c r="Q34" s="221"/>
      <c r="R34" s="191"/>
      <c r="S34" s="193"/>
    </row>
    <row r="35" spans="1:19" ht="13.2">
      <c r="A35" s="128"/>
    </row>
    <row r="36" spans="1:19" ht="13.2">
      <c r="A36" s="213" t="s">
        <v>234</v>
      </c>
      <c r="B36" s="184"/>
      <c r="C36" s="184"/>
      <c r="D36" s="184"/>
      <c r="E36" s="184"/>
      <c r="F36" s="185"/>
      <c r="H36" s="242"/>
      <c r="I36" s="189"/>
      <c r="J36" s="189"/>
      <c r="K36" s="190"/>
      <c r="L36" s="91"/>
      <c r="M36" s="91"/>
      <c r="N36" s="91"/>
      <c r="O36" s="91"/>
    </row>
    <row r="37" spans="1:19" ht="13.2">
      <c r="A37" s="213" t="s">
        <v>235</v>
      </c>
      <c r="B37" s="184"/>
      <c r="C37" s="184"/>
      <c r="D37" s="184"/>
      <c r="E37" s="184"/>
      <c r="F37" s="185"/>
      <c r="H37" s="223"/>
      <c r="I37" s="202"/>
      <c r="J37" s="202"/>
      <c r="K37" s="203"/>
      <c r="L37" s="91"/>
      <c r="M37" s="224" t="s">
        <v>425</v>
      </c>
      <c r="N37" s="189"/>
      <c r="O37" s="190"/>
      <c r="Q37" s="225" t="s">
        <v>231</v>
      </c>
      <c r="R37" s="190"/>
      <c r="S37" s="226"/>
    </row>
    <row r="38" spans="1:19" ht="13.2">
      <c r="A38" s="8" t="s">
        <v>212</v>
      </c>
      <c r="B38" s="213" t="s">
        <v>174</v>
      </c>
      <c r="C38" s="184"/>
      <c r="D38" s="184"/>
      <c r="E38" s="184"/>
      <c r="F38" s="185"/>
      <c r="H38" s="223"/>
      <c r="I38" s="202"/>
      <c r="J38" s="202"/>
      <c r="K38" s="203"/>
      <c r="L38" s="91"/>
      <c r="M38" s="223"/>
      <c r="N38" s="202"/>
      <c r="O38" s="203"/>
      <c r="Q38" s="223"/>
      <c r="R38" s="203"/>
      <c r="S38" s="220"/>
    </row>
    <row r="39" spans="1:19" ht="26.4">
      <c r="A39" s="118" t="s">
        <v>236</v>
      </c>
      <c r="B39" s="119" t="s">
        <v>176</v>
      </c>
      <c r="C39" s="119" t="s">
        <v>177</v>
      </c>
      <c r="D39" s="119" t="s">
        <v>178</v>
      </c>
      <c r="E39" s="119" t="s">
        <v>179</v>
      </c>
      <c r="F39" s="119" t="s">
        <v>180</v>
      </c>
      <c r="G39" s="128"/>
      <c r="H39" s="223"/>
      <c r="I39" s="202"/>
      <c r="J39" s="202"/>
      <c r="K39" s="203"/>
      <c r="L39" s="91"/>
      <c r="M39" s="223"/>
      <c r="N39" s="202"/>
      <c r="O39" s="203"/>
      <c r="Q39" s="191"/>
      <c r="R39" s="193"/>
      <c r="S39" s="221"/>
    </row>
    <row r="40" spans="1:19" ht="13.8">
      <c r="A40" s="120" t="s">
        <v>186</v>
      </c>
      <c r="B40" s="39">
        <f>954-750+100</f>
        <v>304</v>
      </c>
      <c r="C40" s="39">
        <f>192+150</f>
        <v>342</v>
      </c>
      <c r="D40" s="121">
        <f>303+150</f>
        <v>453</v>
      </c>
      <c r="E40" s="122">
        <f t="shared" ref="E40:E46" si="4">B40+C40</f>
        <v>646</v>
      </c>
      <c r="F40" s="113">
        <f t="shared" ref="F40:F46" si="5">D40/E40</f>
        <v>0.70123839009287925</v>
      </c>
      <c r="H40" s="223"/>
      <c r="I40" s="202"/>
      <c r="J40" s="202"/>
      <c r="K40" s="203"/>
      <c r="L40" s="91"/>
      <c r="M40" s="223"/>
      <c r="N40" s="202"/>
      <c r="O40" s="203"/>
      <c r="Q40" s="109"/>
      <c r="R40" s="92"/>
      <c r="S40" s="110"/>
    </row>
    <row r="41" spans="1:19" ht="13.2">
      <c r="A41" s="120" t="s">
        <v>187</v>
      </c>
      <c r="B41" s="39">
        <f>540-370+100</f>
        <v>270</v>
      </c>
      <c r="C41" s="124">
        <v>360</v>
      </c>
      <c r="D41" s="39">
        <f>277+150</f>
        <v>427</v>
      </c>
      <c r="E41" s="122">
        <f t="shared" si="4"/>
        <v>630</v>
      </c>
      <c r="F41" s="113">
        <f t="shared" si="5"/>
        <v>0.67777777777777781</v>
      </c>
      <c r="H41" s="223"/>
      <c r="I41" s="202"/>
      <c r="J41" s="202"/>
      <c r="K41" s="203"/>
      <c r="L41" s="91"/>
      <c r="M41" s="223"/>
      <c r="N41" s="202"/>
      <c r="O41" s="203"/>
      <c r="Q41" s="219" t="s">
        <v>181</v>
      </c>
      <c r="R41" s="222"/>
      <c r="S41" s="190"/>
    </row>
    <row r="42" spans="1:19" ht="13.2">
      <c r="A42" s="120" t="s">
        <v>188</v>
      </c>
      <c r="B42" s="39">
        <f>402-250+100</f>
        <v>252</v>
      </c>
      <c r="C42" s="124">
        <v>370</v>
      </c>
      <c r="D42" s="39">
        <f>262+150</f>
        <v>412</v>
      </c>
      <c r="E42" s="122">
        <f t="shared" si="4"/>
        <v>622</v>
      </c>
      <c r="F42" s="113">
        <f t="shared" si="5"/>
        <v>0.66237942122186499</v>
      </c>
      <c r="H42" s="223"/>
      <c r="I42" s="202"/>
      <c r="J42" s="202"/>
      <c r="K42" s="203"/>
      <c r="L42" s="91"/>
      <c r="M42" s="223"/>
      <c r="N42" s="202"/>
      <c r="O42" s="203"/>
      <c r="Q42" s="220"/>
      <c r="R42" s="223"/>
      <c r="S42" s="203"/>
    </row>
    <row r="43" spans="1:19" ht="13.2">
      <c r="A43" s="120" t="s">
        <v>189</v>
      </c>
      <c r="B43" s="39">
        <f>310-200+100</f>
        <v>210</v>
      </c>
      <c r="C43" s="124">
        <v>380</v>
      </c>
      <c r="D43" s="39">
        <f>228+150</f>
        <v>378</v>
      </c>
      <c r="E43" s="122">
        <f t="shared" si="4"/>
        <v>590</v>
      </c>
      <c r="F43" s="113">
        <f t="shared" si="5"/>
        <v>0.64067796610169492</v>
      </c>
      <c r="H43" s="223"/>
      <c r="I43" s="202"/>
      <c r="J43" s="202"/>
      <c r="K43" s="203"/>
      <c r="L43" s="91"/>
      <c r="M43" s="223"/>
      <c r="N43" s="202"/>
      <c r="O43" s="203"/>
      <c r="Q43" s="220"/>
      <c r="R43" s="223"/>
      <c r="S43" s="203"/>
    </row>
    <row r="44" spans="1:19" ht="13.2">
      <c r="A44" s="120" t="s">
        <v>190</v>
      </c>
      <c r="B44" s="124">
        <f>90+100</f>
        <v>190</v>
      </c>
      <c r="C44" s="124">
        <v>520</v>
      </c>
      <c r="D44" s="39">
        <f>209+150</f>
        <v>359</v>
      </c>
      <c r="E44" s="122">
        <f t="shared" si="4"/>
        <v>710</v>
      </c>
      <c r="F44" s="113">
        <f t="shared" si="5"/>
        <v>0.5056338028169014</v>
      </c>
      <c r="H44" s="223"/>
      <c r="I44" s="202"/>
      <c r="J44" s="202"/>
      <c r="K44" s="203"/>
      <c r="L44" s="91"/>
      <c r="M44" s="223"/>
      <c r="N44" s="202"/>
      <c r="O44" s="203"/>
      <c r="P44" s="116"/>
      <c r="Q44" s="220"/>
      <c r="R44" s="223"/>
      <c r="S44" s="203"/>
    </row>
    <row r="45" spans="1:19" ht="13.2">
      <c r="A45" s="120" t="s">
        <v>191</v>
      </c>
      <c r="B45" s="124">
        <f>65+100</f>
        <v>165</v>
      </c>
      <c r="C45" s="124">
        <v>650</v>
      </c>
      <c r="D45" s="39">
        <f>156+150</f>
        <v>306</v>
      </c>
      <c r="E45" s="122">
        <f t="shared" si="4"/>
        <v>815</v>
      </c>
      <c r="F45" s="113">
        <f t="shared" si="5"/>
        <v>0.3754601226993865</v>
      </c>
      <c r="H45" s="223"/>
      <c r="I45" s="202"/>
      <c r="J45" s="202"/>
      <c r="K45" s="203"/>
      <c r="L45" s="91"/>
      <c r="M45" s="223"/>
      <c r="N45" s="202"/>
      <c r="O45" s="203"/>
      <c r="P45" s="116"/>
      <c r="Q45" s="220"/>
      <c r="R45" s="223"/>
      <c r="S45" s="203"/>
    </row>
    <row r="46" spans="1:19" ht="13.2">
      <c r="A46" s="120" t="s">
        <v>192</v>
      </c>
      <c r="B46" s="124">
        <f>30+100</f>
        <v>130</v>
      </c>
      <c r="C46" s="124">
        <v>874</v>
      </c>
      <c r="D46" s="39">
        <f>137+150</f>
        <v>287</v>
      </c>
      <c r="E46" s="122">
        <f t="shared" si="4"/>
        <v>1004</v>
      </c>
      <c r="F46" s="113">
        <f t="shared" si="5"/>
        <v>0.28585657370517931</v>
      </c>
      <c r="H46" s="191"/>
      <c r="I46" s="192"/>
      <c r="J46" s="192"/>
      <c r="K46" s="193"/>
      <c r="L46" s="91"/>
      <c r="M46" s="191"/>
      <c r="N46" s="192"/>
      <c r="O46" s="193"/>
      <c r="P46" s="116"/>
      <c r="Q46" s="221"/>
      <c r="R46" s="191"/>
      <c r="S46" s="193"/>
    </row>
    <row r="47" spans="1:19" ht="13.2">
      <c r="A47" s="128"/>
    </row>
    <row r="48" spans="1:19" ht="13.2">
      <c r="A48" s="128"/>
      <c r="R48" s="126" t="s">
        <v>196</v>
      </c>
      <c r="S48" s="126" t="s">
        <v>197</v>
      </c>
    </row>
    <row r="49" spans="1:19" ht="13.8">
      <c r="A49" s="128"/>
      <c r="B49" s="114"/>
      <c r="C49" s="114"/>
      <c r="D49" s="108"/>
      <c r="E49" s="130"/>
      <c r="F49" s="131"/>
      <c r="P49" s="225" t="s">
        <v>237</v>
      </c>
      <c r="Q49" s="190"/>
      <c r="R49" s="227"/>
      <c r="S49" s="227"/>
    </row>
    <row r="50" spans="1:19" ht="13.2">
      <c r="A50" s="128"/>
      <c r="B50" s="114"/>
      <c r="C50" s="132"/>
      <c r="D50" s="114"/>
      <c r="E50" s="130"/>
      <c r="F50" s="131"/>
      <c r="P50" s="223"/>
      <c r="Q50" s="203"/>
      <c r="R50" s="220"/>
      <c r="S50" s="220"/>
    </row>
    <row r="51" spans="1:19" ht="13.2">
      <c r="A51" s="128"/>
      <c r="B51" s="114"/>
      <c r="C51" s="132"/>
      <c r="D51" s="114"/>
      <c r="E51" s="130"/>
      <c r="F51" s="131"/>
      <c r="P51" s="223"/>
      <c r="Q51" s="203"/>
      <c r="R51" s="220"/>
      <c r="S51" s="220"/>
    </row>
    <row r="52" spans="1:19" ht="13.2">
      <c r="A52" s="128"/>
      <c r="B52" s="114"/>
      <c r="C52" s="132"/>
      <c r="D52" s="114"/>
      <c r="E52" s="130"/>
      <c r="F52" s="131"/>
      <c r="P52" s="223"/>
      <c r="Q52" s="203"/>
      <c r="R52" s="220"/>
      <c r="S52" s="220"/>
    </row>
    <row r="53" spans="1:19" ht="13.2">
      <c r="A53" s="128"/>
      <c r="B53" s="132"/>
      <c r="C53" s="132"/>
      <c r="D53" s="114"/>
      <c r="E53" s="130"/>
      <c r="F53" s="131"/>
      <c r="P53" s="223"/>
      <c r="Q53" s="203"/>
      <c r="R53" s="220"/>
      <c r="S53" s="220"/>
    </row>
    <row r="54" spans="1:19" ht="13.2">
      <c r="A54" s="128"/>
      <c r="B54" s="132"/>
      <c r="C54" s="132"/>
      <c r="D54" s="114"/>
      <c r="E54" s="130"/>
      <c r="F54" s="131"/>
      <c r="P54" s="191"/>
      <c r="Q54" s="193"/>
      <c r="R54" s="221"/>
      <c r="S54" s="221"/>
    </row>
    <row r="55" spans="1:19" ht="13.2">
      <c r="A55" s="128"/>
      <c r="B55" s="132"/>
      <c r="C55" s="132"/>
      <c r="D55" s="114"/>
      <c r="E55" s="130"/>
      <c r="F55" s="131"/>
      <c r="Q55" s="92"/>
      <c r="R55" s="92"/>
      <c r="S55" s="92"/>
    </row>
    <row r="56" spans="1:19" ht="13.2">
      <c r="A56" s="128"/>
      <c r="Q56" s="92"/>
      <c r="R56" s="92"/>
      <c r="S56" s="92"/>
    </row>
    <row r="57" spans="1:19" ht="13.2">
      <c r="A57" s="128"/>
      <c r="Q57" s="219" t="s">
        <v>238</v>
      </c>
      <c r="R57" s="222"/>
      <c r="S57" s="190"/>
    </row>
    <row r="58" spans="1:19" ht="13.2">
      <c r="A58" s="128"/>
      <c r="Q58" s="220"/>
      <c r="R58" s="223"/>
      <c r="S58" s="203"/>
    </row>
    <row r="59" spans="1:19" ht="13.2">
      <c r="A59" s="128"/>
      <c r="Q59" s="220"/>
      <c r="R59" s="223"/>
      <c r="S59" s="203"/>
    </row>
    <row r="60" spans="1:19" ht="13.2">
      <c r="A60" s="128"/>
      <c r="Q60" s="220"/>
      <c r="R60" s="223"/>
      <c r="S60" s="203"/>
    </row>
    <row r="61" spans="1:19" ht="13.2">
      <c r="A61" s="128"/>
      <c r="Q61" s="220"/>
      <c r="R61" s="223"/>
      <c r="S61" s="203"/>
    </row>
    <row r="62" spans="1:19" ht="13.2">
      <c r="A62" s="128"/>
      <c r="Q62" s="221"/>
      <c r="R62" s="191"/>
      <c r="S62" s="193"/>
    </row>
  </sheetData>
  <mergeCells count="43">
    <mergeCell ref="R49:R54"/>
    <mergeCell ref="S49:S54"/>
    <mergeCell ref="Q57:Q62"/>
    <mergeCell ref="R57:S62"/>
    <mergeCell ref="Q17:Q22"/>
    <mergeCell ref="Q29:Q34"/>
    <mergeCell ref="Q37:R39"/>
    <mergeCell ref="S37:S39"/>
    <mergeCell ref="Q41:Q46"/>
    <mergeCell ref="R41:S46"/>
    <mergeCell ref="P49:Q54"/>
    <mergeCell ref="A1:S1"/>
    <mergeCell ref="A2:J2"/>
    <mergeCell ref="A3:J3"/>
    <mergeCell ref="A4:J4"/>
    <mergeCell ref="A5:J5"/>
    <mergeCell ref="A6:J6"/>
    <mergeCell ref="A7:J7"/>
    <mergeCell ref="B14:F14"/>
    <mergeCell ref="A24:F24"/>
    <mergeCell ref="A13:F13"/>
    <mergeCell ref="A8:J8"/>
    <mergeCell ref="A9:J9"/>
    <mergeCell ref="A10:J10"/>
    <mergeCell ref="A11:I11"/>
    <mergeCell ref="A12:F12"/>
    <mergeCell ref="A25:F25"/>
    <mergeCell ref="M13:O22"/>
    <mergeCell ref="Q13:R15"/>
    <mergeCell ref="S13:S15"/>
    <mergeCell ref="R17:S22"/>
    <mergeCell ref="M25:O34"/>
    <mergeCell ref="Q25:R27"/>
    <mergeCell ref="S25:S27"/>
    <mergeCell ref="R29:S34"/>
    <mergeCell ref="B26:F26"/>
    <mergeCell ref="H12:K22"/>
    <mergeCell ref="H24:K34"/>
    <mergeCell ref="A36:F36"/>
    <mergeCell ref="H36:K46"/>
    <mergeCell ref="A37:F37"/>
    <mergeCell ref="M37:O46"/>
    <mergeCell ref="B38:F3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9"/>
  <sheetViews>
    <sheetView topLeftCell="B1" workbookViewId="0">
      <selection activeCell="B17" sqref="B17"/>
    </sheetView>
  </sheetViews>
  <sheetFormatPr defaultColWidth="14.44140625" defaultRowHeight="15.75" customHeight="1"/>
  <cols>
    <col min="1" max="1" width="75.88671875" customWidth="1"/>
    <col min="2" max="3" width="56.6640625" customWidth="1"/>
    <col min="4" max="4" width="79.6640625" customWidth="1"/>
  </cols>
  <sheetData>
    <row r="1" spans="1:4" ht="37.799999999999997">
      <c r="A1" s="217" t="s">
        <v>20</v>
      </c>
      <c r="B1" s="185"/>
      <c r="C1" s="133"/>
      <c r="D1" s="134" t="s">
        <v>239</v>
      </c>
    </row>
    <row r="2" spans="1:4" ht="13.2">
      <c r="A2" s="218" t="s">
        <v>240</v>
      </c>
      <c r="B2" s="185"/>
      <c r="C2" s="91"/>
      <c r="D2" s="135" t="str">
        <f>'Tab 3 - Activation Hypothesis'!A17</f>
        <v>Moment that lead to Habit:</v>
      </c>
    </row>
    <row r="3" spans="1:4" ht="13.2">
      <c r="A3" s="214" t="s">
        <v>241</v>
      </c>
      <c r="B3" s="203"/>
      <c r="C3" s="87"/>
      <c r="D3" s="136" t="str">
        <f>CONCATENATE('Tab 3 - Activation Hypothesis'!A18," ",'Tab 3 - Activation Hypothesis'!B18)</f>
        <v>1 Only use Slack, not email, for internal messages</v>
      </c>
    </row>
    <row r="4" spans="1:4" ht="13.2">
      <c r="A4" s="91"/>
      <c r="B4" s="91"/>
      <c r="C4" s="91"/>
      <c r="D4" s="136" t="str">
        <f>CONCATENATE('Tab 3 - Activation Hypothesis'!A19," ",'Tab 3 - Activation Hypothesis'!B19)</f>
        <v xml:space="preserve">2 Use Slack for mass messaging </v>
      </c>
    </row>
    <row r="5" spans="1:4" ht="13.2">
      <c r="A5" s="197" t="s">
        <v>242</v>
      </c>
      <c r="B5" s="193"/>
      <c r="C5" s="91"/>
      <c r="D5" s="136" t="str">
        <f>CONCATENATE('Tab 3 - Activation Hypothesis'!A20," ",'Tab 3 - Activation Hypothesis'!B20)</f>
        <v xml:space="preserve">3 Only use Slack for meetings and 'workshops', instead of Zoom nor Skype </v>
      </c>
    </row>
    <row r="6" spans="1:4" ht="13.2">
      <c r="A6" s="212" t="s">
        <v>243</v>
      </c>
      <c r="B6" s="185"/>
      <c r="C6" s="137"/>
      <c r="D6" s="136" t="str">
        <f>CONCATENATE('Tab 3 - Activation Hypothesis'!A21," ",'Tab 3 - Activation Hypothesis'!B21)</f>
        <v xml:space="preserve">4 Use Slack Chatbots for any special announcements </v>
      </c>
    </row>
    <row r="7" spans="1:4" ht="13.2">
      <c r="A7" s="243" t="s">
        <v>244</v>
      </c>
      <c r="B7" s="185"/>
      <c r="C7" s="93"/>
      <c r="D7" s="136" t="str">
        <f>CONCATENATE('Tab 3 - Activation Hypothesis'!A22," ",'Tab 3 - Activation Hypothesis'!B22)</f>
        <v>5 Create as many channels/groups that are beneficial to the goals</v>
      </c>
    </row>
    <row r="8" spans="1:4" ht="13.2">
      <c r="A8" s="243" t="s">
        <v>245</v>
      </c>
      <c r="B8" s="185"/>
      <c r="C8" s="93"/>
      <c r="D8" s="135" t="str">
        <f>'Tab 3 - Activation Hypothesis'!A23</f>
        <v>Moment that lead to Aha:</v>
      </c>
    </row>
    <row r="9" spans="1:4" ht="13.2">
      <c r="A9" s="243" t="s">
        <v>246</v>
      </c>
      <c r="B9" s="185"/>
      <c r="C9" s="93"/>
      <c r="D9" s="136" t="str">
        <f>CONCATENATE('Tab 3 - Activation Hypothesis'!A24," ",'Tab 3 - Activation Hypothesis'!B24)</f>
        <v>1 Getting notifications from team on a group channel</v>
      </c>
    </row>
    <row r="10" spans="1:4" ht="13.2">
      <c r="A10" s="244" t="s">
        <v>247</v>
      </c>
      <c r="B10" s="202"/>
      <c r="C10" s="98"/>
      <c r="D10" s="136" t="str">
        <f>CONCATENATE('Tab 3 - Activation Hypothesis'!A25," ",'Tab 3 - Activation Hypothesis'!B25)</f>
        <v xml:space="preserve">2 Having a very active participation on slack workshops and meetings </v>
      </c>
    </row>
    <row r="11" spans="1:4" ht="13.2">
      <c r="A11" s="138" t="s">
        <v>153</v>
      </c>
      <c r="B11" s="138" t="s">
        <v>248</v>
      </c>
      <c r="C11" s="138" t="s">
        <v>249</v>
      </c>
      <c r="D11" s="136" t="str">
        <f>CONCATENATE('Tab 3 - Activation Hypothesis'!A26," ",'Tab 3 - Activation Hypothesis'!B26)</f>
        <v>3 Having very active staff members use the platform</v>
      </c>
    </row>
    <row r="12" spans="1:4" ht="54.75" customHeight="1">
      <c r="A12" s="139">
        <f>'Tab 4 - Habit Moment and Metric'!R51</f>
        <v>1</v>
      </c>
      <c r="B12" s="139">
        <f>'Tab 4 - Habit Moment and Metric'!S51</f>
        <v>2</v>
      </c>
      <c r="C12" s="140"/>
      <c r="D12" s="136" t="str">
        <f>CONCATENATE('Tab 3 - Activation Hypothesis'!A27," ",'Tab 3 - Activation Hypothesis'!B27)</f>
        <v xml:space="preserve">4 Getting automated responses via email and mobile phone </v>
      </c>
    </row>
    <row r="13" spans="1:4" ht="13.2">
      <c r="A13" s="138" t="s">
        <v>155</v>
      </c>
      <c r="B13" s="138" t="s">
        <v>250</v>
      </c>
      <c r="C13" s="138"/>
      <c r="D13" s="136" t="str">
        <f>CONCATENATE('Tab 3 - Activation Hypothesis'!A28," ",'Tab 3 - Activation Hypothesis'!B28)</f>
        <v>5 Receiving an email or mobile notification regarding a response from a thread</v>
      </c>
    </row>
    <row r="14" spans="1:4" ht="72" customHeight="1">
      <c r="A14" s="139">
        <f>'Tab 5 - Aha Moment and Metric A'!R50</f>
        <v>1</v>
      </c>
      <c r="B14" s="139">
        <f>'Tab 5 - Aha Moment and Metric A'!S50</f>
        <v>1</v>
      </c>
      <c r="C14" s="140"/>
      <c r="D14" s="141" t="str">
        <f>'Tab 3 - Activation Hypothesis'!A29</f>
        <v>Moment that lead to Setup:</v>
      </c>
    </row>
    <row r="15" spans="1:4" ht="13.2">
      <c r="A15" s="138" t="s">
        <v>251</v>
      </c>
      <c r="B15" s="138" t="s">
        <v>252</v>
      </c>
      <c r="C15" s="138"/>
      <c r="D15" s="136" t="str">
        <f>CONCATENATE('Tab 3 - Activation Hypothesis'!A30," ",'Tab 3 - Activation Hypothesis'!B30)</f>
        <v>1 Engage in a frequency faster than email while being mobile</v>
      </c>
    </row>
    <row r="16" spans="1:4" ht="75" customHeight="1">
      <c r="A16" s="142">
        <f>'Tab 6 - Setup Moment and Metric'!R49</f>
        <v>0</v>
      </c>
      <c r="B16" s="142">
        <f>'Tab 6 - Setup Moment and Metric'!S49</f>
        <v>0</v>
      </c>
      <c r="C16" s="143"/>
      <c r="D16" s="136" t="str">
        <f>CONCATENATE('Tab 3 - Activation Hypothesis'!A31," ",'Tab 3 - Activation Hypothesis'!B31)</f>
        <v xml:space="preserve">2 Use as a reliable workshop platform for weekly meetings </v>
      </c>
    </row>
    <row r="17" spans="1:4" ht="21.75" customHeight="1">
      <c r="A17" s="144"/>
      <c r="B17" s="144"/>
      <c r="C17" s="144"/>
      <c r="D17" s="136" t="str">
        <f>CONCATENATE('Tab 3 - Activation Hypothesis'!A32," ",'Tab 3 - Activation Hypothesis'!B32)</f>
        <v>3 Constantly engage in collaborations eitehr thru mobile or web app</v>
      </c>
    </row>
    <row r="18" spans="1:4" ht="21.75" customHeight="1">
      <c r="A18" s="144"/>
      <c r="B18" s="144"/>
      <c r="C18" s="144"/>
      <c r="D18" s="136" t="str">
        <f>CONCATENATE('Tab 3 - Activation Hypothesis'!A33," ",'Tab 3 - Activation Hypothesis'!B33)</f>
        <v xml:space="preserve">4 Receive fast notifications via email or sms </v>
      </c>
    </row>
    <row r="19" spans="1:4" ht="21.75" customHeight="1">
      <c r="A19" s="144"/>
      <c r="B19" s="144"/>
      <c r="C19" s="144"/>
      <c r="D19" s="136" t="str">
        <f>CONCATENATE('Tab 3 - Activation Hypothesis'!A34," ",'Tab 3 - Activation Hypothesis'!B34)</f>
        <v>5 Switch from instant messaging to group virtural meetings,… all on the same platform</v>
      </c>
    </row>
  </sheetData>
  <mergeCells count="9">
    <mergeCell ref="A9:B9"/>
    <mergeCell ref="A10:B10"/>
    <mergeCell ref="A1:B1"/>
    <mergeCell ref="A2:B2"/>
    <mergeCell ref="A3:B3"/>
    <mergeCell ref="A5:B5"/>
    <mergeCell ref="A6:B6"/>
    <mergeCell ref="A7:B7"/>
    <mergeCell ref="A8:B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8"/>
  <sheetViews>
    <sheetView showGridLines="0" topLeftCell="A25" workbookViewId="0">
      <selection activeCell="J82" sqref="J82"/>
    </sheetView>
  </sheetViews>
  <sheetFormatPr defaultColWidth="14.44140625" defaultRowHeight="15.75" customHeight="1"/>
  <cols>
    <col min="1" max="1" width="18.5546875" customWidth="1"/>
    <col min="2" max="2" width="11" customWidth="1"/>
    <col min="3" max="3" width="15" customWidth="1"/>
    <col min="4" max="4" width="19.6640625" customWidth="1"/>
    <col min="5" max="5" width="13.109375" customWidth="1"/>
    <col min="6" max="6" width="19.44140625" customWidth="1"/>
    <col min="7" max="7" width="14.5546875" customWidth="1"/>
    <col min="8" max="8" width="17.77734375" customWidth="1"/>
  </cols>
  <sheetData>
    <row r="1" spans="1:14" ht="37.799999999999997">
      <c r="A1" s="217" t="s">
        <v>22</v>
      </c>
      <c r="B1" s="184"/>
      <c r="C1" s="184"/>
      <c r="D1" s="184"/>
      <c r="E1" s="184"/>
      <c r="F1" s="184"/>
      <c r="G1" s="184"/>
      <c r="H1" s="184"/>
      <c r="I1" s="184"/>
      <c r="J1" s="184"/>
      <c r="K1" s="184"/>
      <c r="L1" s="184"/>
      <c r="M1" s="184"/>
      <c r="N1" s="185"/>
    </row>
    <row r="2" spans="1:14" ht="13.2">
      <c r="A2" s="218" t="s">
        <v>253</v>
      </c>
      <c r="B2" s="184"/>
      <c r="C2" s="184"/>
      <c r="D2" s="184"/>
      <c r="E2" s="184"/>
      <c r="F2" s="184"/>
      <c r="G2" s="184"/>
      <c r="H2" s="184"/>
      <c r="I2" s="184"/>
      <c r="J2" s="185"/>
      <c r="M2" s="145"/>
      <c r="N2" s="145"/>
    </row>
    <row r="3" spans="1:14" ht="13.2">
      <c r="A3" s="195" t="s">
        <v>254</v>
      </c>
      <c r="B3" s="192"/>
      <c r="C3" s="192"/>
      <c r="D3" s="192"/>
      <c r="E3" s="192"/>
      <c r="F3" s="192"/>
      <c r="G3" s="192"/>
      <c r="H3" s="192"/>
      <c r="I3" s="192"/>
      <c r="J3" s="193"/>
      <c r="M3" s="145"/>
      <c r="N3" s="145"/>
    </row>
    <row r="4" spans="1:14" ht="13.2">
      <c r="A4" s="195" t="s">
        <v>255</v>
      </c>
      <c r="B4" s="192"/>
      <c r="C4" s="192"/>
      <c r="D4" s="192"/>
      <c r="E4" s="192"/>
      <c r="F4" s="192"/>
      <c r="G4" s="192"/>
      <c r="H4" s="192"/>
      <c r="I4" s="192"/>
      <c r="J4" s="193"/>
      <c r="M4" s="145"/>
      <c r="N4" s="145"/>
    </row>
    <row r="5" spans="1:14" ht="13.2">
      <c r="A5" s="195" t="s">
        <v>256</v>
      </c>
      <c r="B5" s="192"/>
      <c r="C5" s="192"/>
      <c r="D5" s="192"/>
      <c r="E5" s="192"/>
      <c r="F5" s="192"/>
      <c r="G5" s="192"/>
      <c r="H5" s="192"/>
      <c r="I5" s="192"/>
      <c r="J5" s="193"/>
      <c r="M5" s="145"/>
      <c r="N5" s="145"/>
    </row>
    <row r="6" spans="1:14" ht="13.2">
      <c r="A6" s="218" t="s">
        <v>257</v>
      </c>
      <c r="B6" s="184"/>
      <c r="C6" s="184"/>
      <c r="D6" s="184"/>
      <c r="E6" s="184"/>
      <c r="F6" s="184"/>
      <c r="G6" s="184"/>
      <c r="H6" s="184"/>
      <c r="I6" s="184"/>
      <c r="J6" s="185"/>
      <c r="M6" s="145"/>
      <c r="N6" s="145"/>
    </row>
    <row r="7" spans="1:14" ht="13.2">
      <c r="A7" s="212" t="s">
        <v>258</v>
      </c>
      <c r="B7" s="184"/>
      <c r="C7" s="184"/>
      <c r="D7" s="184"/>
      <c r="E7" s="184"/>
      <c r="F7" s="184"/>
      <c r="G7" s="184"/>
      <c r="H7" s="184"/>
      <c r="I7" s="184"/>
      <c r="J7" s="185"/>
      <c r="M7" s="145"/>
      <c r="N7" s="145"/>
    </row>
    <row r="8" spans="1:14" ht="13.2">
      <c r="A8" s="215" t="s">
        <v>259</v>
      </c>
      <c r="B8" s="184"/>
      <c r="C8" s="184"/>
      <c r="D8" s="184"/>
      <c r="E8" s="184"/>
      <c r="F8" s="184"/>
      <c r="G8" s="184"/>
      <c r="H8" s="184"/>
      <c r="I8" s="184"/>
      <c r="J8" s="185"/>
      <c r="M8" s="145"/>
      <c r="N8" s="145"/>
    </row>
    <row r="9" spans="1:14" ht="13.2">
      <c r="A9" s="215" t="s">
        <v>260</v>
      </c>
      <c r="B9" s="184"/>
      <c r="C9" s="184"/>
      <c r="D9" s="184"/>
      <c r="E9" s="184"/>
      <c r="F9" s="184"/>
      <c r="G9" s="184"/>
      <c r="H9" s="184"/>
      <c r="I9" s="184"/>
      <c r="J9" s="185"/>
      <c r="M9" s="145"/>
      <c r="N9" s="145"/>
    </row>
    <row r="10" spans="1:14" ht="13.2">
      <c r="A10" s="241" t="s">
        <v>261</v>
      </c>
      <c r="B10" s="184"/>
      <c r="C10" s="184"/>
      <c r="D10" s="184"/>
      <c r="E10" s="184"/>
      <c r="F10" s="184"/>
      <c r="G10" s="184"/>
      <c r="H10" s="184"/>
      <c r="I10" s="184"/>
      <c r="J10" s="185"/>
      <c r="M10" s="145"/>
      <c r="N10" s="145"/>
    </row>
    <row r="11" spans="1:14" ht="13.2">
      <c r="A11" s="241" t="s">
        <v>262</v>
      </c>
      <c r="B11" s="184"/>
      <c r="C11" s="184"/>
      <c r="D11" s="184"/>
      <c r="E11" s="184"/>
      <c r="F11" s="184"/>
      <c r="G11" s="184"/>
      <c r="H11" s="184"/>
      <c r="I11" s="184"/>
      <c r="J11" s="185"/>
      <c r="M11" s="145"/>
      <c r="N11" s="145"/>
    </row>
    <row r="12" spans="1:14" ht="13.2">
      <c r="A12" s="241" t="s">
        <v>263</v>
      </c>
      <c r="B12" s="184"/>
      <c r="C12" s="184"/>
      <c r="D12" s="184"/>
      <c r="E12" s="184"/>
      <c r="F12" s="184"/>
      <c r="G12" s="184"/>
      <c r="H12" s="184"/>
      <c r="I12" s="184"/>
      <c r="J12" s="185"/>
      <c r="M12" s="145"/>
      <c r="N12" s="145"/>
    </row>
    <row r="13" spans="1:14" ht="13.2">
      <c r="A13" s="241" t="s">
        <v>264</v>
      </c>
      <c r="B13" s="184"/>
      <c r="C13" s="184"/>
      <c r="D13" s="184"/>
      <c r="E13" s="184"/>
      <c r="F13" s="184"/>
      <c r="G13" s="184"/>
      <c r="H13" s="184"/>
      <c r="I13" s="184"/>
      <c r="J13" s="185"/>
      <c r="M13" s="145"/>
      <c r="N13" s="145"/>
    </row>
    <row r="14" spans="1:14" ht="13.2">
      <c r="A14" s="241" t="s">
        <v>265</v>
      </c>
      <c r="B14" s="184"/>
      <c r="C14" s="184"/>
      <c r="D14" s="184"/>
      <c r="E14" s="184"/>
      <c r="F14" s="184"/>
      <c r="G14" s="184"/>
      <c r="H14" s="184"/>
      <c r="I14" s="184"/>
      <c r="J14" s="185"/>
      <c r="M14" s="145"/>
      <c r="N14" s="145"/>
    </row>
    <row r="15" spans="1:14" ht="13.2">
      <c r="A15" s="252" t="s">
        <v>266</v>
      </c>
      <c r="B15" s="202"/>
      <c r="C15" s="202"/>
      <c r="D15" s="202"/>
      <c r="E15" s="202"/>
      <c r="F15" s="202"/>
      <c r="G15" s="202"/>
      <c r="H15" s="202"/>
      <c r="I15" s="202"/>
      <c r="J15" s="202"/>
      <c r="K15" s="98"/>
      <c r="L15" s="145"/>
      <c r="M15" s="145"/>
      <c r="N15" s="145"/>
    </row>
    <row r="16" spans="1:14" ht="15">
      <c r="A16" s="250" t="s">
        <v>267</v>
      </c>
      <c r="B16" s="184"/>
      <c r="C16" s="184"/>
      <c r="D16" s="184"/>
      <c r="E16" s="184"/>
      <c r="F16" s="184"/>
      <c r="G16" s="184"/>
      <c r="H16" s="184"/>
      <c r="I16" s="185"/>
      <c r="J16" s="146"/>
      <c r="K16" s="251" t="s">
        <v>69</v>
      </c>
      <c r="L16" s="202"/>
      <c r="M16" s="202"/>
      <c r="N16" s="202"/>
    </row>
    <row r="17" spans="1:14" ht="30">
      <c r="A17" s="147" t="s">
        <v>268</v>
      </c>
      <c r="B17" s="147" t="s">
        <v>269</v>
      </c>
      <c r="C17" s="250" t="s">
        <v>20</v>
      </c>
      <c r="D17" s="184"/>
      <c r="E17" s="184"/>
      <c r="F17" s="184"/>
      <c r="G17" s="185"/>
      <c r="H17" s="247" t="s">
        <v>270</v>
      </c>
      <c r="I17" s="248" t="s">
        <v>271</v>
      </c>
      <c r="J17" s="146"/>
      <c r="K17" s="202"/>
      <c r="L17" s="202"/>
      <c r="M17" s="202"/>
      <c r="N17" s="202"/>
    </row>
    <row r="18" spans="1:14" ht="15">
      <c r="A18" s="148" t="s">
        <v>272</v>
      </c>
      <c r="B18" s="149">
        <f>SUM(B19:B26)</f>
        <v>920.6</v>
      </c>
      <c r="C18" s="150" t="s">
        <v>273</v>
      </c>
      <c r="D18" s="150" t="s">
        <v>274</v>
      </c>
      <c r="E18" s="150" t="s">
        <v>275</v>
      </c>
      <c r="F18" s="150" t="s">
        <v>276</v>
      </c>
      <c r="G18" s="150" t="s">
        <v>277</v>
      </c>
      <c r="H18" s="221"/>
      <c r="I18" s="221"/>
      <c r="J18" s="146"/>
      <c r="K18" s="249"/>
      <c r="L18" s="189"/>
      <c r="M18" s="189"/>
      <c r="N18" s="190"/>
    </row>
    <row r="19" spans="1:14" ht="15">
      <c r="A19" s="151" t="s">
        <v>278</v>
      </c>
      <c r="B19" s="152">
        <f>310*0.9</f>
        <v>279</v>
      </c>
      <c r="C19" s="153">
        <v>0.85</v>
      </c>
      <c r="D19" s="154">
        <v>0.92</v>
      </c>
      <c r="E19" s="155">
        <v>0.78</v>
      </c>
      <c r="F19" s="154">
        <v>0.87</v>
      </c>
      <c r="G19" s="156">
        <v>0.68</v>
      </c>
      <c r="H19" s="157">
        <v>126</v>
      </c>
      <c r="I19" s="158">
        <v>0.45</v>
      </c>
      <c r="J19" s="146"/>
      <c r="K19" s="223"/>
      <c r="L19" s="202"/>
      <c r="M19" s="202"/>
      <c r="N19" s="203"/>
    </row>
    <row r="20" spans="1:14" ht="15">
      <c r="A20" s="151" t="s">
        <v>279</v>
      </c>
      <c r="B20" s="152">
        <f>206*0.8</f>
        <v>164.8</v>
      </c>
      <c r="C20" s="159">
        <v>0.76</v>
      </c>
      <c r="D20" s="181">
        <f t="shared" ref="D20:D27" si="0">E20/C20</f>
        <v>0.9078947368421052</v>
      </c>
      <c r="E20" s="161">
        <v>0.69</v>
      </c>
      <c r="F20" s="181">
        <f t="shared" ref="F20:F27" si="1">G20/E20</f>
        <v>0.91304347826086962</v>
      </c>
      <c r="G20" s="162">
        <v>0.63</v>
      </c>
      <c r="H20" s="160">
        <f t="shared" ref="H20:H27" si="2">B20*C20*E20*G20</f>
        <v>54.445305600000005</v>
      </c>
      <c r="I20" s="163">
        <f t="shared" ref="I20:I27" si="3">H20/B20</f>
        <v>0.330372</v>
      </c>
      <c r="J20" s="146"/>
      <c r="K20" s="223"/>
      <c r="L20" s="202"/>
      <c r="M20" s="202"/>
      <c r="N20" s="203"/>
    </row>
    <row r="21" spans="1:14" ht="15">
      <c r="A21" s="151" t="s">
        <v>280</v>
      </c>
      <c r="B21" s="152">
        <f>172*0.8</f>
        <v>137.6</v>
      </c>
      <c r="C21" s="164">
        <v>0.8</v>
      </c>
      <c r="D21" s="181">
        <f t="shared" si="0"/>
        <v>0.95</v>
      </c>
      <c r="E21" s="159">
        <v>0.76</v>
      </c>
      <c r="F21" s="181">
        <f t="shared" si="1"/>
        <v>0.92105263157894735</v>
      </c>
      <c r="G21" s="165">
        <v>0.7</v>
      </c>
      <c r="H21" s="160">
        <f t="shared" si="2"/>
        <v>58.562559999999991</v>
      </c>
      <c r="I21" s="163">
        <f t="shared" si="3"/>
        <v>0.42559999999999992</v>
      </c>
      <c r="J21" s="146"/>
      <c r="K21" s="223"/>
      <c r="L21" s="202"/>
      <c r="M21" s="202"/>
      <c r="N21" s="203"/>
    </row>
    <row r="22" spans="1:14" ht="15">
      <c r="A22" s="151" t="s">
        <v>281</v>
      </c>
      <c r="B22" s="152">
        <f>138*0.8</f>
        <v>110.4</v>
      </c>
      <c r="C22" s="159">
        <v>0.76</v>
      </c>
      <c r="D22" s="181">
        <f t="shared" si="0"/>
        <v>0.9078947368421052</v>
      </c>
      <c r="E22" s="161">
        <v>0.69</v>
      </c>
      <c r="F22" s="181">
        <f t="shared" si="1"/>
        <v>0.86956521739130443</v>
      </c>
      <c r="G22" s="166">
        <v>0.6</v>
      </c>
      <c r="H22" s="160">
        <f t="shared" si="2"/>
        <v>34.736255999999997</v>
      </c>
      <c r="I22" s="163">
        <f t="shared" si="3"/>
        <v>0.31463999999999998</v>
      </c>
      <c r="J22" s="146"/>
      <c r="K22" s="223"/>
      <c r="L22" s="202"/>
      <c r="M22" s="202"/>
      <c r="N22" s="203"/>
    </row>
    <row r="23" spans="1:14" ht="15">
      <c r="A23" s="151" t="s">
        <v>282</v>
      </c>
      <c r="B23" s="152">
        <f>112*0.8</f>
        <v>89.600000000000009</v>
      </c>
      <c r="C23" s="164">
        <v>0.8</v>
      </c>
      <c r="D23" s="181">
        <f t="shared" si="0"/>
        <v>0.9375</v>
      </c>
      <c r="E23" s="167">
        <v>0.75</v>
      </c>
      <c r="F23" s="181">
        <f t="shared" si="1"/>
        <v>0.88</v>
      </c>
      <c r="G23" s="168">
        <v>0.66</v>
      </c>
      <c r="H23" s="160">
        <f t="shared" si="2"/>
        <v>35.481600000000007</v>
      </c>
      <c r="I23" s="163">
        <f t="shared" si="3"/>
        <v>0.39600000000000002</v>
      </c>
      <c r="J23" s="146"/>
      <c r="K23" s="223"/>
      <c r="L23" s="202"/>
      <c r="M23" s="202"/>
      <c r="N23" s="203"/>
    </row>
    <row r="24" spans="1:14" ht="15">
      <c r="A24" s="169" t="s">
        <v>283</v>
      </c>
      <c r="B24" s="152">
        <f>92*0.8</f>
        <v>73.600000000000009</v>
      </c>
      <c r="C24" s="165">
        <v>0.7</v>
      </c>
      <c r="D24" s="181">
        <f t="shared" si="0"/>
        <v>0.932247899159664</v>
      </c>
      <c r="E24" s="170">
        <v>0.65257352941176472</v>
      </c>
      <c r="F24" s="181">
        <f t="shared" si="1"/>
        <v>0.87887323943661966</v>
      </c>
      <c r="G24" s="171">
        <v>0.57352941176470584</v>
      </c>
      <c r="H24" s="160">
        <f t="shared" si="2"/>
        <v>19.282396193771628</v>
      </c>
      <c r="I24" s="163">
        <f t="shared" si="3"/>
        <v>0.26198907871972316</v>
      </c>
      <c r="J24" s="146"/>
      <c r="K24" s="223"/>
      <c r="L24" s="202"/>
      <c r="M24" s="202"/>
      <c r="N24" s="203"/>
    </row>
    <row r="25" spans="1:14" ht="15">
      <c r="A25" s="151" t="s">
        <v>284</v>
      </c>
      <c r="B25" s="152">
        <f>58*0.8</f>
        <v>46.400000000000006</v>
      </c>
      <c r="C25" s="156">
        <v>0.68</v>
      </c>
      <c r="D25" s="181">
        <f t="shared" si="0"/>
        <v>0.88235294117647045</v>
      </c>
      <c r="E25" s="166">
        <v>0.6</v>
      </c>
      <c r="F25" s="181">
        <f t="shared" si="1"/>
        <v>0.91666666666666674</v>
      </c>
      <c r="G25" s="172">
        <v>0.55000000000000004</v>
      </c>
      <c r="H25" s="160">
        <f t="shared" si="2"/>
        <v>10.412160000000004</v>
      </c>
      <c r="I25" s="163">
        <f t="shared" si="3"/>
        <v>0.22440000000000004</v>
      </c>
      <c r="J25" s="146"/>
      <c r="K25" s="223"/>
      <c r="L25" s="202"/>
      <c r="M25" s="202"/>
      <c r="N25" s="203"/>
    </row>
    <row r="26" spans="1:14" ht="15">
      <c r="A26" s="151" t="s">
        <v>285</v>
      </c>
      <c r="B26" s="152">
        <f>24*0.8</f>
        <v>19.200000000000003</v>
      </c>
      <c r="C26" s="161">
        <v>0.69</v>
      </c>
      <c r="D26" s="181">
        <f t="shared" si="0"/>
        <v>0.92753623188405809</v>
      </c>
      <c r="E26" s="173">
        <v>0.64</v>
      </c>
      <c r="F26" s="181">
        <f t="shared" si="1"/>
        <v>0.9375</v>
      </c>
      <c r="G26" s="166">
        <v>0.6</v>
      </c>
      <c r="H26" s="160">
        <f t="shared" si="2"/>
        <v>5.0872320000000002</v>
      </c>
      <c r="I26" s="163">
        <f t="shared" si="3"/>
        <v>0.26495999999999997</v>
      </c>
      <c r="J26" s="146"/>
      <c r="K26" s="223"/>
      <c r="L26" s="202"/>
      <c r="M26" s="202"/>
      <c r="N26" s="203"/>
    </row>
    <row r="27" spans="1:14" ht="15">
      <c r="A27" s="174" t="s">
        <v>99</v>
      </c>
      <c r="B27" s="175">
        <f t="shared" ref="B27:C27" si="4">AVERAGE(B19:B26)</f>
        <v>115.075</v>
      </c>
      <c r="C27" s="176">
        <f t="shared" si="4"/>
        <v>0.75499999999999989</v>
      </c>
      <c r="D27" s="182">
        <f t="shared" si="0"/>
        <v>0.92095588235294112</v>
      </c>
      <c r="E27" s="176">
        <f>AVERAGE(E19:E26)</f>
        <v>0.69532169117647047</v>
      </c>
      <c r="F27" s="182">
        <f t="shared" si="1"/>
        <v>0.89770128616938316</v>
      </c>
      <c r="G27" s="176">
        <f>AVERAGE(G19:G26)</f>
        <v>0.62419117647058819</v>
      </c>
      <c r="H27" s="177">
        <f t="shared" si="2"/>
        <v>37.707812438835326</v>
      </c>
      <c r="I27" s="163">
        <f t="shared" si="3"/>
        <v>0.32768031665292485</v>
      </c>
      <c r="J27" s="146"/>
      <c r="K27" s="191"/>
      <c r="L27" s="192"/>
      <c r="M27" s="192"/>
      <c r="N27" s="193"/>
    </row>
    <row r="28" spans="1:14" ht="13.2">
      <c r="A28" s="145"/>
      <c r="B28" s="145"/>
      <c r="C28" s="145"/>
      <c r="D28" s="145"/>
      <c r="E28" s="145"/>
      <c r="F28" s="145"/>
      <c r="G28" s="145"/>
      <c r="H28" s="145"/>
      <c r="I28" s="145"/>
      <c r="J28" s="146"/>
      <c r="K28" s="145"/>
      <c r="L28" s="145"/>
      <c r="M28" s="145"/>
      <c r="N28" s="145"/>
    </row>
    <row r="29" spans="1:14" ht="13.2">
      <c r="A29" s="245" t="s">
        <v>286</v>
      </c>
      <c r="B29" s="190"/>
      <c r="C29" s="245" t="s">
        <v>287</v>
      </c>
      <c r="D29" s="190"/>
      <c r="E29" s="245" t="s">
        <v>288</v>
      </c>
      <c r="F29" s="190"/>
      <c r="G29" s="245" t="s">
        <v>289</v>
      </c>
      <c r="H29" s="189"/>
      <c r="I29" s="189"/>
      <c r="J29" s="189"/>
      <c r="K29" s="189"/>
      <c r="L29" s="189"/>
      <c r="M29" s="189"/>
      <c r="N29" s="190"/>
    </row>
    <row r="30" spans="1:14" ht="13.2">
      <c r="A30" s="191"/>
      <c r="B30" s="193"/>
      <c r="C30" s="191"/>
      <c r="D30" s="193"/>
      <c r="E30" s="191"/>
      <c r="F30" s="193"/>
      <c r="G30" s="191"/>
      <c r="H30" s="192"/>
      <c r="I30" s="192"/>
      <c r="J30" s="192"/>
      <c r="K30" s="192"/>
      <c r="L30" s="192"/>
      <c r="M30" s="192"/>
      <c r="N30" s="193"/>
    </row>
    <row r="31" spans="1:14" ht="13.2">
      <c r="A31" s="246"/>
      <c r="B31" s="190"/>
      <c r="C31" s="246"/>
      <c r="D31" s="190"/>
      <c r="E31" s="246"/>
      <c r="F31" s="190"/>
      <c r="G31" s="246"/>
      <c r="H31" s="189"/>
      <c r="I31" s="189"/>
      <c r="J31" s="189"/>
      <c r="K31" s="189"/>
      <c r="L31" s="189"/>
      <c r="M31" s="189"/>
      <c r="N31" s="190"/>
    </row>
    <row r="32" spans="1:14" ht="13.2">
      <c r="A32" s="223"/>
      <c r="B32" s="203"/>
      <c r="C32" s="223"/>
      <c r="D32" s="203"/>
      <c r="E32" s="223"/>
      <c r="F32" s="203"/>
      <c r="G32" s="223"/>
      <c r="H32" s="202"/>
      <c r="I32" s="202"/>
      <c r="J32" s="202"/>
      <c r="K32" s="202"/>
      <c r="L32" s="202"/>
      <c r="M32" s="202"/>
      <c r="N32" s="203"/>
    </row>
    <row r="33" spans="1:14" ht="13.2">
      <c r="A33" s="223"/>
      <c r="B33" s="203"/>
      <c r="C33" s="223"/>
      <c r="D33" s="203"/>
      <c r="E33" s="223"/>
      <c r="F33" s="203"/>
      <c r="G33" s="223"/>
      <c r="H33" s="202"/>
      <c r="I33" s="202"/>
      <c r="J33" s="202"/>
      <c r="K33" s="202"/>
      <c r="L33" s="202"/>
      <c r="M33" s="202"/>
      <c r="N33" s="203"/>
    </row>
    <row r="34" spans="1:14" ht="13.2">
      <c r="A34" s="223"/>
      <c r="B34" s="203"/>
      <c r="C34" s="223"/>
      <c r="D34" s="203"/>
      <c r="E34" s="223"/>
      <c r="F34" s="203"/>
      <c r="G34" s="223"/>
      <c r="H34" s="202"/>
      <c r="I34" s="202"/>
      <c r="J34" s="202"/>
      <c r="K34" s="202"/>
      <c r="L34" s="202"/>
      <c r="M34" s="202"/>
      <c r="N34" s="203"/>
    </row>
    <row r="35" spans="1:14" ht="13.2">
      <c r="A35" s="223"/>
      <c r="B35" s="203"/>
      <c r="C35" s="223"/>
      <c r="D35" s="203"/>
      <c r="E35" s="223"/>
      <c r="F35" s="203"/>
      <c r="G35" s="223"/>
      <c r="H35" s="202"/>
      <c r="I35" s="202"/>
      <c r="J35" s="202"/>
      <c r="K35" s="202"/>
      <c r="L35" s="202"/>
      <c r="M35" s="202"/>
      <c r="N35" s="203"/>
    </row>
    <row r="36" spans="1:14" ht="15" customHeight="1">
      <c r="A36" s="191"/>
      <c r="B36" s="193"/>
      <c r="C36" s="191"/>
      <c r="D36" s="193"/>
      <c r="E36" s="191"/>
      <c r="F36" s="193"/>
      <c r="G36" s="191"/>
      <c r="H36" s="192"/>
      <c r="I36" s="192"/>
      <c r="J36" s="192"/>
      <c r="K36" s="192"/>
      <c r="L36" s="192"/>
      <c r="M36" s="192"/>
      <c r="N36" s="193"/>
    </row>
    <row r="37" spans="1:14" ht="13.2">
      <c r="A37" s="145"/>
      <c r="B37" s="145"/>
      <c r="C37" s="145"/>
      <c r="D37" s="145"/>
      <c r="E37" s="145"/>
      <c r="F37" s="145"/>
      <c r="G37" s="145"/>
      <c r="H37" s="145"/>
      <c r="I37" s="145"/>
      <c r="J37" s="145"/>
      <c r="K37" s="145"/>
      <c r="L37" s="145"/>
      <c r="M37" s="145"/>
      <c r="N37" s="145"/>
    </row>
    <row r="38" spans="1:14" ht="15">
      <c r="A38" s="250" t="s">
        <v>290</v>
      </c>
      <c r="B38" s="184"/>
      <c r="C38" s="184"/>
      <c r="D38" s="184"/>
      <c r="E38" s="184"/>
      <c r="F38" s="184"/>
      <c r="G38" s="184"/>
      <c r="H38" s="184"/>
      <c r="I38" s="185"/>
      <c r="J38" s="146"/>
      <c r="K38" s="251" t="s">
        <v>69</v>
      </c>
      <c r="L38" s="202"/>
      <c r="M38" s="202"/>
      <c r="N38" s="202"/>
    </row>
    <row r="39" spans="1:14" ht="15">
      <c r="A39" s="147" t="s">
        <v>291</v>
      </c>
      <c r="B39" s="178" t="s">
        <v>292</v>
      </c>
      <c r="C39" s="250"/>
      <c r="D39" s="184"/>
      <c r="E39" s="184"/>
      <c r="F39" s="184"/>
      <c r="G39" s="185"/>
      <c r="H39" s="247" t="s">
        <v>270</v>
      </c>
      <c r="I39" s="248" t="s">
        <v>271</v>
      </c>
      <c r="J39" s="146"/>
      <c r="K39" s="202"/>
      <c r="L39" s="202"/>
      <c r="M39" s="202"/>
      <c r="N39" s="202"/>
    </row>
    <row r="40" spans="1:14" ht="15">
      <c r="A40" s="148" t="s">
        <v>272</v>
      </c>
      <c r="B40" s="149">
        <f>SUM(B41:B48)</f>
        <v>1450</v>
      </c>
      <c r="C40" s="150" t="s">
        <v>273</v>
      </c>
      <c r="D40" s="150" t="s">
        <v>274</v>
      </c>
      <c r="E40" s="150" t="s">
        <v>275</v>
      </c>
      <c r="F40" s="150" t="s">
        <v>276</v>
      </c>
      <c r="G40" s="150" t="s">
        <v>277</v>
      </c>
      <c r="H40" s="221"/>
      <c r="I40" s="221"/>
      <c r="J40" s="145"/>
      <c r="K40" s="249"/>
      <c r="L40" s="189"/>
      <c r="M40" s="189"/>
      <c r="N40" s="190"/>
    </row>
    <row r="41" spans="1:14" ht="15">
      <c r="A41" s="151" t="s">
        <v>293</v>
      </c>
      <c r="B41" s="179">
        <v>280</v>
      </c>
      <c r="C41" s="153">
        <v>0.64</v>
      </c>
      <c r="D41" s="181">
        <f t="shared" ref="D41:D49" si="5">E41/C41</f>
        <v>0.92187499999999989</v>
      </c>
      <c r="E41" s="155">
        <v>0.59</v>
      </c>
      <c r="F41" s="181">
        <f t="shared" ref="F41:F49" si="6">G41/E41</f>
        <v>0.86440677966101698</v>
      </c>
      <c r="G41" s="156">
        <v>0.51</v>
      </c>
      <c r="H41" s="160">
        <f t="shared" ref="H41:H49" si="7">B41*C41*E41*G41</f>
        <v>53.921280000000003</v>
      </c>
      <c r="I41" s="181">
        <f t="shared" ref="I41:I49" si="8">H41/B41</f>
        <v>0.192576</v>
      </c>
      <c r="J41" s="145"/>
      <c r="K41" s="223"/>
      <c r="L41" s="202"/>
      <c r="M41" s="202"/>
      <c r="N41" s="203"/>
    </row>
    <row r="42" spans="1:14" ht="15">
      <c r="A42" s="151" t="s">
        <v>294</v>
      </c>
      <c r="B42" s="179">
        <v>370</v>
      </c>
      <c r="C42" s="159">
        <v>0.74</v>
      </c>
      <c r="D42" s="181">
        <f t="shared" si="5"/>
        <v>0.93243243243243235</v>
      </c>
      <c r="E42" s="161">
        <v>0.69</v>
      </c>
      <c r="F42" s="181">
        <f t="shared" si="6"/>
        <v>0.89855072463768126</v>
      </c>
      <c r="G42" s="162">
        <v>0.62</v>
      </c>
      <c r="H42" s="160">
        <f t="shared" si="7"/>
        <v>117.13164</v>
      </c>
      <c r="I42" s="181">
        <f t="shared" si="8"/>
        <v>0.31657200000000002</v>
      </c>
      <c r="J42" s="145"/>
      <c r="K42" s="223"/>
      <c r="L42" s="202"/>
      <c r="M42" s="202"/>
      <c r="N42" s="203"/>
    </row>
    <row r="43" spans="1:14" ht="15">
      <c r="A43" s="151" t="s">
        <v>295</v>
      </c>
      <c r="B43" s="179">
        <v>200</v>
      </c>
      <c r="C43" s="164">
        <v>0.78</v>
      </c>
      <c r="D43" s="181">
        <f t="shared" si="5"/>
        <v>0.91025641025641013</v>
      </c>
      <c r="E43" s="159">
        <v>0.71</v>
      </c>
      <c r="F43" s="181">
        <f t="shared" si="6"/>
        <v>0.92957746478873249</v>
      </c>
      <c r="G43" s="165">
        <v>0.66</v>
      </c>
      <c r="H43" s="160">
        <f t="shared" si="7"/>
        <v>73.101599999999991</v>
      </c>
      <c r="I43" s="181">
        <f t="shared" si="8"/>
        <v>0.36550799999999994</v>
      </c>
      <c r="J43" s="145"/>
      <c r="K43" s="223"/>
      <c r="L43" s="202"/>
      <c r="M43" s="202"/>
      <c r="N43" s="203"/>
    </row>
    <row r="44" spans="1:14" ht="15">
      <c r="A44" s="151" t="s">
        <v>296</v>
      </c>
      <c r="B44" s="179">
        <v>175</v>
      </c>
      <c r="C44" s="159">
        <v>0.81</v>
      </c>
      <c r="D44" s="181">
        <f t="shared" si="5"/>
        <v>0.92592592592592582</v>
      </c>
      <c r="E44" s="161">
        <v>0.75</v>
      </c>
      <c r="F44" s="181">
        <f t="shared" si="6"/>
        <v>0.94666666666666666</v>
      </c>
      <c r="G44" s="166">
        <v>0.71</v>
      </c>
      <c r="H44" s="160">
        <f t="shared" si="7"/>
        <v>75.481875000000002</v>
      </c>
      <c r="I44" s="181">
        <f t="shared" si="8"/>
        <v>0.43132500000000001</v>
      </c>
      <c r="J44" s="145"/>
      <c r="K44" s="223"/>
      <c r="L44" s="202"/>
      <c r="M44" s="202"/>
      <c r="N44" s="203"/>
    </row>
    <row r="45" spans="1:14" ht="15">
      <c r="A45" s="151" t="s">
        <v>297</v>
      </c>
      <c r="B45" s="179">
        <v>120</v>
      </c>
      <c r="C45" s="164">
        <v>0.75</v>
      </c>
      <c r="D45" s="181">
        <f t="shared" si="5"/>
        <v>0.93333333333333324</v>
      </c>
      <c r="E45" s="167">
        <v>0.7</v>
      </c>
      <c r="F45" s="181">
        <f t="shared" si="6"/>
        <v>0.88571428571428579</v>
      </c>
      <c r="G45" s="168">
        <v>0.62</v>
      </c>
      <c r="H45" s="160">
        <f t="shared" si="7"/>
        <v>39.059999999999995</v>
      </c>
      <c r="I45" s="181">
        <f t="shared" si="8"/>
        <v>0.32549999999999996</v>
      </c>
      <c r="J45" s="145"/>
      <c r="K45" s="223"/>
      <c r="L45" s="202"/>
      <c r="M45" s="202"/>
      <c r="N45" s="203"/>
    </row>
    <row r="46" spans="1:14" ht="15">
      <c r="A46" s="151" t="s">
        <v>298</v>
      </c>
      <c r="B46" s="179">
        <v>75</v>
      </c>
      <c r="C46" s="165">
        <v>0.68</v>
      </c>
      <c r="D46" s="181">
        <f t="shared" si="5"/>
        <v>0.97058823529411764</v>
      </c>
      <c r="E46" s="170">
        <v>0.66</v>
      </c>
      <c r="F46" s="181">
        <f t="shared" si="6"/>
        <v>0.83333333333333337</v>
      </c>
      <c r="G46" s="171">
        <v>0.55000000000000004</v>
      </c>
      <c r="H46" s="160">
        <f t="shared" si="7"/>
        <v>18.513000000000005</v>
      </c>
      <c r="I46" s="181">
        <f t="shared" si="8"/>
        <v>0.24684000000000006</v>
      </c>
      <c r="J46" s="145"/>
      <c r="K46" s="223"/>
      <c r="L46" s="202"/>
      <c r="M46" s="202"/>
      <c r="N46" s="203"/>
    </row>
    <row r="47" spans="1:14" ht="15">
      <c r="A47" s="151" t="s">
        <v>299</v>
      </c>
      <c r="B47" s="179">
        <v>130</v>
      </c>
      <c r="C47" s="156">
        <v>0.72</v>
      </c>
      <c r="D47" s="181">
        <f t="shared" si="5"/>
        <v>0.93055555555555569</v>
      </c>
      <c r="E47" s="166">
        <v>0.67</v>
      </c>
      <c r="F47" s="181">
        <f t="shared" si="6"/>
        <v>0.9850746268656716</v>
      </c>
      <c r="G47" s="172">
        <v>0.66</v>
      </c>
      <c r="H47" s="160">
        <f t="shared" si="7"/>
        <v>41.389920000000004</v>
      </c>
      <c r="I47" s="181">
        <f t="shared" si="8"/>
        <v>0.318384</v>
      </c>
      <c r="J47" s="145"/>
      <c r="K47" s="223"/>
      <c r="L47" s="202"/>
      <c r="M47" s="202"/>
      <c r="N47" s="203"/>
    </row>
    <row r="48" spans="1:14" ht="15">
      <c r="A48" s="151" t="s">
        <v>300</v>
      </c>
      <c r="B48" s="179">
        <v>100</v>
      </c>
      <c r="C48" s="161">
        <v>0.7</v>
      </c>
      <c r="D48" s="182">
        <f t="shared" si="5"/>
        <v>0.9</v>
      </c>
      <c r="E48" s="173">
        <v>0.63</v>
      </c>
      <c r="F48" s="182">
        <f t="shared" si="6"/>
        <v>0.90476190476190466</v>
      </c>
      <c r="G48" s="166">
        <v>0.56999999999999995</v>
      </c>
      <c r="H48" s="177">
        <f t="shared" si="7"/>
        <v>25.136999999999997</v>
      </c>
      <c r="I48" s="182">
        <f t="shared" si="8"/>
        <v>0.25136999999999998</v>
      </c>
      <c r="J48" s="145"/>
      <c r="K48" s="223"/>
      <c r="L48" s="202"/>
      <c r="M48" s="202"/>
      <c r="N48" s="203"/>
    </row>
    <row r="49" spans="1:14" ht="15">
      <c r="A49" s="174" t="s">
        <v>99</v>
      </c>
      <c r="B49" s="175">
        <f t="shared" ref="B49:C49" si="9">AVERAGE(B41:B48)</f>
        <v>181.25</v>
      </c>
      <c r="C49" s="176">
        <f t="shared" si="9"/>
        <v>0.72750000000000004</v>
      </c>
      <c r="D49" s="182">
        <f t="shared" si="5"/>
        <v>0.92783505154639156</v>
      </c>
      <c r="E49" s="176">
        <f>AVERAGE(E41:E48)</f>
        <v>0.67499999999999993</v>
      </c>
      <c r="F49" s="182">
        <f t="shared" si="6"/>
        <v>0.90740740740740755</v>
      </c>
      <c r="G49" s="176">
        <f>AVERAGE(G41:G48)</f>
        <v>0.61250000000000004</v>
      </c>
      <c r="H49" s="177">
        <f t="shared" si="7"/>
        <v>54.515610351562501</v>
      </c>
      <c r="I49" s="182">
        <f t="shared" si="8"/>
        <v>0.30077578124999998</v>
      </c>
      <c r="J49" s="145"/>
      <c r="K49" s="191"/>
      <c r="L49" s="192"/>
      <c r="M49" s="192"/>
      <c r="N49" s="193"/>
    </row>
    <row r="50" spans="1:14" ht="13.2">
      <c r="A50" s="145"/>
      <c r="B50" s="145"/>
      <c r="C50" s="145"/>
      <c r="D50" s="145"/>
      <c r="E50" s="145"/>
      <c r="F50" s="145"/>
      <c r="G50" s="145"/>
      <c r="H50" s="145"/>
      <c r="I50" s="145"/>
      <c r="J50" s="145"/>
      <c r="K50" s="145"/>
      <c r="L50" s="145"/>
      <c r="M50" s="145"/>
      <c r="N50" s="145"/>
    </row>
    <row r="51" spans="1:14" ht="13.2">
      <c r="A51" s="245" t="s">
        <v>301</v>
      </c>
      <c r="B51" s="190"/>
      <c r="C51" s="245" t="s">
        <v>302</v>
      </c>
      <c r="D51" s="190"/>
      <c r="E51" s="245" t="s">
        <v>288</v>
      </c>
      <c r="F51" s="190"/>
      <c r="G51" s="245" t="s">
        <v>289</v>
      </c>
      <c r="H51" s="189"/>
      <c r="I51" s="189"/>
      <c r="J51" s="189"/>
      <c r="K51" s="189"/>
      <c r="L51" s="189"/>
      <c r="M51" s="189"/>
      <c r="N51" s="190"/>
    </row>
    <row r="52" spans="1:14" ht="13.2">
      <c r="A52" s="191"/>
      <c r="B52" s="193"/>
      <c r="C52" s="191"/>
      <c r="D52" s="193"/>
      <c r="E52" s="191"/>
      <c r="F52" s="193"/>
      <c r="G52" s="191"/>
      <c r="H52" s="192"/>
      <c r="I52" s="192"/>
      <c r="J52" s="192"/>
      <c r="K52" s="192"/>
      <c r="L52" s="192"/>
      <c r="M52" s="192"/>
      <c r="N52" s="193"/>
    </row>
    <row r="53" spans="1:14" ht="13.2">
      <c r="A53" s="246"/>
      <c r="B53" s="190"/>
      <c r="C53" s="246"/>
      <c r="D53" s="190"/>
      <c r="E53" s="246"/>
      <c r="F53" s="190"/>
      <c r="G53" s="246"/>
      <c r="H53" s="189"/>
      <c r="I53" s="189"/>
      <c r="J53" s="189"/>
      <c r="K53" s="189"/>
      <c r="L53" s="189"/>
      <c r="M53" s="189"/>
      <c r="N53" s="190"/>
    </row>
    <row r="54" spans="1:14" ht="13.2">
      <c r="A54" s="223"/>
      <c r="B54" s="203"/>
      <c r="C54" s="223"/>
      <c r="D54" s="203"/>
      <c r="E54" s="223"/>
      <c r="F54" s="203"/>
      <c r="G54" s="223"/>
      <c r="H54" s="202"/>
      <c r="I54" s="202"/>
      <c r="J54" s="202"/>
      <c r="K54" s="202"/>
      <c r="L54" s="202"/>
      <c r="M54" s="202"/>
      <c r="N54" s="203"/>
    </row>
    <row r="55" spans="1:14" ht="13.2">
      <c r="A55" s="223"/>
      <c r="B55" s="203"/>
      <c r="C55" s="223"/>
      <c r="D55" s="203"/>
      <c r="E55" s="223"/>
      <c r="F55" s="203"/>
      <c r="G55" s="223"/>
      <c r="H55" s="202"/>
      <c r="I55" s="202"/>
      <c r="J55" s="202"/>
      <c r="K55" s="202"/>
      <c r="L55" s="202"/>
      <c r="M55" s="202"/>
      <c r="N55" s="203"/>
    </row>
    <row r="56" spans="1:14" ht="13.2">
      <c r="A56" s="223"/>
      <c r="B56" s="203"/>
      <c r="C56" s="223"/>
      <c r="D56" s="203"/>
      <c r="E56" s="223"/>
      <c r="F56" s="203"/>
      <c r="G56" s="223"/>
      <c r="H56" s="202"/>
      <c r="I56" s="202"/>
      <c r="J56" s="202"/>
      <c r="K56" s="202"/>
      <c r="L56" s="202"/>
      <c r="M56" s="202"/>
      <c r="N56" s="203"/>
    </row>
    <row r="57" spans="1:14" ht="13.2">
      <c r="A57" s="223"/>
      <c r="B57" s="203"/>
      <c r="C57" s="223"/>
      <c r="D57" s="203"/>
      <c r="E57" s="223"/>
      <c r="F57" s="203"/>
      <c r="G57" s="223"/>
      <c r="H57" s="202"/>
      <c r="I57" s="202"/>
      <c r="J57" s="202"/>
      <c r="K57" s="202"/>
      <c r="L57" s="202"/>
      <c r="M57" s="202"/>
      <c r="N57" s="203"/>
    </row>
    <row r="58" spans="1:14" ht="15" customHeight="1">
      <c r="A58" s="191"/>
      <c r="B58" s="193"/>
      <c r="C58" s="191"/>
      <c r="D58" s="193"/>
      <c r="E58" s="191"/>
      <c r="F58" s="193"/>
      <c r="G58" s="191"/>
      <c r="H58" s="192"/>
      <c r="I58" s="192"/>
      <c r="J58" s="192"/>
      <c r="K58" s="192"/>
      <c r="L58" s="192"/>
      <c r="M58" s="192"/>
      <c r="N58" s="193"/>
    </row>
    <row r="59" spans="1:14" ht="13.2">
      <c r="A59" s="145"/>
      <c r="B59" s="145"/>
      <c r="C59" s="145"/>
      <c r="D59" s="145"/>
      <c r="E59" s="145"/>
      <c r="F59" s="145"/>
      <c r="G59" s="145"/>
      <c r="H59" s="145"/>
      <c r="I59" s="145"/>
      <c r="J59" s="145"/>
      <c r="K59" s="145"/>
      <c r="L59" s="145"/>
      <c r="M59" s="145"/>
      <c r="N59" s="145"/>
    </row>
    <row r="60" spans="1:14" ht="15">
      <c r="A60" s="250" t="s">
        <v>303</v>
      </c>
      <c r="B60" s="184"/>
      <c r="C60" s="184"/>
      <c r="D60" s="184"/>
      <c r="E60" s="184"/>
      <c r="F60" s="184"/>
      <c r="G60" s="184"/>
      <c r="H60" s="184"/>
      <c r="I60" s="185"/>
      <c r="J60" s="146"/>
      <c r="K60" s="251" t="s">
        <v>69</v>
      </c>
      <c r="L60" s="202"/>
      <c r="M60" s="202"/>
      <c r="N60" s="202"/>
    </row>
    <row r="61" spans="1:14" ht="15">
      <c r="A61" s="147" t="s">
        <v>304</v>
      </c>
      <c r="B61" s="178" t="s">
        <v>292</v>
      </c>
      <c r="C61" s="250"/>
      <c r="D61" s="184"/>
      <c r="E61" s="184"/>
      <c r="F61" s="184"/>
      <c r="G61" s="185"/>
      <c r="H61" s="247" t="s">
        <v>270</v>
      </c>
      <c r="I61" s="248" t="s">
        <v>271</v>
      </c>
      <c r="J61" s="146"/>
      <c r="K61" s="202"/>
      <c r="L61" s="202"/>
      <c r="M61" s="202"/>
      <c r="N61" s="202"/>
    </row>
    <row r="62" spans="1:14" ht="15">
      <c r="A62" s="148" t="s">
        <v>272</v>
      </c>
      <c r="B62" s="149">
        <f>SUM(B63:B69)</f>
        <v>1500</v>
      </c>
      <c r="C62" s="150" t="s">
        <v>273</v>
      </c>
      <c r="D62" s="150" t="s">
        <v>274</v>
      </c>
      <c r="E62" s="150" t="s">
        <v>275</v>
      </c>
      <c r="F62" s="150" t="s">
        <v>274</v>
      </c>
      <c r="G62" s="150" t="s">
        <v>277</v>
      </c>
      <c r="H62" s="221"/>
      <c r="I62" s="221"/>
      <c r="J62" s="145"/>
      <c r="K62" s="249"/>
      <c r="L62" s="189"/>
      <c r="M62" s="189"/>
      <c r="N62" s="190"/>
    </row>
    <row r="63" spans="1:14" ht="15">
      <c r="A63" s="169" t="s">
        <v>305</v>
      </c>
      <c r="B63" s="179">
        <v>100</v>
      </c>
      <c r="C63" s="153">
        <v>0.59</v>
      </c>
      <c r="D63" s="181">
        <f t="shared" ref="D63:D70" si="10">E63/C63</f>
        <v>0.93220338983050854</v>
      </c>
      <c r="E63" s="155">
        <v>0.55000000000000004</v>
      </c>
      <c r="F63" s="181">
        <f t="shared" ref="F63:F70" si="11">G63/E63</f>
        <v>0.87272727272727257</v>
      </c>
      <c r="G63" s="156">
        <v>0.48</v>
      </c>
      <c r="H63" s="160">
        <f t="shared" ref="H63:H70" si="12">B63*C63*E63*G63</f>
        <v>15.576000000000001</v>
      </c>
      <c r="I63" s="181">
        <f>H63/B63</f>
        <v>0.15576000000000001</v>
      </c>
      <c r="J63" s="145"/>
      <c r="K63" s="223"/>
      <c r="L63" s="202"/>
      <c r="M63" s="202"/>
      <c r="N63" s="203"/>
    </row>
    <row r="64" spans="1:14" ht="15">
      <c r="A64" s="169" t="s">
        <v>306</v>
      </c>
      <c r="B64" s="179">
        <v>250</v>
      </c>
      <c r="C64" s="159">
        <v>0.62</v>
      </c>
      <c r="D64" s="181">
        <f t="shared" si="10"/>
        <v>0.9838709677419355</v>
      </c>
      <c r="E64" s="161">
        <v>0.61</v>
      </c>
      <c r="F64" s="181">
        <f t="shared" si="11"/>
        <v>0.83606557377049184</v>
      </c>
      <c r="G64" s="162">
        <v>0.51</v>
      </c>
      <c r="H64" s="160">
        <f t="shared" si="12"/>
        <v>48.220500000000001</v>
      </c>
      <c r="I64" s="181">
        <f t="shared" ref="I64:I70" si="13">H64/B64</f>
        <v>0.192882</v>
      </c>
      <c r="J64" s="145"/>
      <c r="K64" s="223"/>
      <c r="L64" s="202"/>
      <c r="M64" s="202"/>
      <c r="N64" s="203"/>
    </row>
    <row r="65" spans="1:14" ht="15">
      <c r="A65" s="169" t="s">
        <v>307</v>
      </c>
      <c r="B65" s="179">
        <v>210</v>
      </c>
      <c r="C65" s="164">
        <v>0.7</v>
      </c>
      <c r="D65" s="181">
        <f t="shared" si="10"/>
        <v>0.87142857142857144</v>
      </c>
      <c r="E65" s="159">
        <v>0.61</v>
      </c>
      <c r="F65" s="181">
        <f t="shared" si="11"/>
        <v>0.90163934426229519</v>
      </c>
      <c r="G65" s="165">
        <v>0.55000000000000004</v>
      </c>
      <c r="H65" s="160">
        <f t="shared" si="12"/>
        <v>49.318500000000007</v>
      </c>
      <c r="I65" s="181">
        <f t="shared" si="13"/>
        <v>0.23485000000000003</v>
      </c>
      <c r="J65" s="145"/>
      <c r="K65" s="223"/>
      <c r="L65" s="202"/>
      <c r="M65" s="202"/>
      <c r="N65" s="203"/>
    </row>
    <row r="66" spans="1:14" ht="15">
      <c r="A66" s="169" t="s">
        <v>308</v>
      </c>
      <c r="B66" s="179">
        <v>250</v>
      </c>
      <c r="C66" s="159">
        <v>0.83</v>
      </c>
      <c r="D66" s="181">
        <f t="shared" si="10"/>
        <v>0.9156626506024097</v>
      </c>
      <c r="E66" s="161">
        <v>0.76</v>
      </c>
      <c r="F66" s="181">
        <f t="shared" si="11"/>
        <v>0.92105263157894735</v>
      </c>
      <c r="G66" s="166">
        <v>0.7</v>
      </c>
      <c r="H66" s="160">
        <f t="shared" si="12"/>
        <v>110.38999999999999</v>
      </c>
      <c r="I66" s="181">
        <f t="shared" si="13"/>
        <v>0.44155999999999995</v>
      </c>
      <c r="J66" s="145"/>
      <c r="K66" s="223"/>
      <c r="L66" s="202"/>
      <c r="M66" s="202"/>
      <c r="N66" s="203"/>
    </row>
    <row r="67" spans="1:14" ht="15">
      <c r="A67" s="169" t="s">
        <v>309</v>
      </c>
      <c r="B67" s="179">
        <v>220</v>
      </c>
      <c r="C67" s="164">
        <v>0.86</v>
      </c>
      <c r="D67" s="181">
        <f t="shared" si="10"/>
        <v>0.90697674418604657</v>
      </c>
      <c r="E67" s="167">
        <v>0.78</v>
      </c>
      <c r="F67" s="181">
        <f t="shared" si="11"/>
        <v>0.93589743589743579</v>
      </c>
      <c r="G67" s="168">
        <v>0.73</v>
      </c>
      <c r="H67" s="160">
        <f t="shared" si="12"/>
        <v>107.73047999999999</v>
      </c>
      <c r="I67" s="181">
        <f t="shared" si="13"/>
        <v>0.48968399999999995</v>
      </c>
      <c r="J67" s="145"/>
      <c r="K67" s="223"/>
      <c r="L67" s="202"/>
      <c r="M67" s="202"/>
      <c r="N67" s="203"/>
    </row>
    <row r="68" spans="1:14" ht="15">
      <c r="A68" s="169" t="s">
        <v>310</v>
      </c>
      <c r="B68" s="179">
        <v>270</v>
      </c>
      <c r="C68" s="165">
        <v>0.87206396801599195</v>
      </c>
      <c r="D68" s="182">
        <f t="shared" si="10"/>
        <v>0.92883094555873935</v>
      </c>
      <c r="E68" s="170">
        <v>0.81</v>
      </c>
      <c r="F68" s="182">
        <f t="shared" si="11"/>
        <v>0.90123456790123446</v>
      </c>
      <c r="G68" s="171">
        <v>0.73</v>
      </c>
      <c r="H68" s="177">
        <f t="shared" si="12"/>
        <v>139.22588455772114</v>
      </c>
      <c r="I68" s="182">
        <f t="shared" si="13"/>
        <v>0.51565142428785604</v>
      </c>
      <c r="J68" s="145"/>
      <c r="K68" s="223"/>
      <c r="L68" s="202"/>
      <c r="M68" s="202"/>
      <c r="N68" s="203"/>
    </row>
    <row r="69" spans="1:14" ht="15">
      <c r="A69" s="169" t="s">
        <v>311</v>
      </c>
      <c r="B69" s="179">
        <v>200</v>
      </c>
      <c r="C69" s="156">
        <v>0.88</v>
      </c>
      <c r="D69" s="182">
        <f t="shared" si="10"/>
        <v>0.90909090909090917</v>
      </c>
      <c r="E69" s="166">
        <v>0.8</v>
      </c>
      <c r="F69" s="182">
        <f t="shared" si="11"/>
        <v>0.88749999999999996</v>
      </c>
      <c r="G69" s="172">
        <v>0.71</v>
      </c>
      <c r="H69" s="177">
        <f t="shared" si="12"/>
        <v>99.968000000000004</v>
      </c>
      <c r="I69" s="182">
        <f t="shared" si="13"/>
        <v>0.49984000000000001</v>
      </c>
      <c r="J69" s="145"/>
      <c r="K69" s="223"/>
      <c r="L69" s="202"/>
      <c r="M69" s="202"/>
      <c r="N69" s="203"/>
    </row>
    <row r="70" spans="1:14" ht="15">
      <c r="A70" s="148" t="s">
        <v>99</v>
      </c>
      <c r="B70" s="175">
        <f t="shared" ref="B70:C70" si="14">AVERAGE(B63:B69)</f>
        <v>214.28571428571428</v>
      </c>
      <c r="C70" s="176">
        <f t="shared" si="14"/>
        <v>0.76458056685942732</v>
      </c>
      <c r="D70" s="182">
        <f t="shared" si="10"/>
        <v>0.91927152392086287</v>
      </c>
      <c r="E70" s="176">
        <f>AVERAGE(E63:E69)</f>
        <v>0.70285714285714296</v>
      </c>
      <c r="F70" s="182">
        <f t="shared" si="11"/>
        <v>0.89634146341463405</v>
      </c>
      <c r="G70" s="176">
        <f>AVERAGE(G63:G69)</f>
        <v>0.63</v>
      </c>
      <c r="H70" s="177">
        <f t="shared" si="12"/>
        <v>72.547773215433097</v>
      </c>
      <c r="I70" s="182">
        <f t="shared" si="13"/>
        <v>0.33855627500535446</v>
      </c>
      <c r="J70" s="145"/>
      <c r="K70" s="191"/>
      <c r="L70" s="192"/>
      <c r="M70" s="192"/>
      <c r="N70" s="193"/>
    </row>
    <row r="71" spans="1:14" ht="13.2">
      <c r="A71" s="145"/>
      <c r="B71" s="145"/>
      <c r="C71" s="145"/>
      <c r="D71" s="145"/>
      <c r="E71" s="145"/>
      <c r="F71" s="145"/>
      <c r="G71" s="145"/>
      <c r="H71" s="145"/>
      <c r="I71" s="145"/>
      <c r="J71" s="145"/>
      <c r="K71" s="145"/>
      <c r="L71" s="145"/>
      <c r="M71" s="145"/>
      <c r="N71" s="145"/>
    </row>
    <row r="72" spans="1:14" ht="13.2">
      <c r="A72" s="245" t="s">
        <v>312</v>
      </c>
      <c r="B72" s="190"/>
      <c r="C72" s="245" t="s">
        <v>313</v>
      </c>
      <c r="D72" s="190"/>
      <c r="E72" s="245" t="s">
        <v>288</v>
      </c>
      <c r="F72" s="190"/>
      <c r="G72" s="245" t="s">
        <v>289</v>
      </c>
      <c r="H72" s="189"/>
      <c r="I72" s="189"/>
      <c r="J72" s="189"/>
      <c r="K72" s="189"/>
      <c r="L72" s="189"/>
      <c r="M72" s="189"/>
      <c r="N72" s="190"/>
    </row>
    <row r="73" spans="1:14" ht="13.2">
      <c r="A73" s="191"/>
      <c r="B73" s="193"/>
      <c r="C73" s="191"/>
      <c r="D73" s="193"/>
      <c r="E73" s="191"/>
      <c r="F73" s="193"/>
      <c r="G73" s="191"/>
      <c r="H73" s="192"/>
      <c r="I73" s="192"/>
      <c r="J73" s="192"/>
      <c r="K73" s="192"/>
      <c r="L73" s="192"/>
      <c r="M73" s="192"/>
      <c r="N73" s="193"/>
    </row>
    <row r="74" spans="1:14" ht="13.2">
      <c r="A74" s="246"/>
      <c r="B74" s="190"/>
      <c r="C74" s="246"/>
      <c r="D74" s="190"/>
      <c r="E74" s="246"/>
      <c r="F74" s="190"/>
      <c r="G74" s="246"/>
      <c r="H74" s="189"/>
      <c r="I74" s="189"/>
      <c r="J74" s="189"/>
      <c r="K74" s="189"/>
      <c r="L74" s="189"/>
      <c r="M74" s="189"/>
      <c r="N74" s="190"/>
    </row>
    <row r="75" spans="1:14" ht="13.2">
      <c r="A75" s="223"/>
      <c r="B75" s="203"/>
      <c r="C75" s="223"/>
      <c r="D75" s="203"/>
      <c r="E75" s="223"/>
      <c r="F75" s="203"/>
      <c r="G75" s="223"/>
      <c r="H75" s="202"/>
      <c r="I75" s="202"/>
      <c r="J75" s="202"/>
      <c r="K75" s="202"/>
      <c r="L75" s="202"/>
      <c r="M75" s="202"/>
      <c r="N75" s="203"/>
    </row>
    <row r="76" spans="1:14" ht="13.2">
      <c r="A76" s="223"/>
      <c r="B76" s="203"/>
      <c r="C76" s="223"/>
      <c r="D76" s="203"/>
      <c r="E76" s="223"/>
      <c r="F76" s="203"/>
      <c r="G76" s="223"/>
      <c r="H76" s="202"/>
      <c r="I76" s="202"/>
      <c r="J76" s="202"/>
      <c r="K76" s="202"/>
      <c r="L76" s="202"/>
      <c r="M76" s="202"/>
      <c r="N76" s="203"/>
    </row>
    <row r="77" spans="1:14" ht="13.2">
      <c r="A77" s="223"/>
      <c r="B77" s="203"/>
      <c r="C77" s="223"/>
      <c r="D77" s="203"/>
      <c r="E77" s="223"/>
      <c r="F77" s="203"/>
      <c r="G77" s="223"/>
      <c r="H77" s="202"/>
      <c r="I77" s="202"/>
      <c r="J77" s="202"/>
      <c r="K77" s="202"/>
      <c r="L77" s="202"/>
      <c r="M77" s="202"/>
      <c r="N77" s="203"/>
    </row>
    <row r="78" spans="1:14" ht="13.2">
      <c r="A78" s="223"/>
      <c r="B78" s="203"/>
      <c r="C78" s="223"/>
      <c r="D78" s="203"/>
      <c r="E78" s="223"/>
      <c r="F78" s="203"/>
      <c r="G78" s="223"/>
      <c r="H78" s="202"/>
      <c r="I78" s="202"/>
      <c r="J78" s="202"/>
      <c r="K78" s="202"/>
      <c r="L78" s="202"/>
      <c r="M78" s="202"/>
      <c r="N78" s="203"/>
    </row>
    <row r="79" spans="1:14" ht="15" customHeight="1">
      <c r="A79" s="191"/>
      <c r="B79" s="193"/>
      <c r="C79" s="191"/>
      <c r="D79" s="193"/>
      <c r="E79" s="191"/>
      <c r="F79" s="193"/>
      <c r="G79" s="191"/>
      <c r="H79" s="192"/>
      <c r="I79" s="192"/>
      <c r="J79" s="192"/>
      <c r="K79" s="192"/>
      <c r="L79" s="192"/>
      <c r="M79" s="192"/>
      <c r="N79" s="193"/>
    </row>
    <row r="80" spans="1:14" ht="13.2">
      <c r="A80" s="145"/>
      <c r="B80" s="145"/>
      <c r="C80" s="145"/>
      <c r="D80" s="145"/>
      <c r="E80" s="145"/>
      <c r="F80" s="145"/>
      <c r="G80" s="145"/>
      <c r="H80" s="145"/>
      <c r="I80" s="145"/>
      <c r="J80" s="145"/>
      <c r="K80" s="145"/>
      <c r="L80" s="145"/>
      <c r="M80" s="145"/>
      <c r="N80" s="145"/>
    </row>
    <row r="81" spans="1:14" ht="15">
      <c r="A81" s="250" t="s">
        <v>314</v>
      </c>
      <c r="B81" s="184"/>
      <c r="C81" s="184"/>
      <c r="D81" s="184"/>
      <c r="E81" s="184"/>
      <c r="F81" s="184"/>
      <c r="G81" s="184"/>
      <c r="H81" s="184"/>
      <c r="I81" s="185"/>
      <c r="J81" s="146"/>
      <c r="K81" s="251" t="s">
        <v>69</v>
      </c>
      <c r="L81" s="202"/>
      <c r="M81" s="202"/>
      <c r="N81" s="202"/>
    </row>
    <row r="82" spans="1:14" ht="15">
      <c r="A82" s="147" t="s">
        <v>315</v>
      </c>
      <c r="B82" s="178" t="s">
        <v>292</v>
      </c>
      <c r="C82" s="250"/>
      <c r="D82" s="184"/>
      <c r="E82" s="184"/>
      <c r="F82" s="184"/>
      <c r="G82" s="185"/>
      <c r="H82" s="247" t="s">
        <v>270</v>
      </c>
      <c r="I82" s="248" t="s">
        <v>271</v>
      </c>
      <c r="J82" s="146"/>
      <c r="K82" s="202"/>
      <c r="L82" s="202"/>
      <c r="M82" s="202"/>
      <c r="N82" s="202"/>
    </row>
    <row r="83" spans="1:14" ht="15">
      <c r="A83" s="148" t="s">
        <v>272</v>
      </c>
      <c r="B83" s="149">
        <f>SUM(B84:B88)</f>
        <v>1490</v>
      </c>
      <c r="C83" s="150" t="s">
        <v>273</v>
      </c>
      <c r="D83" s="150" t="s">
        <v>274</v>
      </c>
      <c r="E83" s="150" t="s">
        <v>275</v>
      </c>
      <c r="F83" s="150" t="s">
        <v>274</v>
      </c>
      <c r="G83" s="150" t="s">
        <v>277</v>
      </c>
      <c r="H83" s="221"/>
      <c r="I83" s="221"/>
      <c r="J83" s="145"/>
      <c r="K83" s="249"/>
      <c r="L83" s="189"/>
      <c r="M83" s="189"/>
      <c r="N83" s="190"/>
    </row>
    <row r="84" spans="1:14" ht="15">
      <c r="A84" s="169" t="s">
        <v>316</v>
      </c>
      <c r="B84" s="179">
        <v>250</v>
      </c>
      <c r="C84" s="153">
        <v>0.72</v>
      </c>
      <c r="D84" s="181">
        <f t="shared" ref="D84:D89" si="15">E84/C84</f>
        <v>0.94444444444444453</v>
      </c>
      <c r="E84" s="155">
        <v>0.68</v>
      </c>
      <c r="F84" s="181">
        <f t="shared" ref="F84:F89" si="16">G84/E84</f>
        <v>0.88235294117647045</v>
      </c>
      <c r="G84" s="156">
        <v>0.6</v>
      </c>
      <c r="H84" s="160">
        <f t="shared" ref="H84:H89" si="17">B84*C84*E84*G84</f>
        <v>73.44</v>
      </c>
      <c r="I84" s="181">
        <f t="shared" ref="I84:I89" si="18">H84/B84</f>
        <v>0.29375999999999997</v>
      </c>
      <c r="J84" s="145"/>
      <c r="K84" s="223"/>
      <c r="L84" s="202"/>
      <c r="M84" s="202"/>
      <c r="N84" s="203"/>
    </row>
    <row r="85" spans="1:14" ht="15">
      <c r="A85" s="169" t="s">
        <v>317</v>
      </c>
      <c r="B85" s="179">
        <v>310</v>
      </c>
      <c r="C85" s="159">
        <v>0.76</v>
      </c>
      <c r="D85" s="181">
        <f t="shared" si="15"/>
        <v>0.92105263157894735</v>
      </c>
      <c r="E85" s="161">
        <v>0.7</v>
      </c>
      <c r="F85" s="181">
        <f t="shared" si="16"/>
        <v>0.84285714285714286</v>
      </c>
      <c r="G85" s="162">
        <v>0.59</v>
      </c>
      <c r="H85" s="160">
        <f t="shared" si="17"/>
        <v>97.302799999999991</v>
      </c>
      <c r="I85" s="181">
        <f t="shared" si="18"/>
        <v>0.31387999999999999</v>
      </c>
      <c r="J85" s="145"/>
      <c r="K85" s="223"/>
      <c r="L85" s="202"/>
      <c r="M85" s="202"/>
      <c r="N85" s="203"/>
    </row>
    <row r="86" spans="1:14" ht="15">
      <c r="A86" s="169" t="s">
        <v>318</v>
      </c>
      <c r="B86" s="179">
        <v>390</v>
      </c>
      <c r="C86" s="164">
        <v>0.8</v>
      </c>
      <c r="D86" s="182">
        <f t="shared" si="15"/>
        <v>0.91249999999999998</v>
      </c>
      <c r="E86" s="159">
        <v>0.73</v>
      </c>
      <c r="F86" s="182">
        <f t="shared" si="16"/>
        <v>0.8904109589041096</v>
      </c>
      <c r="G86" s="165">
        <v>0.65</v>
      </c>
      <c r="H86" s="177">
        <f t="shared" si="17"/>
        <v>148.04400000000001</v>
      </c>
      <c r="I86" s="182">
        <f t="shared" si="18"/>
        <v>0.37960000000000005</v>
      </c>
      <c r="J86" s="145"/>
      <c r="K86" s="223"/>
      <c r="L86" s="202"/>
      <c r="M86" s="202"/>
      <c r="N86" s="203"/>
    </row>
    <row r="87" spans="1:14" ht="15">
      <c r="A87" s="169" t="s">
        <v>319</v>
      </c>
      <c r="B87" s="179">
        <v>430</v>
      </c>
      <c r="C87" s="159">
        <v>0.83</v>
      </c>
      <c r="D87" s="182">
        <f t="shared" si="15"/>
        <v>0.93975903614457834</v>
      </c>
      <c r="E87" s="161">
        <v>0.78</v>
      </c>
      <c r="F87" s="182">
        <f t="shared" si="16"/>
        <v>0.91025641025641013</v>
      </c>
      <c r="G87" s="166">
        <v>0.71</v>
      </c>
      <c r="H87" s="177">
        <f t="shared" si="17"/>
        <v>197.65122</v>
      </c>
      <c r="I87" s="182">
        <f t="shared" si="18"/>
        <v>0.45965400000000001</v>
      </c>
      <c r="J87" s="145"/>
      <c r="K87" s="223"/>
      <c r="L87" s="202"/>
      <c r="M87" s="202"/>
      <c r="N87" s="203"/>
    </row>
    <row r="88" spans="1:14" ht="15">
      <c r="A88" s="169" t="s">
        <v>320</v>
      </c>
      <c r="B88" s="179">
        <v>110</v>
      </c>
      <c r="C88" s="164">
        <v>0.7</v>
      </c>
      <c r="D88" s="182">
        <f t="shared" si="15"/>
        <v>0.94285714285714295</v>
      </c>
      <c r="E88" s="167">
        <v>0.66</v>
      </c>
      <c r="F88" s="182">
        <f t="shared" si="16"/>
        <v>0.87878787878787867</v>
      </c>
      <c r="G88" s="168">
        <v>0.57999999999999996</v>
      </c>
      <c r="H88" s="177">
        <f t="shared" si="17"/>
        <v>29.475599999999996</v>
      </c>
      <c r="I88" s="182">
        <f t="shared" si="18"/>
        <v>0.26795999999999998</v>
      </c>
      <c r="J88" s="145"/>
      <c r="K88" s="223"/>
      <c r="L88" s="202"/>
      <c r="M88" s="202"/>
      <c r="N88" s="203"/>
    </row>
    <row r="89" spans="1:14" ht="15">
      <c r="A89" s="180" t="s">
        <v>99</v>
      </c>
      <c r="B89" s="149">
        <f t="shared" ref="B89:C89" si="19">AVERAGE(B84:B88)</f>
        <v>298</v>
      </c>
      <c r="C89" s="176">
        <f t="shared" si="19"/>
        <v>0.76200000000000012</v>
      </c>
      <c r="D89" s="182">
        <f t="shared" si="15"/>
        <v>0.93175853018372679</v>
      </c>
      <c r="E89" s="176">
        <f>AVERAGE(E84:E88)</f>
        <v>0.71</v>
      </c>
      <c r="F89" s="182">
        <f t="shared" si="16"/>
        <v>0.88169014084507047</v>
      </c>
      <c r="G89" s="176">
        <f>AVERAGE(G84:G88)</f>
        <v>0.626</v>
      </c>
      <c r="H89" s="177">
        <f t="shared" si="17"/>
        <v>100.92619896000002</v>
      </c>
      <c r="I89" s="182">
        <f t="shared" si="18"/>
        <v>0.33867852000000009</v>
      </c>
      <c r="J89" s="145"/>
      <c r="K89" s="191"/>
      <c r="L89" s="192"/>
      <c r="M89" s="192"/>
      <c r="N89" s="193"/>
    </row>
    <row r="90" spans="1:14" ht="13.2">
      <c r="A90" s="145"/>
      <c r="B90" s="145"/>
      <c r="C90" s="145"/>
      <c r="D90" s="145"/>
      <c r="E90" s="145"/>
      <c r="F90" s="145"/>
      <c r="G90" s="145"/>
      <c r="H90" s="145"/>
      <c r="I90" s="145"/>
      <c r="J90" s="145"/>
      <c r="K90" s="145"/>
      <c r="L90" s="145"/>
      <c r="M90" s="145"/>
      <c r="N90" s="145"/>
    </row>
    <row r="91" spans="1:14" ht="13.2">
      <c r="A91" s="245" t="s">
        <v>321</v>
      </c>
      <c r="B91" s="190"/>
      <c r="C91" s="245" t="s">
        <v>322</v>
      </c>
      <c r="D91" s="190"/>
      <c r="E91" s="245" t="s">
        <v>288</v>
      </c>
      <c r="F91" s="190"/>
      <c r="G91" s="245" t="s">
        <v>289</v>
      </c>
      <c r="H91" s="189"/>
      <c r="I91" s="189"/>
      <c r="J91" s="189"/>
      <c r="K91" s="189"/>
      <c r="L91" s="189"/>
      <c r="M91" s="189"/>
      <c r="N91" s="190"/>
    </row>
    <row r="92" spans="1:14" ht="13.2">
      <c r="A92" s="191"/>
      <c r="B92" s="193"/>
      <c r="C92" s="191"/>
      <c r="D92" s="193"/>
      <c r="E92" s="191"/>
      <c r="F92" s="193"/>
      <c r="G92" s="191"/>
      <c r="H92" s="192"/>
      <c r="I92" s="192"/>
      <c r="J92" s="192"/>
      <c r="K92" s="192"/>
      <c r="L92" s="192"/>
      <c r="M92" s="192"/>
      <c r="N92" s="193"/>
    </row>
    <row r="93" spans="1:14" ht="13.2">
      <c r="A93" s="246"/>
      <c r="B93" s="190"/>
      <c r="C93" s="246"/>
      <c r="D93" s="190"/>
      <c r="E93" s="246"/>
      <c r="F93" s="190"/>
      <c r="G93" s="246"/>
      <c r="H93" s="189"/>
      <c r="I93" s="189"/>
      <c r="J93" s="189"/>
      <c r="K93" s="189"/>
      <c r="L93" s="189"/>
      <c r="M93" s="189"/>
      <c r="N93" s="190"/>
    </row>
    <row r="94" spans="1:14" ht="13.2">
      <c r="A94" s="223"/>
      <c r="B94" s="203"/>
      <c r="C94" s="223"/>
      <c r="D94" s="203"/>
      <c r="E94" s="223"/>
      <c r="F94" s="203"/>
      <c r="G94" s="223"/>
      <c r="H94" s="202"/>
      <c r="I94" s="202"/>
      <c r="J94" s="202"/>
      <c r="K94" s="202"/>
      <c r="L94" s="202"/>
      <c r="M94" s="202"/>
      <c r="N94" s="203"/>
    </row>
    <row r="95" spans="1:14" ht="13.2">
      <c r="A95" s="223"/>
      <c r="B95" s="203"/>
      <c r="C95" s="223"/>
      <c r="D95" s="203"/>
      <c r="E95" s="223"/>
      <c r="F95" s="203"/>
      <c r="G95" s="223"/>
      <c r="H95" s="202"/>
      <c r="I95" s="202"/>
      <c r="J95" s="202"/>
      <c r="K95" s="202"/>
      <c r="L95" s="202"/>
      <c r="M95" s="202"/>
      <c r="N95" s="203"/>
    </row>
    <row r="96" spans="1:14" ht="13.2">
      <c r="A96" s="223"/>
      <c r="B96" s="203"/>
      <c r="C96" s="223"/>
      <c r="D96" s="203"/>
      <c r="E96" s="223"/>
      <c r="F96" s="203"/>
      <c r="G96" s="223"/>
      <c r="H96" s="202"/>
      <c r="I96" s="202"/>
      <c r="J96" s="202"/>
      <c r="K96" s="202"/>
      <c r="L96" s="202"/>
      <c r="M96" s="202"/>
      <c r="N96" s="203"/>
    </row>
    <row r="97" spans="1:14" ht="13.2">
      <c r="A97" s="223"/>
      <c r="B97" s="203"/>
      <c r="C97" s="223"/>
      <c r="D97" s="203"/>
      <c r="E97" s="223"/>
      <c r="F97" s="203"/>
      <c r="G97" s="223"/>
      <c r="H97" s="202"/>
      <c r="I97" s="202"/>
      <c r="J97" s="202"/>
      <c r="K97" s="202"/>
      <c r="L97" s="202"/>
      <c r="M97" s="202"/>
      <c r="N97" s="203"/>
    </row>
    <row r="98" spans="1:14" ht="24" customHeight="1">
      <c r="A98" s="191"/>
      <c r="B98" s="193"/>
      <c r="C98" s="191"/>
      <c r="D98" s="193"/>
      <c r="E98" s="191"/>
      <c r="F98" s="193"/>
      <c r="G98" s="191"/>
      <c r="H98" s="192"/>
      <c r="I98" s="192"/>
      <c r="J98" s="192"/>
      <c r="K98" s="192"/>
      <c r="L98" s="192"/>
      <c r="M98" s="192"/>
      <c r="N98" s="193"/>
    </row>
  </sheetData>
  <mergeCells count="71">
    <mergeCell ref="C74:D79"/>
    <mergeCell ref="E74:F79"/>
    <mergeCell ref="G74:N79"/>
    <mergeCell ref="G53:N58"/>
    <mergeCell ref="A60:I60"/>
    <mergeCell ref="K60:N61"/>
    <mergeCell ref="C61:G61"/>
    <mergeCell ref="H61:H62"/>
    <mergeCell ref="I61:I62"/>
    <mergeCell ref="K62:N70"/>
    <mergeCell ref="A53:B58"/>
    <mergeCell ref="C53:D58"/>
    <mergeCell ref="E53:F58"/>
    <mergeCell ref="A11:J11"/>
    <mergeCell ref="A12:J12"/>
    <mergeCell ref="A13:J13"/>
    <mergeCell ref="A72:B73"/>
    <mergeCell ref="C72:D73"/>
    <mergeCell ref="E72:F73"/>
    <mergeCell ref="G72:N73"/>
    <mergeCell ref="A51:B52"/>
    <mergeCell ref="C51:D52"/>
    <mergeCell ref="E51:F52"/>
    <mergeCell ref="K38:N39"/>
    <mergeCell ref="C39:G39"/>
    <mergeCell ref="H39:H40"/>
    <mergeCell ref="I39:I40"/>
    <mergeCell ref="K40:N49"/>
    <mergeCell ref="A14:J14"/>
    <mergeCell ref="A6:J6"/>
    <mergeCell ref="A7:J7"/>
    <mergeCell ref="A8:J8"/>
    <mergeCell ref="A9:J9"/>
    <mergeCell ref="A10:J10"/>
    <mergeCell ref="A1:N1"/>
    <mergeCell ref="A2:J2"/>
    <mergeCell ref="A3:J3"/>
    <mergeCell ref="A4:J4"/>
    <mergeCell ref="A5:J5"/>
    <mergeCell ref="A15:J15"/>
    <mergeCell ref="A16:I16"/>
    <mergeCell ref="K16:N17"/>
    <mergeCell ref="C17:G17"/>
    <mergeCell ref="H17:H18"/>
    <mergeCell ref="I17:I18"/>
    <mergeCell ref="K18:N27"/>
    <mergeCell ref="E31:F36"/>
    <mergeCell ref="A38:I38"/>
    <mergeCell ref="A29:B30"/>
    <mergeCell ref="C29:D30"/>
    <mergeCell ref="E29:F30"/>
    <mergeCell ref="G29:N30"/>
    <mergeCell ref="A31:B36"/>
    <mergeCell ref="C31:D36"/>
    <mergeCell ref="G31:N36"/>
    <mergeCell ref="G51:N52"/>
    <mergeCell ref="A93:B98"/>
    <mergeCell ref="C93:D98"/>
    <mergeCell ref="E93:F98"/>
    <mergeCell ref="G93:N98"/>
    <mergeCell ref="H82:H83"/>
    <mergeCell ref="I82:I83"/>
    <mergeCell ref="K83:N89"/>
    <mergeCell ref="A91:B92"/>
    <mergeCell ref="C91:D92"/>
    <mergeCell ref="E91:F92"/>
    <mergeCell ref="G91:N92"/>
    <mergeCell ref="A81:I81"/>
    <mergeCell ref="K81:N82"/>
    <mergeCell ref="C82:G82"/>
    <mergeCell ref="A74:B79"/>
  </mergeCells>
  <pageMargins left="0.7" right="0.7" top="0.75" bottom="0.75" header="0.3" footer="0.3"/>
  <tableParts count="11">
    <tablePart r:id="rId1"/>
    <tablePart r:id="rId2"/>
    <tablePart r:id="rId3"/>
    <tablePart r:id="rId4"/>
    <tablePart r:id="rId5"/>
    <tablePart r:id="rId6"/>
    <tablePart r:id="rId7"/>
    <tablePart r:id="rId8"/>
    <tablePart r:id="rId9"/>
    <tablePart r:id="rId10"/>
    <tablePart r:id="rId1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Deliverables</vt:lpstr>
      <vt:lpstr>Tab 1 - Measure drop-offs</vt:lpstr>
      <vt:lpstr>Tab 2 - Signup Experiments</vt:lpstr>
      <vt:lpstr>Tab 3 - Activation Hypothesis</vt:lpstr>
      <vt:lpstr>Tab 4 - Habit Moment and Metric</vt:lpstr>
      <vt:lpstr>Tab 5 - Aha Moment and Metric A</vt:lpstr>
      <vt:lpstr>Tab 6 - Setup Moment and Metric</vt:lpstr>
      <vt:lpstr>Tab 7 - Activation Funnel</vt:lpstr>
      <vt:lpstr>Tab 8 - Segment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Frederick Zoreta</dc:creator>
  <cp:lastModifiedBy>Frederick Zoreta</cp:lastModifiedBy>
  <dcterms:created xsi:type="dcterms:W3CDTF">2021-03-10T21:22:19Z</dcterms:created>
  <dcterms:modified xsi:type="dcterms:W3CDTF">2021-03-17T23:02:20Z</dcterms:modified>
</cp:coreProperties>
</file>