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92C1AD5C-390A-4CA8-B238-E5920F518851}" xr6:coauthVersionLast="47" xr6:coauthVersionMax="47" xr10:uidLastSave="{00000000-0000-0000-0000-000000000000}"/>
  <bookViews>
    <workbookView xWindow="-28920" yWindow="-8370" windowWidth="29040" windowHeight="17520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80" l="1"/>
  <c r="A118" i="95"/>
  <c r="G118" i="95"/>
  <c r="A13" i="82"/>
  <c r="A14" i="82"/>
  <c r="Q16" i="79"/>
  <c r="R16" i="79"/>
  <c r="S16" i="79"/>
  <c r="T16" i="79"/>
  <c r="U16" i="79"/>
  <c r="V16" i="79"/>
  <c r="W16" i="79"/>
  <c r="X16" i="79"/>
  <c r="Y16" i="79"/>
  <c r="P16" i="79"/>
  <c r="I17" i="79"/>
  <c r="I16" i="79"/>
  <c r="E17" i="79"/>
  <c r="E16" i="79"/>
  <c r="V70" i="82"/>
  <c r="V69" i="82"/>
  <c r="V68" i="82"/>
  <c r="V67" i="82"/>
  <c r="V41" i="82"/>
  <c r="V40" i="82"/>
  <c r="V34" i="82"/>
  <c r="V33" i="82"/>
  <c r="V30" i="82"/>
  <c r="V26" i="82"/>
  <c r="V25" i="82"/>
  <c r="V24" i="82"/>
  <c r="V23" i="82"/>
  <c r="V39" i="82" s="1"/>
  <c r="V22" i="82"/>
  <c r="V38" i="82" s="1"/>
  <c r="V21" i="82"/>
  <c r="V37" i="82" s="1"/>
  <c r="V20" i="82"/>
  <c r="V36" i="82" s="1"/>
  <c r="V19" i="82"/>
  <c r="V18" i="82"/>
  <c r="V7" i="82"/>
  <c r="V6" i="82"/>
  <c r="V5" i="82"/>
  <c r="L213" i="80"/>
  <c r="L212" i="80"/>
  <c r="I13" i="95"/>
  <c r="A15" i="95"/>
  <c r="G15" i="95"/>
  <c r="I15" i="95"/>
  <c r="I14" i="95"/>
  <c r="G14" i="95"/>
  <c r="A14" i="95"/>
  <c r="I16" i="95"/>
  <c r="G16" i="95"/>
  <c r="A16" i="95"/>
  <c r="H25" i="79"/>
  <c r="G117" i="95"/>
  <c r="A117" i="95"/>
  <c r="G116" i="95"/>
  <c r="A116" i="95"/>
  <c r="G115" i="95" l="1"/>
  <c r="A115" i="95"/>
  <c r="G114" i="95"/>
  <c r="A114" i="95"/>
  <c r="G113" i="95"/>
  <c r="A113" i="95"/>
  <c r="G112" i="95"/>
  <c r="A112" i="95"/>
  <c r="I111" i="95"/>
  <c r="G111" i="95"/>
  <c r="A111" i="95"/>
  <c r="I110" i="95"/>
  <c r="G110" i="95"/>
  <c r="A110" i="95"/>
  <c r="I109" i="95"/>
  <c r="G109" i="95"/>
  <c r="A109" i="95"/>
  <c r="I108" i="95"/>
  <c r="G108" i="95"/>
  <c r="A108" i="95"/>
  <c r="Y33" i="79" l="1"/>
  <c r="Y34" i="79"/>
  <c r="Y35" i="79"/>
  <c r="Y36" i="79"/>
  <c r="Y37" i="79"/>
  <c r="X37" i="79"/>
  <c r="X36" i="79"/>
  <c r="X35" i="79"/>
  <c r="X34" i="79"/>
  <c r="X33" i="79"/>
  <c r="W33" i="79"/>
  <c r="W34" i="79"/>
  <c r="W35" i="79"/>
  <c r="W36" i="79"/>
  <c r="W37" i="79"/>
  <c r="V37" i="79"/>
  <c r="V36" i="79"/>
  <c r="V35" i="79"/>
  <c r="V34" i="79"/>
  <c r="V33" i="79"/>
  <c r="U33" i="79"/>
  <c r="U34" i="79"/>
  <c r="U35" i="79"/>
  <c r="U36" i="79"/>
  <c r="U37" i="79"/>
  <c r="T37" i="79"/>
  <c r="T36" i="79"/>
  <c r="T35" i="79"/>
  <c r="T34" i="79"/>
  <c r="T33" i="79"/>
  <c r="S33" i="79"/>
  <c r="S34" i="79"/>
  <c r="S35" i="79"/>
  <c r="S36" i="79"/>
  <c r="S37" i="79"/>
  <c r="R37" i="79"/>
  <c r="R36" i="79"/>
  <c r="R35" i="79"/>
  <c r="R34" i="79"/>
  <c r="R33" i="79"/>
  <c r="Q33" i="79"/>
  <c r="Q34" i="79"/>
  <c r="Q35" i="79"/>
  <c r="Q36" i="79"/>
  <c r="Q37" i="79"/>
  <c r="P37" i="79"/>
  <c r="P36" i="79"/>
  <c r="P35" i="79"/>
  <c r="P34" i="79"/>
  <c r="I107" i="95"/>
  <c r="G107" i="95"/>
  <c r="A107" i="95"/>
  <c r="I106" i="95"/>
  <c r="G106" i="95"/>
  <c r="A106" i="95"/>
  <c r="T5" i="82"/>
  <c r="U5" i="82"/>
  <c r="S5" i="82"/>
  <c r="S70" i="82"/>
  <c r="S69" i="82"/>
  <c r="S68" i="82"/>
  <c r="S67" i="82"/>
  <c r="S41" i="82"/>
  <c r="S40" i="82"/>
  <c r="S35" i="82"/>
  <c r="S34" i="82"/>
  <c r="S33" i="82"/>
  <c r="S32" i="82"/>
  <c r="S31" i="82"/>
  <c r="S30" i="82"/>
  <c r="S26" i="82"/>
  <c r="S25" i="82"/>
  <c r="S24" i="82"/>
  <c r="S23" i="82"/>
  <c r="S39" i="82" s="1"/>
  <c r="S22" i="82"/>
  <c r="S38" i="82" s="1"/>
  <c r="S21" i="82"/>
  <c r="S37" i="82" s="1"/>
  <c r="S20" i="82"/>
  <c r="S36" i="82" s="1"/>
  <c r="S19" i="82"/>
  <c r="S18" i="82"/>
  <c r="S7" i="82"/>
  <c r="S6" i="82"/>
  <c r="A103" i="95"/>
  <c r="G103" i="95"/>
  <c r="I103" i="95"/>
  <c r="A102" i="95"/>
  <c r="G102" i="95"/>
  <c r="I102" i="95"/>
  <c r="H12" i="79" l="1"/>
  <c r="I13" i="79"/>
  <c r="Q15" i="79"/>
  <c r="R15" i="79"/>
  <c r="S15" i="79"/>
  <c r="T15" i="79"/>
  <c r="U15" i="79"/>
  <c r="V15" i="79"/>
  <c r="W15" i="79"/>
  <c r="X15" i="79"/>
  <c r="Y15" i="79"/>
  <c r="P15" i="79"/>
  <c r="H13" i="79" s="1"/>
  <c r="A11" i="97"/>
  <c r="A7" i="97"/>
  <c r="A6" i="97"/>
  <c r="A5" i="97"/>
  <c r="A4" i="97"/>
  <c r="I105" i="95"/>
  <c r="G105" i="95"/>
  <c r="A105" i="95"/>
  <c r="I104" i="95"/>
  <c r="G104" i="95"/>
  <c r="A104" i="95"/>
  <c r="I101" i="95"/>
  <c r="G101" i="95"/>
  <c r="A101" i="95"/>
  <c r="I100" i="95"/>
  <c r="G100" i="95"/>
  <c r="A100" i="95"/>
  <c r="I99" i="95"/>
  <c r="G99" i="95"/>
  <c r="A99" i="95"/>
  <c r="I98" i="95"/>
  <c r="G98" i="95"/>
  <c r="A98" i="95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A65" i="95"/>
  <c r="I64" i="95"/>
  <c r="G64" i="95"/>
  <c r="A64" i="95"/>
  <c r="I63" i="95"/>
  <c r="G63" i="95"/>
  <c r="A63" i="95"/>
  <c r="I62" i="95"/>
  <c r="G62" i="95"/>
  <c r="A62" i="95"/>
  <c r="I61" i="95"/>
  <c r="G61" i="95"/>
  <c r="A61" i="95"/>
  <c r="I60" i="95"/>
  <c r="G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A47" i="95"/>
  <c r="I46" i="95"/>
  <c r="G46" i="95"/>
  <c r="A46" i="95"/>
  <c r="I45" i="95"/>
  <c r="G45" i="95"/>
  <c r="A45" i="95"/>
  <c r="I44" i="95"/>
  <c r="G44" i="95"/>
  <c r="A44" i="95"/>
  <c r="I43" i="95"/>
  <c r="G43" i="95"/>
  <c r="A43" i="95"/>
  <c r="I42" i="95"/>
  <c r="G42" i="95"/>
  <c r="A42" i="95"/>
  <c r="I41" i="95"/>
  <c r="G41" i="95"/>
  <c r="A41" i="95"/>
  <c r="I40" i="95"/>
  <c r="G40" i="95"/>
  <c r="A40" i="95"/>
  <c r="I39" i="95"/>
  <c r="G39" i="95"/>
  <c r="A39" i="95"/>
  <c r="I38" i="95"/>
  <c r="G38" i="95"/>
  <c r="A38" i="95"/>
  <c r="I37" i="95"/>
  <c r="G37" i="95"/>
  <c r="A37" i="95"/>
  <c r="I36" i="95"/>
  <c r="A36" i="95"/>
  <c r="I35" i="95"/>
  <c r="A35" i="95"/>
  <c r="I34" i="95"/>
  <c r="A34" i="95"/>
  <c r="I33" i="95"/>
  <c r="A33" i="95"/>
  <c r="I32" i="95"/>
  <c r="A32" i="95"/>
  <c r="I31" i="95"/>
  <c r="A31" i="95"/>
  <c r="I30" i="95"/>
  <c r="A30" i="95"/>
  <c r="I29" i="95"/>
  <c r="A29" i="95"/>
  <c r="I28" i="95"/>
  <c r="A28" i="95"/>
  <c r="I27" i="95"/>
  <c r="A27" i="95"/>
  <c r="I26" i="95"/>
  <c r="A26" i="95"/>
  <c r="I25" i="95"/>
  <c r="A25" i="95"/>
  <c r="I24" i="95"/>
  <c r="A24" i="95"/>
  <c r="I23" i="95"/>
  <c r="A23" i="95"/>
  <c r="I22" i="95"/>
  <c r="A22" i="95"/>
  <c r="I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A17" i="95"/>
  <c r="I12" i="95"/>
  <c r="G12" i="95"/>
  <c r="A12" i="95"/>
  <c r="G13" i="95"/>
  <c r="A13" i="95"/>
  <c r="I11" i="95"/>
  <c r="G11" i="95"/>
  <c r="A11" i="95"/>
  <c r="I10" i="95"/>
  <c r="G10" i="95"/>
  <c r="A10" i="95"/>
  <c r="EJ3" i="80"/>
  <c r="EI3" i="80"/>
  <c r="EH3" i="80"/>
  <c r="EG3" i="80"/>
  <c r="EF3" i="80"/>
  <c r="EE3" i="80"/>
  <c r="ED3" i="80"/>
  <c r="EC3" i="80"/>
  <c r="EB3" i="80"/>
  <c r="EA3" i="80"/>
  <c r="DZ3" i="80"/>
  <c r="DY3" i="80"/>
  <c r="DX3" i="80"/>
  <c r="DW3" i="80"/>
  <c r="DV3" i="80"/>
  <c r="DU3" i="80"/>
  <c r="DT3" i="80"/>
  <c r="DS3" i="80"/>
  <c r="DR3" i="80"/>
  <c r="DQ3" i="80"/>
  <c r="DP3" i="80"/>
  <c r="DO3" i="80"/>
  <c r="DN3" i="80"/>
  <c r="DM3" i="80"/>
  <c r="DL3" i="80"/>
  <c r="DK3" i="80"/>
  <c r="DJ3" i="80"/>
  <c r="DI3" i="80"/>
  <c r="DH3" i="80"/>
  <c r="DG3" i="80"/>
  <c r="DF3" i="80"/>
  <c r="DE3" i="80"/>
  <c r="DD3" i="80"/>
  <c r="DC3" i="80"/>
  <c r="DB3" i="80"/>
  <c r="DA3" i="80"/>
  <c r="CZ3" i="80"/>
  <c r="CY3" i="80"/>
  <c r="CX3" i="80"/>
  <c r="CW3" i="80"/>
  <c r="CV3" i="80"/>
  <c r="CU3" i="80"/>
  <c r="CT3" i="80"/>
  <c r="CS3" i="80"/>
  <c r="CR3" i="80"/>
  <c r="CQ3" i="80"/>
  <c r="CP3" i="80"/>
  <c r="CO3" i="80"/>
  <c r="CN3" i="80"/>
  <c r="CM3" i="80"/>
  <c r="CL3" i="80"/>
  <c r="CK3" i="80"/>
  <c r="CJ3" i="80"/>
  <c r="CI3" i="80"/>
  <c r="CH3" i="80"/>
  <c r="CG3" i="80"/>
  <c r="CF3" i="80"/>
  <c r="CE3" i="80"/>
  <c r="CD3" i="80"/>
  <c r="CC3" i="80"/>
  <c r="CB3" i="80"/>
  <c r="CA3" i="80"/>
  <c r="BZ3" i="80"/>
  <c r="BY3" i="80"/>
  <c r="BX3" i="80"/>
  <c r="BW3" i="80"/>
  <c r="BV3" i="80"/>
  <c r="BU3" i="80"/>
  <c r="BT3" i="80"/>
  <c r="BS3" i="80"/>
  <c r="BR3" i="80"/>
  <c r="BQ3" i="80"/>
  <c r="BP3" i="80"/>
  <c r="BO3" i="80"/>
  <c r="BN3" i="80"/>
  <c r="BM3" i="80"/>
  <c r="BL3" i="80"/>
  <c r="BK3" i="80"/>
  <c r="BJ3" i="80"/>
  <c r="BI3" i="80"/>
  <c r="BH3" i="80"/>
  <c r="BG3" i="80"/>
  <c r="BF3" i="80"/>
  <c r="BE3" i="80"/>
  <c r="BD3" i="80"/>
  <c r="BC3" i="80"/>
  <c r="BB3" i="80"/>
  <c r="BA3" i="80"/>
  <c r="AZ3" i="80"/>
  <c r="AY3" i="80"/>
  <c r="AX3" i="80"/>
  <c r="AW3" i="80"/>
  <c r="AV3" i="80"/>
  <c r="AU3" i="80"/>
  <c r="AT3" i="80"/>
  <c r="AS3" i="80"/>
  <c r="AR3" i="80"/>
  <c r="AQ3" i="80"/>
  <c r="AP3" i="80"/>
  <c r="AO3" i="80"/>
  <c r="AN3" i="80"/>
  <c r="AM3" i="80"/>
  <c r="AL3" i="80"/>
  <c r="AK3" i="80"/>
  <c r="AJ3" i="80"/>
  <c r="AI3" i="80"/>
  <c r="AH3" i="80"/>
  <c r="AG3" i="80"/>
  <c r="AF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N3" i="80"/>
  <c r="B76" i="82"/>
  <c r="A76" i="82"/>
  <c r="B75" i="82"/>
  <c r="A75" i="82"/>
  <c r="B74" i="82"/>
  <c r="A74" i="82"/>
  <c r="B73" i="82"/>
  <c r="A73" i="82"/>
  <c r="B72" i="82"/>
  <c r="A72" i="82"/>
  <c r="B71" i="82"/>
  <c r="A71" i="82"/>
  <c r="U70" i="82"/>
  <c r="T70" i="82"/>
  <c r="R70" i="82"/>
  <c r="Q70" i="82"/>
  <c r="P70" i="82"/>
  <c r="O70" i="82"/>
  <c r="N70" i="82"/>
  <c r="M70" i="82"/>
  <c r="L70" i="82"/>
  <c r="K70" i="82"/>
  <c r="J70" i="82"/>
  <c r="I70" i="82"/>
  <c r="H70" i="82"/>
  <c r="G70" i="82"/>
  <c r="F70" i="82"/>
  <c r="E70" i="82"/>
  <c r="D70" i="82"/>
  <c r="C70" i="82"/>
  <c r="B70" i="82"/>
  <c r="A70" i="82"/>
  <c r="U69" i="82"/>
  <c r="T69" i="82"/>
  <c r="R69" i="82"/>
  <c r="Q69" i="82"/>
  <c r="P69" i="82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B69" i="82"/>
  <c r="A69" i="82"/>
  <c r="U68" i="82"/>
  <c r="T68" i="82"/>
  <c r="R68" i="82"/>
  <c r="Q68" i="82"/>
  <c r="P68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B68" i="82"/>
  <c r="A68" i="82"/>
  <c r="U67" i="82"/>
  <c r="T67" i="82"/>
  <c r="R67" i="82"/>
  <c r="Q67" i="82"/>
  <c r="P67" i="82"/>
  <c r="O67" i="82"/>
  <c r="N67" i="82"/>
  <c r="M67" i="82"/>
  <c r="L67" i="82"/>
  <c r="K67" i="82"/>
  <c r="J67" i="82"/>
  <c r="I67" i="82"/>
  <c r="H67" i="82"/>
  <c r="G67" i="82"/>
  <c r="F67" i="82"/>
  <c r="E67" i="82"/>
  <c r="D67" i="82"/>
  <c r="C67" i="82"/>
  <c r="B67" i="82"/>
  <c r="A67" i="82"/>
  <c r="B66" i="82"/>
  <c r="A66" i="82"/>
  <c r="B65" i="82"/>
  <c r="A65" i="82"/>
  <c r="B64" i="82"/>
  <c r="A64" i="82"/>
  <c r="B63" i="82"/>
  <c r="A63" i="82"/>
  <c r="B62" i="82"/>
  <c r="A62" i="82"/>
  <c r="B61" i="82"/>
  <c r="A61" i="82"/>
  <c r="B60" i="82"/>
  <c r="A60" i="82"/>
  <c r="B59" i="82"/>
  <c r="A59" i="82"/>
  <c r="B58" i="82"/>
  <c r="A58" i="82"/>
  <c r="B57" i="82"/>
  <c r="A57" i="82"/>
  <c r="B56" i="82"/>
  <c r="A56" i="82"/>
  <c r="B55" i="82"/>
  <c r="A55" i="82"/>
  <c r="B54" i="82"/>
  <c r="A54" i="82"/>
  <c r="B53" i="82"/>
  <c r="A53" i="82"/>
  <c r="B52" i="82"/>
  <c r="A52" i="82"/>
  <c r="B51" i="82"/>
  <c r="V51" i="82" s="1"/>
  <c r="A51" i="82"/>
  <c r="U50" i="82"/>
  <c r="B50" i="82"/>
  <c r="A50" i="82"/>
  <c r="U49" i="82"/>
  <c r="B49" i="82"/>
  <c r="A49" i="82"/>
  <c r="B48" i="82"/>
  <c r="C48" i="82" s="1"/>
  <c r="A48" i="82"/>
  <c r="B47" i="82"/>
  <c r="A47" i="82"/>
  <c r="B46" i="82"/>
  <c r="A46" i="82"/>
  <c r="B45" i="82"/>
  <c r="V48" i="82" s="1"/>
  <c r="A45" i="82"/>
  <c r="B44" i="82"/>
  <c r="A44" i="82"/>
  <c r="B43" i="82"/>
  <c r="A43" i="82"/>
  <c r="B42" i="82"/>
  <c r="A42" i="82"/>
  <c r="U41" i="82"/>
  <c r="T41" i="82"/>
  <c r="R41" i="82"/>
  <c r="Q41" i="82"/>
  <c r="P41" i="82"/>
  <c r="O41" i="82"/>
  <c r="N41" i="82"/>
  <c r="M41" i="82"/>
  <c r="L41" i="82"/>
  <c r="K41" i="82"/>
  <c r="J41" i="82"/>
  <c r="I41" i="82"/>
  <c r="H41" i="82"/>
  <c r="G41" i="82"/>
  <c r="F41" i="82"/>
  <c r="E41" i="82"/>
  <c r="D41" i="82"/>
  <c r="C41" i="82"/>
  <c r="B41" i="82"/>
  <c r="A41" i="82"/>
  <c r="U40" i="82"/>
  <c r="T40" i="82"/>
  <c r="R40" i="82"/>
  <c r="Q40" i="82"/>
  <c r="P40" i="82"/>
  <c r="O40" i="82"/>
  <c r="N40" i="82"/>
  <c r="M40" i="82"/>
  <c r="L40" i="82"/>
  <c r="K40" i="82"/>
  <c r="J40" i="82"/>
  <c r="I40" i="82"/>
  <c r="H40" i="82"/>
  <c r="G40" i="82"/>
  <c r="F40" i="82"/>
  <c r="E40" i="82"/>
  <c r="D40" i="82"/>
  <c r="C40" i="82"/>
  <c r="B40" i="82"/>
  <c r="A40" i="82"/>
  <c r="P39" i="82"/>
  <c r="B39" i="82"/>
  <c r="A39" i="82"/>
  <c r="B38" i="82"/>
  <c r="A38" i="82"/>
  <c r="B37" i="82"/>
  <c r="A37" i="82"/>
  <c r="J36" i="82"/>
  <c r="B36" i="82"/>
  <c r="A36" i="82"/>
  <c r="T35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B35" i="82"/>
  <c r="A35" i="82"/>
  <c r="U34" i="82"/>
  <c r="T34" i="82"/>
  <c r="R34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B34" i="82"/>
  <c r="A34" i="82"/>
  <c r="U33" i="82"/>
  <c r="T33" i="82"/>
  <c r="R33" i="82"/>
  <c r="Q33" i="82"/>
  <c r="P33" i="82"/>
  <c r="O33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B33" i="82"/>
  <c r="A33" i="82"/>
  <c r="U32" i="82"/>
  <c r="T32" i="82"/>
  <c r="R32" i="82"/>
  <c r="Q32" i="82"/>
  <c r="P32" i="82"/>
  <c r="O32" i="82"/>
  <c r="N32" i="82"/>
  <c r="M32" i="82"/>
  <c r="L32" i="82"/>
  <c r="K32" i="82"/>
  <c r="J32" i="82"/>
  <c r="I32" i="82"/>
  <c r="H32" i="82"/>
  <c r="G32" i="82"/>
  <c r="F32" i="82"/>
  <c r="E32" i="82"/>
  <c r="D32" i="82"/>
  <c r="C32" i="82"/>
  <c r="B32" i="82"/>
  <c r="A32" i="82"/>
  <c r="U31" i="82"/>
  <c r="T31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B31" i="82"/>
  <c r="A31" i="82"/>
  <c r="U30" i="82"/>
  <c r="T30" i="82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B30" i="82"/>
  <c r="A30" i="82"/>
  <c r="B29" i="82"/>
  <c r="A29" i="82"/>
  <c r="B28" i="82"/>
  <c r="A2" i="82" s="1"/>
  <c r="A28" i="82"/>
  <c r="B27" i="82"/>
  <c r="S29" i="82" s="1"/>
  <c r="A27" i="82"/>
  <c r="U26" i="82"/>
  <c r="T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B26" i="82"/>
  <c r="A26" i="82"/>
  <c r="U25" i="82"/>
  <c r="T25" i="82"/>
  <c r="R25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B25" i="82"/>
  <c r="A25" i="82"/>
  <c r="U24" i="82"/>
  <c r="T24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B24" i="82"/>
  <c r="A24" i="82"/>
  <c r="U23" i="82"/>
  <c r="U39" i="82" s="1"/>
  <c r="T23" i="82"/>
  <c r="T39" i="82" s="1"/>
  <c r="R23" i="82"/>
  <c r="R39" i="82" s="1"/>
  <c r="Q23" i="82"/>
  <c r="Q39" i="82" s="1"/>
  <c r="P23" i="82"/>
  <c r="O23" i="82"/>
  <c r="O39" i="82" s="1"/>
  <c r="N23" i="82"/>
  <c r="N39" i="82" s="1"/>
  <c r="M23" i="82"/>
  <c r="M39" i="82" s="1"/>
  <c r="L23" i="82"/>
  <c r="L39" i="82" s="1"/>
  <c r="K23" i="82"/>
  <c r="K39" i="82" s="1"/>
  <c r="J23" i="82"/>
  <c r="J39" i="82" s="1"/>
  <c r="I23" i="82"/>
  <c r="I39" i="82" s="1"/>
  <c r="H23" i="82"/>
  <c r="H39" i="82" s="1"/>
  <c r="G23" i="82"/>
  <c r="G39" i="82" s="1"/>
  <c r="F23" i="82"/>
  <c r="F39" i="82" s="1"/>
  <c r="E23" i="82"/>
  <c r="E39" i="82" s="1"/>
  <c r="D23" i="82"/>
  <c r="D39" i="82" s="1"/>
  <c r="C23" i="82"/>
  <c r="C39" i="82" s="1"/>
  <c r="B23" i="82"/>
  <c r="A23" i="82"/>
  <c r="U22" i="82"/>
  <c r="U38" i="82" s="1"/>
  <c r="T22" i="82"/>
  <c r="T38" i="82" s="1"/>
  <c r="R22" i="82"/>
  <c r="R38" i="82" s="1"/>
  <c r="Q22" i="82"/>
  <c r="Q38" i="82" s="1"/>
  <c r="P22" i="82"/>
  <c r="P38" i="82" s="1"/>
  <c r="O22" i="82"/>
  <c r="O38" i="82" s="1"/>
  <c r="N22" i="82"/>
  <c r="N38" i="82" s="1"/>
  <c r="M22" i="82"/>
  <c r="M38" i="82" s="1"/>
  <c r="L22" i="82"/>
  <c r="L38" i="82" s="1"/>
  <c r="K22" i="82"/>
  <c r="K38" i="82" s="1"/>
  <c r="J22" i="82"/>
  <c r="J38" i="82" s="1"/>
  <c r="I22" i="82"/>
  <c r="I38" i="82" s="1"/>
  <c r="H22" i="82"/>
  <c r="H38" i="82" s="1"/>
  <c r="G22" i="82"/>
  <c r="G38" i="82" s="1"/>
  <c r="F22" i="82"/>
  <c r="F38" i="82" s="1"/>
  <c r="E22" i="82"/>
  <c r="E38" i="82" s="1"/>
  <c r="D22" i="82"/>
  <c r="D38" i="82" s="1"/>
  <c r="C22" i="82"/>
  <c r="C38" i="82" s="1"/>
  <c r="B22" i="82"/>
  <c r="A22" i="82"/>
  <c r="U21" i="82"/>
  <c r="U37" i="82" s="1"/>
  <c r="T21" i="82"/>
  <c r="T37" i="82" s="1"/>
  <c r="R21" i="82"/>
  <c r="R37" i="82" s="1"/>
  <c r="Q21" i="82"/>
  <c r="Q37" i="82" s="1"/>
  <c r="P21" i="82"/>
  <c r="P37" i="82" s="1"/>
  <c r="O21" i="82"/>
  <c r="O37" i="82" s="1"/>
  <c r="N21" i="82"/>
  <c r="N37" i="82" s="1"/>
  <c r="M21" i="82"/>
  <c r="M37" i="82" s="1"/>
  <c r="L21" i="82"/>
  <c r="L37" i="82" s="1"/>
  <c r="K21" i="82"/>
  <c r="K37" i="82" s="1"/>
  <c r="J21" i="82"/>
  <c r="J37" i="82" s="1"/>
  <c r="I21" i="82"/>
  <c r="I37" i="82" s="1"/>
  <c r="H21" i="82"/>
  <c r="H37" i="82" s="1"/>
  <c r="G21" i="82"/>
  <c r="G37" i="82" s="1"/>
  <c r="F21" i="82"/>
  <c r="F37" i="82" s="1"/>
  <c r="E21" i="82"/>
  <c r="E37" i="82" s="1"/>
  <c r="D21" i="82"/>
  <c r="D37" i="82" s="1"/>
  <c r="C21" i="82"/>
  <c r="C37" i="82" s="1"/>
  <c r="B21" i="82"/>
  <c r="A21" i="82"/>
  <c r="U20" i="82"/>
  <c r="U36" i="82" s="1"/>
  <c r="T20" i="82"/>
  <c r="T36" i="82" s="1"/>
  <c r="R20" i="82"/>
  <c r="R36" i="82" s="1"/>
  <c r="Q20" i="82"/>
  <c r="Q36" i="82" s="1"/>
  <c r="P20" i="82"/>
  <c r="P36" i="82" s="1"/>
  <c r="O20" i="82"/>
  <c r="O36" i="82" s="1"/>
  <c r="N20" i="82"/>
  <c r="N36" i="82" s="1"/>
  <c r="M20" i="82"/>
  <c r="M36" i="82" s="1"/>
  <c r="L20" i="82"/>
  <c r="L36" i="82" s="1"/>
  <c r="K20" i="82"/>
  <c r="K36" i="82" s="1"/>
  <c r="J20" i="82"/>
  <c r="I20" i="82"/>
  <c r="I36" i="82" s="1"/>
  <c r="H20" i="82"/>
  <c r="H36" i="82" s="1"/>
  <c r="G20" i="82"/>
  <c r="G36" i="82" s="1"/>
  <c r="F20" i="82"/>
  <c r="F36" i="82" s="1"/>
  <c r="E20" i="82"/>
  <c r="E36" i="82" s="1"/>
  <c r="D20" i="82"/>
  <c r="D36" i="82" s="1"/>
  <c r="C20" i="82"/>
  <c r="C36" i="82" s="1"/>
  <c r="B20" i="82"/>
  <c r="A20" i="82"/>
  <c r="U19" i="82"/>
  <c r="T19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B19" i="82"/>
  <c r="A19" i="82"/>
  <c r="U18" i="82"/>
  <c r="T18" i="82"/>
  <c r="R18" i="82"/>
  <c r="Q18" i="82"/>
  <c r="P18" i="82"/>
  <c r="O18" i="82"/>
  <c r="N18" i="82"/>
  <c r="M18" i="82"/>
  <c r="L18" i="82"/>
  <c r="K18" i="82"/>
  <c r="J18" i="82"/>
  <c r="I18" i="82"/>
  <c r="H18" i="82"/>
  <c r="G18" i="82"/>
  <c r="B18" i="82"/>
  <c r="A18" i="82"/>
  <c r="B17" i="82"/>
  <c r="A17" i="82"/>
  <c r="B16" i="82"/>
  <c r="A16" i="82"/>
  <c r="B15" i="82"/>
  <c r="A15" i="82"/>
  <c r="B12" i="82"/>
  <c r="A12" i="82"/>
  <c r="B11" i="82"/>
  <c r="A11" i="82"/>
  <c r="B10" i="82"/>
  <c r="A10" i="82"/>
  <c r="B9" i="82"/>
  <c r="A9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A8" i="82"/>
  <c r="U7" i="82"/>
  <c r="T7" i="82"/>
  <c r="R7" i="82"/>
  <c r="Q7" i="82"/>
  <c r="P7" i="82"/>
  <c r="O7" i="82"/>
  <c r="N7" i="82"/>
  <c r="M7" i="82"/>
  <c r="L7" i="82"/>
  <c r="K7" i="82"/>
  <c r="J7" i="82"/>
  <c r="I7" i="82"/>
  <c r="H7" i="82"/>
  <c r="G7" i="82"/>
  <c r="F7" i="82"/>
  <c r="E7" i="82"/>
  <c r="D7" i="82"/>
  <c r="C7" i="82"/>
  <c r="B7" i="82"/>
  <c r="A7" i="82"/>
  <c r="U6" i="82"/>
  <c r="T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A6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66" i="99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E15" i="79"/>
  <c r="I14" i="79"/>
  <c r="E14" i="79"/>
  <c r="E13" i="79"/>
  <c r="I12" i="79"/>
  <c r="E12" i="79"/>
  <c r="V46" i="82" l="1"/>
  <c r="V47" i="82"/>
  <c r="T27" i="82"/>
  <c r="V29" i="82"/>
  <c r="V27" i="82"/>
  <c r="V28" i="82"/>
  <c r="S27" i="82"/>
  <c r="U28" i="82"/>
  <c r="U27" i="82"/>
  <c r="T28" i="82"/>
  <c r="S28" i="82"/>
  <c r="V49" i="82"/>
  <c r="V50" i="82"/>
  <c r="Q48" i="82"/>
  <c r="Q46" i="82" s="1"/>
  <c r="S48" i="82"/>
  <c r="F51" i="82"/>
  <c r="F50" i="82" s="1"/>
  <c r="S51" i="82"/>
  <c r="N29" i="82"/>
  <c r="Q27" i="82"/>
  <c r="P29" i="82"/>
  <c r="C27" i="82"/>
  <c r="E29" i="82"/>
  <c r="J28" i="82"/>
  <c r="M48" i="82"/>
  <c r="M47" i="82" s="1"/>
  <c r="H51" i="82"/>
  <c r="H50" i="82" s="1"/>
  <c r="U48" i="82"/>
  <c r="U47" i="82" s="1"/>
  <c r="K48" i="82"/>
  <c r="K47" i="82" s="1"/>
  <c r="I51" i="82"/>
  <c r="I50" i="82" s="1"/>
  <c r="N51" i="82"/>
  <c r="J48" i="82"/>
  <c r="J46" i="82" s="1"/>
  <c r="L48" i="82"/>
  <c r="L47" i="82" s="1"/>
  <c r="D48" i="82"/>
  <c r="N48" i="82"/>
  <c r="E48" i="82"/>
  <c r="O48" i="82"/>
  <c r="F48" i="82"/>
  <c r="R48" i="82"/>
  <c r="G48" i="82"/>
  <c r="T48" i="82"/>
  <c r="C47" i="82"/>
  <c r="C46" i="82"/>
  <c r="R27" i="82"/>
  <c r="Q29" i="82"/>
  <c r="I27" i="82"/>
  <c r="P28" i="82"/>
  <c r="H29" i="82"/>
  <c r="O51" i="82"/>
  <c r="J27" i="82"/>
  <c r="C28" i="82"/>
  <c r="Q28" i="82"/>
  <c r="I29" i="82"/>
  <c r="P51" i="82"/>
  <c r="K28" i="82"/>
  <c r="G28" i="82"/>
  <c r="L27" i="82"/>
  <c r="H28" i="82"/>
  <c r="U29" i="82"/>
  <c r="L29" i="82"/>
  <c r="D29" i="82"/>
  <c r="N28" i="82"/>
  <c r="F28" i="82"/>
  <c r="P27" i="82"/>
  <c r="H27" i="82"/>
  <c r="T29" i="82"/>
  <c r="K29" i="82"/>
  <c r="C29" i="82"/>
  <c r="M28" i="82"/>
  <c r="E28" i="82"/>
  <c r="O27" i="82"/>
  <c r="G27" i="82"/>
  <c r="R29" i="82"/>
  <c r="J29" i="82"/>
  <c r="L28" i="82"/>
  <c r="D28" i="82"/>
  <c r="N27" i="82"/>
  <c r="F27" i="82"/>
  <c r="D27" i="82"/>
  <c r="F29" i="82"/>
  <c r="E27" i="82"/>
  <c r="O28" i="82"/>
  <c r="G29" i="82"/>
  <c r="K27" i="82"/>
  <c r="R28" i="82"/>
  <c r="M29" i="82"/>
  <c r="M51" i="82"/>
  <c r="E51" i="82"/>
  <c r="L51" i="82"/>
  <c r="D51" i="82"/>
  <c r="T51" i="82"/>
  <c r="K51" i="82"/>
  <c r="C51" i="82"/>
  <c r="J51" i="82"/>
  <c r="R51" i="82"/>
  <c r="Q51" i="82"/>
  <c r="M27" i="82"/>
  <c r="I28" i="82"/>
  <c r="O29" i="82"/>
  <c r="G51" i="82"/>
  <c r="H48" i="82"/>
  <c r="P48" i="82"/>
  <c r="I48" i="82"/>
  <c r="DE76" i="79"/>
  <c r="DF76" i="79"/>
  <c r="DG76" i="79"/>
  <c r="DH76" i="79"/>
  <c r="DI76" i="79"/>
  <c r="DJ76" i="79"/>
  <c r="DK76" i="79"/>
  <c r="DY76" i="79"/>
  <c r="DZ76" i="79"/>
  <c r="EA76" i="79"/>
  <c r="EB76" i="79"/>
  <c r="EC76" i="79"/>
  <c r="ED76" i="79"/>
  <c r="EE76" i="79"/>
  <c r="FP79" i="79"/>
  <c r="FM27" i="79"/>
  <c r="FN27" i="79"/>
  <c r="FO27" i="79"/>
  <c r="FP27" i="79"/>
  <c r="FQ27" i="79"/>
  <c r="FR27" i="79"/>
  <c r="FS27" i="79"/>
  <c r="FM28" i="79"/>
  <c r="FN28" i="79"/>
  <c r="FO28" i="79"/>
  <c r="FP28" i="79"/>
  <c r="FQ28" i="79"/>
  <c r="FR28" i="79"/>
  <c r="FS28" i="79"/>
  <c r="FM35" i="79"/>
  <c r="FM34" i="79"/>
  <c r="FM33" i="79"/>
  <c r="FO35" i="79"/>
  <c r="FO34" i="79"/>
  <c r="FO33" i="79"/>
  <c r="FO37" i="79" s="1"/>
  <c r="FQ35" i="79"/>
  <c r="FQ34" i="79"/>
  <c r="FQ33" i="79"/>
  <c r="FS35" i="79"/>
  <c r="FS34" i="79"/>
  <c r="FS33" i="79"/>
  <c r="DA35" i="79"/>
  <c r="DA34" i="79"/>
  <c r="DA33" i="79"/>
  <c r="CY35" i="79"/>
  <c r="CY34" i="79"/>
  <c r="CY33" i="79"/>
  <c r="CY37" i="79" s="1"/>
  <c r="CW35" i="79"/>
  <c r="CW34" i="79"/>
  <c r="CW33" i="79"/>
  <c r="CU35" i="79"/>
  <c r="CU34" i="79"/>
  <c r="CU33" i="79"/>
  <c r="CQ37" i="79"/>
  <c r="CQ36" i="79"/>
  <c r="CO37" i="79"/>
  <c r="CO36" i="79"/>
  <c r="I49" i="82" l="1"/>
  <c r="U46" i="82"/>
  <c r="FM36" i="79"/>
  <c r="FQ36" i="79"/>
  <c r="FM37" i="79"/>
  <c r="J47" i="82"/>
  <c r="DA37" i="79"/>
  <c r="Q47" i="82"/>
  <c r="CW37" i="79"/>
  <c r="S49" i="82"/>
  <c r="S50" i="82"/>
  <c r="S47" i="82"/>
  <c r="S46" i="82"/>
  <c r="F49" i="82"/>
  <c r="K46" i="82"/>
  <c r="N47" i="82"/>
  <c r="N46" i="82"/>
  <c r="D47" i="82"/>
  <c r="D46" i="82"/>
  <c r="G47" i="82"/>
  <c r="G46" i="82"/>
  <c r="L46" i="82"/>
  <c r="F47" i="82"/>
  <c r="F46" i="82"/>
  <c r="O47" i="82"/>
  <c r="O46" i="82"/>
  <c r="T47" i="82"/>
  <c r="T46" i="82"/>
  <c r="R46" i="82"/>
  <c r="R47" i="82"/>
  <c r="N50" i="82"/>
  <c r="N49" i="82"/>
  <c r="H49" i="82"/>
  <c r="M46" i="82"/>
  <c r="E47" i="82"/>
  <c r="E46" i="82"/>
  <c r="I46" i="82"/>
  <c r="I47" i="82"/>
  <c r="L49" i="82"/>
  <c r="L50" i="82"/>
  <c r="P46" i="82"/>
  <c r="P47" i="82"/>
  <c r="E49" i="82"/>
  <c r="E50" i="82"/>
  <c r="H46" i="82"/>
  <c r="H47" i="82"/>
  <c r="R49" i="82"/>
  <c r="R50" i="82"/>
  <c r="G50" i="82"/>
  <c r="G49" i="82"/>
  <c r="O50" i="82"/>
  <c r="O49" i="82"/>
  <c r="T49" i="82"/>
  <c r="T50" i="82"/>
  <c r="Q50" i="82"/>
  <c r="Q49" i="82"/>
  <c r="M49" i="82"/>
  <c r="M50" i="82"/>
  <c r="J49" i="82"/>
  <c r="J50" i="82"/>
  <c r="C49" i="82"/>
  <c r="C50" i="82"/>
  <c r="K49" i="82"/>
  <c r="K50" i="82"/>
  <c r="D49" i="82"/>
  <c r="D50" i="82"/>
  <c r="P50" i="82"/>
  <c r="P49" i="82"/>
  <c r="FQ37" i="79"/>
  <c r="CW36" i="79"/>
  <c r="FS36" i="79"/>
  <c r="DA36" i="79"/>
  <c r="CU37" i="79"/>
  <c r="CY36" i="79"/>
  <c r="FS37" i="79"/>
  <c r="FO36" i="79"/>
  <c r="CU36" i="79"/>
  <c r="CK37" i="79"/>
  <c r="CK36" i="79"/>
  <c r="CM37" i="79"/>
  <c r="CM36" i="79"/>
  <c r="EX21" i="79" l="1"/>
  <c r="EN21" i="79"/>
  <c r="EX20" i="79"/>
  <c r="EN20" i="79"/>
  <c r="EX19" i="79"/>
  <c r="EN19" i="79"/>
  <c r="I19" i="79"/>
  <c r="I20" i="79"/>
  <c r="I21" i="79"/>
  <c r="I18" i="79"/>
  <c r="E19" i="79"/>
  <c r="E20" i="79"/>
  <c r="E21" i="79"/>
  <c r="EX18" i="79"/>
  <c r="EN18" i="79"/>
  <c r="E18" i="79"/>
  <c r="DC23" i="79" l="1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C25" i="79"/>
  <c r="DD25" i="79"/>
  <c r="DE25" i="79"/>
  <c r="DF25" i="79"/>
  <c r="DG25" i="79"/>
  <c r="DH25" i="79"/>
  <c r="DI25" i="79"/>
  <c r="DJ25" i="79"/>
  <c r="DK25" i="79"/>
  <c r="DC26" i="79"/>
  <c r="DD26" i="79"/>
  <c r="DE26" i="79"/>
  <c r="DF26" i="79"/>
  <c r="DG26" i="79"/>
  <c r="DH26" i="79"/>
  <c r="DI26" i="79"/>
  <c r="DJ26" i="79"/>
  <c r="DK26" i="79"/>
  <c r="DB26" i="79"/>
  <c r="DB25" i="79"/>
  <c r="DB24" i="79"/>
  <c r="DB23" i="79"/>
  <c r="I22" i="79" l="1"/>
  <c r="E22" i="79"/>
  <c r="EX79" i="79" l="1"/>
  <c r="DA79" i="79"/>
  <c r="CZ79" i="79"/>
  <c r="CY79" i="79"/>
  <c r="CW79" i="79"/>
  <c r="CV79" i="79"/>
  <c r="CU79" i="79"/>
  <c r="CT79" i="79"/>
  <c r="CS79" i="79"/>
  <c r="CR79" i="79"/>
  <c r="CN79" i="79"/>
  <c r="CX79" i="79" s="1"/>
  <c r="E79" i="79"/>
  <c r="EX78" i="79"/>
  <c r="EN78" i="79"/>
  <c r="CD78" i="79"/>
  <c r="O78" i="79"/>
  <c r="E78" i="79"/>
  <c r="EX77" i="79"/>
  <c r="EN77" i="79"/>
  <c r="CD77" i="79"/>
  <c r="O77" i="79"/>
  <c r="E77" i="79"/>
  <c r="EN76" i="79"/>
  <c r="EL76" i="79"/>
  <c r="EJ76" i="79"/>
  <c r="EH76" i="79"/>
  <c r="EG76" i="79"/>
  <c r="EF76" i="79"/>
  <c r="DX76" i="79"/>
  <c r="DW76" i="79"/>
  <c r="DV76" i="79"/>
  <c r="DD76" i="79"/>
  <c r="DC76" i="79"/>
  <c r="DB76" i="79"/>
  <c r="CQ76" i="79"/>
  <c r="CP76" i="79"/>
  <c r="CO76" i="79"/>
  <c r="CN76" i="79"/>
  <c r="CM76" i="79"/>
  <c r="CL76" i="79"/>
  <c r="CK76" i="79"/>
  <c r="CJ76" i="79"/>
  <c r="CI76" i="79"/>
  <c r="CH76" i="79"/>
  <c r="E76" i="79"/>
  <c r="EX75" i="79"/>
  <c r="EN75" i="79"/>
  <c r="E75" i="79"/>
  <c r="EX74" i="79"/>
  <c r="EV74" i="79"/>
  <c r="ET74" i="79"/>
  <c r="ER74" i="79"/>
  <c r="EQ74" i="79"/>
  <c r="EP74" i="79"/>
  <c r="EN74" i="79"/>
  <c r="O74" i="79"/>
  <c r="E74" i="79"/>
  <c r="O73" i="79"/>
  <c r="E73" i="79"/>
  <c r="CL72" i="79"/>
  <c r="O72" i="79"/>
  <c r="E72" i="79"/>
  <c r="O71" i="79"/>
  <c r="E71" i="79"/>
  <c r="O70" i="79"/>
  <c r="E70" i="79"/>
  <c r="EN69" i="79"/>
  <c r="EL69" i="79"/>
  <c r="EJ69" i="79"/>
  <c r="EH69" i="79"/>
  <c r="EG69" i="79"/>
  <c r="EF69" i="79"/>
  <c r="DK69" i="79"/>
  <c r="DJ69" i="79"/>
  <c r="DI69" i="79"/>
  <c r="DH69" i="79"/>
  <c r="DG69" i="79"/>
  <c r="DF69" i="79"/>
  <c r="DE69" i="79"/>
  <c r="DD69" i="79"/>
  <c r="DC69" i="79"/>
  <c r="DB69" i="79"/>
  <c r="O69" i="79"/>
  <c r="E69" i="79"/>
  <c r="EX68" i="79"/>
  <c r="EN68" i="79"/>
  <c r="O68" i="79"/>
  <c r="E68" i="79"/>
  <c r="B68" i="79"/>
  <c r="EX67" i="79"/>
  <c r="EN67" i="79"/>
  <c r="O67" i="79"/>
  <c r="E67" i="79"/>
  <c r="B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EX55" i="79"/>
  <c r="EN55" i="79"/>
  <c r="E55" i="79"/>
  <c r="EN54" i="79"/>
  <c r="DA54" i="79"/>
  <c r="CZ54" i="79"/>
  <c r="CY54" i="79"/>
  <c r="CX54" i="79"/>
  <c r="CW54" i="79"/>
  <c r="CV54" i="79"/>
  <c r="CU54" i="79"/>
  <c r="CT54" i="79"/>
  <c r="CS54" i="79"/>
  <c r="CR54" i="79"/>
  <c r="E54" i="79"/>
  <c r="O53" i="79"/>
  <c r="E53" i="79"/>
  <c r="E52" i="79"/>
  <c r="EX51" i="79"/>
  <c r="EN51" i="79"/>
  <c r="CZ51" i="79"/>
  <c r="CV51" i="79"/>
  <c r="CT51" i="79"/>
  <c r="CS51" i="79"/>
  <c r="CR51" i="79"/>
  <c r="CN51" i="79"/>
  <c r="CX51" i="79" s="1"/>
  <c r="E51" i="79"/>
  <c r="EX50" i="79"/>
  <c r="EN50" i="79"/>
  <c r="O50" i="79"/>
  <c r="E50" i="79"/>
  <c r="EX49" i="79"/>
  <c r="EN49" i="79"/>
  <c r="E49" i="79"/>
  <c r="EX48" i="79"/>
  <c r="EN48" i="79"/>
  <c r="O48" i="79"/>
  <c r="I48" i="79"/>
  <c r="E48" i="79"/>
  <c r="EX47" i="79"/>
  <c r="EN47" i="79"/>
  <c r="O47" i="79"/>
  <c r="E47" i="79"/>
  <c r="EX46" i="79"/>
  <c r="EN46" i="79"/>
  <c r="O46" i="79"/>
  <c r="E46" i="79"/>
  <c r="EX45" i="79"/>
  <c r="EN45" i="79"/>
  <c r="O45" i="79"/>
  <c r="E45" i="79"/>
  <c r="E44" i="79"/>
  <c r="EX43" i="79"/>
  <c r="EN43" i="79"/>
  <c r="O43" i="79"/>
  <c r="E43" i="79"/>
  <c r="EX42" i="79"/>
  <c r="EN42" i="79"/>
  <c r="E42" i="79"/>
  <c r="EX41" i="79"/>
  <c r="EN41" i="79"/>
  <c r="E41" i="79"/>
  <c r="EX40" i="79"/>
  <c r="EN40" i="79"/>
  <c r="E40" i="79"/>
  <c r="EX39" i="79"/>
  <c r="EN39" i="79"/>
  <c r="E39" i="79"/>
  <c r="EX38" i="79"/>
  <c r="EN38" i="79"/>
  <c r="O38" i="79"/>
  <c r="O39" i="79" s="1"/>
  <c r="O40" i="79" s="1"/>
  <c r="O41" i="79" s="1"/>
  <c r="O42" i="79" s="1"/>
  <c r="E38" i="79"/>
  <c r="FI37" i="79"/>
  <c r="FH37" i="79"/>
  <c r="FG37" i="79"/>
  <c r="FF37" i="79"/>
  <c r="FE37" i="79"/>
  <c r="FD37" i="79"/>
  <c r="FC37" i="79"/>
  <c r="FB37" i="79"/>
  <c r="FA37" i="79"/>
  <c r="EZ37" i="79"/>
  <c r="ER37" i="79"/>
  <c r="EQ37" i="79"/>
  <c r="EP37" i="79"/>
  <c r="EH37" i="79"/>
  <c r="EG37" i="79"/>
  <c r="EF37" i="79"/>
  <c r="ED37" i="79"/>
  <c r="EB37" i="79"/>
  <c r="DZ37" i="79"/>
  <c r="DX37" i="79"/>
  <c r="DW37" i="79"/>
  <c r="DV37" i="79"/>
  <c r="DT37" i="79"/>
  <c r="DR37" i="79"/>
  <c r="DP37" i="79"/>
  <c r="DN37" i="79"/>
  <c r="DM37" i="79"/>
  <c r="DL37" i="79"/>
  <c r="DJ37" i="79"/>
  <c r="DH37" i="79"/>
  <c r="DF37" i="79"/>
  <c r="DD37" i="79"/>
  <c r="DC37" i="79"/>
  <c r="DB37" i="79"/>
  <c r="CP37" i="79"/>
  <c r="CL37" i="79"/>
  <c r="CJ37" i="79"/>
  <c r="CI37" i="79"/>
  <c r="CH37" i="79"/>
  <c r="CG37" i="79"/>
  <c r="CF37" i="79"/>
  <c r="CE37" i="79"/>
  <c r="CC37" i="79"/>
  <c r="CB37" i="79"/>
  <c r="CA37" i="79"/>
  <c r="BZ37" i="79"/>
  <c r="BY37" i="79"/>
  <c r="BX37" i="79"/>
  <c r="AS37" i="79"/>
  <c r="AR37" i="79"/>
  <c r="AQ37" i="79"/>
  <c r="AP37" i="79"/>
  <c r="AO37" i="79"/>
  <c r="AN37" i="79"/>
  <c r="AM37" i="79"/>
  <c r="AL37" i="79"/>
  <c r="AK37" i="79"/>
  <c r="AJ37" i="79"/>
  <c r="AI37" i="79"/>
  <c r="AH37" i="79"/>
  <c r="AG37" i="79"/>
  <c r="AF37" i="79"/>
  <c r="AE37" i="79"/>
  <c r="AD37" i="79"/>
  <c r="AC37" i="79"/>
  <c r="AB37" i="79"/>
  <c r="AA37" i="79"/>
  <c r="Z37" i="79"/>
  <c r="I37" i="79"/>
  <c r="E37" i="79"/>
  <c r="FI36" i="79"/>
  <c r="FH36" i="79"/>
  <c r="FG36" i="79"/>
  <c r="FF36" i="79"/>
  <c r="FE36" i="79"/>
  <c r="FD36" i="79"/>
  <c r="FC36" i="79"/>
  <c r="FB36" i="79"/>
  <c r="FA36" i="79"/>
  <c r="EZ36" i="79"/>
  <c r="ER36" i="79"/>
  <c r="EQ36" i="79"/>
  <c r="EP36" i="79"/>
  <c r="EH36" i="79"/>
  <c r="EG36" i="79"/>
  <c r="EF36" i="79"/>
  <c r="ED36" i="79"/>
  <c r="EB36" i="79"/>
  <c r="DZ36" i="79"/>
  <c r="DX36" i="79"/>
  <c r="DW36" i="79"/>
  <c r="DV36" i="79"/>
  <c r="DT36" i="79"/>
  <c r="DR36" i="79"/>
  <c r="DP36" i="79"/>
  <c r="DN36" i="79"/>
  <c r="DM36" i="79"/>
  <c r="DL36" i="79"/>
  <c r="DJ36" i="79"/>
  <c r="DH36" i="79"/>
  <c r="DF36" i="79"/>
  <c r="DD36" i="79"/>
  <c r="DC36" i="79"/>
  <c r="DB36" i="79"/>
  <c r="CP36" i="79"/>
  <c r="CL36" i="79"/>
  <c r="CJ36" i="79"/>
  <c r="CI36" i="79"/>
  <c r="CH36" i="79"/>
  <c r="CG36" i="79"/>
  <c r="CF36" i="79"/>
  <c r="CE36" i="79"/>
  <c r="CC36" i="79"/>
  <c r="CB36" i="79"/>
  <c r="CA36" i="79"/>
  <c r="BZ36" i="79"/>
  <c r="BY36" i="79"/>
  <c r="BX36" i="79"/>
  <c r="AS36" i="79"/>
  <c r="AR36" i="79"/>
  <c r="AQ36" i="79"/>
  <c r="AP36" i="79"/>
  <c r="AO36" i="79"/>
  <c r="AN36" i="79"/>
  <c r="AM36" i="79"/>
  <c r="AL36" i="79"/>
  <c r="AK36" i="79"/>
  <c r="AJ36" i="79"/>
  <c r="AI36" i="79"/>
  <c r="AH36" i="79"/>
  <c r="AG36" i="79"/>
  <c r="AF36" i="79"/>
  <c r="AE36" i="79"/>
  <c r="AD36" i="79"/>
  <c r="AC36" i="79"/>
  <c r="AB36" i="79"/>
  <c r="AA36" i="79"/>
  <c r="Z36" i="79"/>
  <c r="I36" i="79"/>
  <c r="E36" i="79"/>
  <c r="FR35" i="79"/>
  <c r="FP35" i="79"/>
  <c r="FN35" i="79"/>
  <c r="FL35" i="79"/>
  <c r="FK35" i="79"/>
  <c r="FJ35" i="79"/>
  <c r="EX35" i="79"/>
  <c r="EN35" i="79"/>
  <c r="CZ35" i="79"/>
  <c r="CV35" i="79"/>
  <c r="CT35" i="79"/>
  <c r="CS35" i="79"/>
  <c r="CR35" i="79"/>
  <c r="CN35" i="79"/>
  <c r="CX35" i="79" s="1"/>
  <c r="CD35" i="79"/>
  <c r="I35" i="79"/>
  <c r="E35" i="79"/>
  <c r="FR34" i="79"/>
  <c r="FP34" i="79"/>
  <c r="FN34" i="79"/>
  <c r="FL34" i="79"/>
  <c r="FK34" i="79"/>
  <c r="FJ34" i="79"/>
  <c r="EX34" i="79"/>
  <c r="EN34" i="79"/>
  <c r="CZ34" i="79"/>
  <c r="CV34" i="79"/>
  <c r="CT34" i="79"/>
  <c r="CS34" i="79"/>
  <c r="CR34" i="79"/>
  <c r="CN34" i="79"/>
  <c r="CX34" i="79" s="1"/>
  <c r="O34" i="79"/>
  <c r="O44" i="79" s="1"/>
  <c r="I34" i="79"/>
  <c r="E34" i="79"/>
  <c r="FR33" i="79"/>
  <c r="FP33" i="79"/>
  <c r="FP36" i="79" s="1"/>
  <c r="FN33" i="79"/>
  <c r="FN36" i="79" s="1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CD36" i="79" s="1"/>
  <c r="P33" i="79"/>
  <c r="I33" i="79"/>
  <c r="E33" i="79"/>
  <c r="EX32" i="79"/>
  <c r="EN32" i="79"/>
  <c r="DA32" i="79"/>
  <c r="CZ32" i="79"/>
  <c r="CY32" i="79"/>
  <c r="CX32" i="79"/>
  <c r="CW32" i="79"/>
  <c r="CV32" i="79"/>
  <c r="CU32" i="79"/>
  <c r="CT32" i="79"/>
  <c r="CS32" i="79"/>
  <c r="CR32" i="79"/>
  <c r="CG32" i="79"/>
  <c r="CF32" i="79"/>
  <c r="CE32" i="79"/>
  <c r="CD32" i="79"/>
  <c r="CC32" i="79"/>
  <c r="CA32" i="79"/>
  <c r="BZ32" i="79"/>
  <c r="BX32" i="79"/>
  <c r="E32" i="79"/>
  <c r="B32" i="79"/>
  <c r="EX31" i="79"/>
  <c r="EN31" i="79"/>
  <c r="DA31" i="79"/>
  <c r="CZ31" i="79"/>
  <c r="CY31" i="79"/>
  <c r="CX31" i="79"/>
  <c r="CW31" i="79"/>
  <c r="CV31" i="79"/>
  <c r="CU31" i="79"/>
  <c r="CT31" i="79"/>
  <c r="CS31" i="79"/>
  <c r="CR31" i="79"/>
  <c r="E31" i="79"/>
  <c r="B31" i="79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E30" i="79"/>
  <c r="I29" i="79"/>
  <c r="H29" i="79"/>
  <c r="E29" i="79"/>
  <c r="FL28" i="79"/>
  <c r="FK28" i="79"/>
  <c r="FJ28" i="79"/>
  <c r="EX28" i="79"/>
  <c r="EN28" i="79"/>
  <c r="DA28" i="79"/>
  <c r="CZ28" i="79"/>
  <c r="CY28" i="79"/>
  <c r="CW28" i="79"/>
  <c r="CV28" i="79"/>
  <c r="CU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29" i="79" s="1"/>
  <c r="I28" i="79"/>
  <c r="H28" i="79"/>
  <c r="E28" i="79"/>
  <c r="FL27" i="79"/>
  <c r="FK27" i="79"/>
  <c r="FJ27" i="79"/>
  <c r="EX27" i="79"/>
  <c r="EN27" i="79"/>
  <c r="DA27" i="79"/>
  <c r="CZ27" i="79"/>
  <c r="CY27" i="79"/>
  <c r="CX27" i="79"/>
  <c r="CW27" i="79"/>
  <c r="CV27" i="79"/>
  <c r="CU27" i="79"/>
  <c r="CT27" i="79"/>
  <c r="CS27" i="79"/>
  <c r="CR27" i="79"/>
  <c r="CN27" i="79"/>
  <c r="Y27" i="79"/>
  <c r="X27" i="79"/>
  <c r="W27" i="79"/>
  <c r="V27" i="79"/>
  <c r="U27" i="79"/>
  <c r="T27" i="79"/>
  <c r="S27" i="79"/>
  <c r="R27" i="79"/>
  <c r="Q27" i="79"/>
  <c r="P27" i="79"/>
  <c r="I27" i="79"/>
  <c r="H27" i="79"/>
  <c r="E27" i="79"/>
  <c r="I26" i="79"/>
  <c r="H26" i="79"/>
  <c r="E26" i="79"/>
  <c r="I25" i="79"/>
  <c r="E25" i="79"/>
  <c r="I24" i="79"/>
  <c r="H24" i="79"/>
  <c r="E24" i="79"/>
  <c r="O23" i="79"/>
  <c r="O24" i="79" s="1"/>
  <c r="O25" i="79" s="1"/>
  <c r="O26" i="79" s="1"/>
  <c r="I23" i="79"/>
  <c r="H23" i="79"/>
  <c r="E23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E11" i="79"/>
  <c r="EX10" i="79"/>
  <c r="EN10" i="79"/>
  <c r="EB10" i="79"/>
  <c r="O10" i="79"/>
  <c r="O22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C3" i="79"/>
  <c r="B3" i="79"/>
  <c r="CX37" i="79" l="1"/>
  <c r="G7" i="79"/>
  <c r="H186" i="80" s="1"/>
  <c r="F186" i="80" s="1"/>
  <c r="O3" i="80"/>
  <c r="H207" i="80"/>
  <c r="F207" i="80" s="1"/>
  <c r="H204" i="80"/>
  <c r="H206" i="80"/>
  <c r="H4" i="80"/>
  <c r="H203" i="80"/>
  <c r="H205" i="80"/>
  <c r="H195" i="80"/>
  <c r="H194" i="80"/>
  <c r="H196" i="80"/>
  <c r="H193" i="80"/>
  <c r="H201" i="80"/>
  <c r="H197" i="80"/>
  <c r="H192" i="80"/>
  <c r="H198" i="80"/>
  <c r="H191" i="80"/>
  <c r="H199" i="80"/>
  <c r="H190" i="80"/>
  <c r="H202" i="80"/>
  <c r="H200" i="80"/>
  <c r="H189" i="80"/>
  <c r="H188" i="80"/>
  <c r="H5" i="80"/>
  <c r="H11" i="80"/>
  <c r="H10" i="80"/>
  <c r="H9" i="80"/>
  <c r="H8" i="80"/>
  <c r="H7" i="80"/>
  <c r="H6" i="80"/>
  <c r="F6" i="80" s="1"/>
  <c r="H182" i="80"/>
  <c r="F182" i="80" s="1"/>
  <c r="H181" i="80"/>
  <c r="F181" i="80" s="1"/>
  <c r="H183" i="80"/>
  <c r="H187" i="80"/>
  <c r="F187" i="80" s="1"/>
  <c r="H185" i="80"/>
  <c r="F185" i="80" s="1"/>
  <c r="H176" i="80"/>
  <c r="F176" i="80" s="1"/>
  <c r="H168" i="80"/>
  <c r="F168" i="80" s="1"/>
  <c r="H160" i="80"/>
  <c r="F160" i="80" s="1"/>
  <c r="H152" i="80"/>
  <c r="F152" i="80" s="1"/>
  <c r="H144" i="80"/>
  <c r="F144" i="80" s="1"/>
  <c r="H136" i="80"/>
  <c r="F136" i="80" s="1"/>
  <c r="H128" i="80"/>
  <c r="F128" i="80" s="1"/>
  <c r="H120" i="80"/>
  <c r="F120" i="80" s="1"/>
  <c r="H112" i="80"/>
  <c r="F112" i="80" s="1"/>
  <c r="H104" i="80"/>
  <c r="F104" i="80" s="1"/>
  <c r="H96" i="80"/>
  <c r="F96" i="80" s="1"/>
  <c r="H88" i="80"/>
  <c r="F88" i="80" s="1"/>
  <c r="H80" i="80"/>
  <c r="F80" i="80" s="1"/>
  <c r="H72" i="80"/>
  <c r="F72" i="80" s="1"/>
  <c r="H64" i="80"/>
  <c r="F64" i="80" s="1"/>
  <c r="H56" i="80"/>
  <c r="F56" i="80" s="1"/>
  <c r="H48" i="80"/>
  <c r="F48" i="80" s="1"/>
  <c r="H40" i="80"/>
  <c r="F40" i="80" s="1"/>
  <c r="H32" i="80"/>
  <c r="F32" i="80" s="1"/>
  <c r="H24" i="80"/>
  <c r="F24" i="80" s="1"/>
  <c r="H16" i="80"/>
  <c r="H39" i="80"/>
  <c r="F39" i="80" s="1"/>
  <c r="H23" i="80"/>
  <c r="F23" i="80" s="1"/>
  <c r="H129" i="80"/>
  <c r="F129" i="80" s="1"/>
  <c r="H73" i="80"/>
  <c r="F73" i="80" s="1"/>
  <c r="H25" i="80"/>
  <c r="F25" i="80" s="1"/>
  <c r="H175" i="80"/>
  <c r="F175" i="80" s="1"/>
  <c r="H167" i="80"/>
  <c r="F167" i="80" s="1"/>
  <c r="H159" i="80"/>
  <c r="F159" i="80" s="1"/>
  <c r="H151" i="80"/>
  <c r="F151" i="80" s="1"/>
  <c r="H143" i="80"/>
  <c r="F143" i="80" s="1"/>
  <c r="H135" i="80"/>
  <c r="F135" i="80" s="1"/>
  <c r="H127" i="80"/>
  <c r="F127" i="80" s="1"/>
  <c r="H119" i="80"/>
  <c r="F119" i="80" s="1"/>
  <c r="H111" i="80"/>
  <c r="F111" i="80" s="1"/>
  <c r="H103" i="80"/>
  <c r="F103" i="80" s="1"/>
  <c r="H95" i="80"/>
  <c r="F95" i="80" s="1"/>
  <c r="H87" i="80"/>
  <c r="F87" i="80" s="1"/>
  <c r="H79" i="80"/>
  <c r="F79" i="80" s="1"/>
  <c r="H71" i="80"/>
  <c r="F71" i="80" s="1"/>
  <c r="H63" i="80"/>
  <c r="F63" i="80" s="1"/>
  <c r="H55" i="80"/>
  <c r="F55" i="80" s="1"/>
  <c r="H47" i="80"/>
  <c r="F47" i="80" s="1"/>
  <c r="H31" i="80"/>
  <c r="F31" i="80" s="1"/>
  <c r="H15" i="80"/>
  <c r="H145" i="80"/>
  <c r="F145" i="80" s="1"/>
  <c r="H97" i="80"/>
  <c r="F97" i="80" s="1"/>
  <c r="H49" i="80"/>
  <c r="F49" i="80" s="1"/>
  <c r="H174" i="80"/>
  <c r="F174" i="80" s="1"/>
  <c r="H166" i="80"/>
  <c r="F166" i="80" s="1"/>
  <c r="H158" i="80"/>
  <c r="F158" i="80" s="1"/>
  <c r="H150" i="80"/>
  <c r="F150" i="80" s="1"/>
  <c r="H142" i="80"/>
  <c r="F142" i="80" s="1"/>
  <c r="H134" i="80"/>
  <c r="F134" i="80" s="1"/>
  <c r="H126" i="80"/>
  <c r="F126" i="80" s="1"/>
  <c r="H118" i="80"/>
  <c r="F118" i="80" s="1"/>
  <c r="H110" i="80"/>
  <c r="F110" i="80" s="1"/>
  <c r="H102" i="80"/>
  <c r="F102" i="80" s="1"/>
  <c r="H94" i="80"/>
  <c r="F94" i="80" s="1"/>
  <c r="H86" i="80"/>
  <c r="F86" i="80" s="1"/>
  <c r="H78" i="80"/>
  <c r="F78" i="80" s="1"/>
  <c r="H70" i="80"/>
  <c r="F70" i="80" s="1"/>
  <c r="H62" i="80"/>
  <c r="F62" i="80" s="1"/>
  <c r="H54" i="80"/>
  <c r="F54" i="80" s="1"/>
  <c r="H46" i="80"/>
  <c r="F46" i="80" s="1"/>
  <c r="H38" i="80"/>
  <c r="F38" i="80" s="1"/>
  <c r="H30" i="80"/>
  <c r="F30" i="80" s="1"/>
  <c r="H22" i="80"/>
  <c r="F22" i="80" s="1"/>
  <c r="H14" i="80"/>
  <c r="H27" i="80"/>
  <c r="F27" i="80" s="1"/>
  <c r="H153" i="80"/>
  <c r="F153" i="80" s="1"/>
  <c r="H121" i="80"/>
  <c r="F121" i="80" s="1"/>
  <c r="H81" i="80"/>
  <c r="F81" i="80" s="1"/>
  <c r="H184" i="80"/>
  <c r="F184" i="80" s="1"/>
  <c r="H173" i="80"/>
  <c r="F173" i="80" s="1"/>
  <c r="H165" i="80"/>
  <c r="F165" i="80" s="1"/>
  <c r="H157" i="80"/>
  <c r="F157" i="80" s="1"/>
  <c r="H149" i="80"/>
  <c r="F149" i="80" s="1"/>
  <c r="H141" i="80"/>
  <c r="F141" i="80" s="1"/>
  <c r="H133" i="80"/>
  <c r="F133" i="80" s="1"/>
  <c r="H125" i="80"/>
  <c r="F125" i="80" s="1"/>
  <c r="H117" i="80"/>
  <c r="F117" i="80" s="1"/>
  <c r="H109" i="80"/>
  <c r="F109" i="80" s="1"/>
  <c r="H101" i="80"/>
  <c r="F101" i="80" s="1"/>
  <c r="H93" i="80"/>
  <c r="F93" i="80" s="1"/>
  <c r="H85" i="80"/>
  <c r="F85" i="80" s="1"/>
  <c r="H77" i="80"/>
  <c r="F77" i="80" s="1"/>
  <c r="H69" i="80"/>
  <c r="F69" i="80" s="1"/>
  <c r="H61" i="80"/>
  <c r="F61" i="80" s="1"/>
  <c r="H53" i="80"/>
  <c r="F53" i="80" s="1"/>
  <c r="H45" i="80"/>
  <c r="F45" i="80" s="1"/>
  <c r="H37" i="80"/>
  <c r="F37" i="80" s="1"/>
  <c r="H29" i="80"/>
  <c r="F29" i="80" s="1"/>
  <c r="H21" i="80"/>
  <c r="F21" i="80" s="1"/>
  <c r="H13" i="80"/>
  <c r="H35" i="80"/>
  <c r="F35" i="80" s="1"/>
  <c r="H169" i="80"/>
  <c r="F169" i="80" s="1"/>
  <c r="H105" i="80"/>
  <c r="F105" i="80" s="1"/>
  <c r="H65" i="80"/>
  <c r="F65" i="80" s="1"/>
  <c r="H17" i="80"/>
  <c r="H180" i="80"/>
  <c r="F180" i="80" s="1"/>
  <c r="H172" i="80"/>
  <c r="F172" i="80" s="1"/>
  <c r="H164" i="80"/>
  <c r="F164" i="80" s="1"/>
  <c r="H156" i="80"/>
  <c r="F156" i="80" s="1"/>
  <c r="H148" i="80"/>
  <c r="F148" i="80" s="1"/>
  <c r="H140" i="80"/>
  <c r="F140" i="80" s="1"/>
  <c r="H132" i="80"/>
  <c r="F132" i="80" s="1"/>
  <c r="H124" i="80"/>
  <c r="F124" i="80" s="1"/>
  <c r="H116" i="80"/>
  <c r="F116" i="80" s="1"/>
  <c r="H108" i="80"/>
  <c r="F108" i="80" s="1"/>
  <c r="H100" i="80"/>
  <c r="F100" i="80" s="1"/>
  <c r="H92" i="80"/>
  <c r="F92" i="80" s="1"/>
  <c r="H84" i="80"/>
  <c r="F84" i="80" s="1"/>
  <c r="H76" i="80"/>
  <c r="F76" i="80" s="1"/>
  <c r="H68" i="80"/>
  <c r="F68" i="80" s="1"/>
  <c r="H60" i="80"/>
  <c r="F60" i="80" s="1"/>
  <c r="H52" i="80"/>
  <c r="F52" i="80" s="1"/>
  <c r="H44" i="80"/>
  <c r="F44" i="80" s="1"/>
  <c r="H36" i="80"/>
  <c r="F36" i="80" s="1"/>
  <c r="H28" i="80"/>
  <c r="F28" i="80" s="1"/>
  <c r="H20" i="80"/>
  <c r="F20" i="80" s="1"/>
  <c r="H12" i="80"/>
  <c r="H19" i="80"/>
  <c r="H161" i="80"/>
  <c r="F161" i="80" s="1"/>
  <c r="H89" i="80"/>
  <c r="F89" i="80" s="1"/>
  <c r="H41" i="80"/>
  <c r="F41" i="80" s="1"/>
  <c r="H179" i="80"/>
  <c r="F179" i="80" s="1"/>
  <c r="H171" i="80"/>
  <c r="F171" i="80" s="1"/>
  <c r="H163" i="80"/>
  <c r="F163" i="80" s="1"/>
  <c r="H155" i="80"/>
  <c r="F155" i="80" s="1"/>
  <c r="H147" i="80"/>
  <c r="F147" i="80" s="1"/>
  <c r="H139" i="80"/>
  <c r="F139" i="80" s="1"/>
  <c r="H131" i="80"/>
  <c r="F131" i="80" s="1"/>
  <c r="H123" i="80"/>
  <c r="F123" i="80" s="1"/>
  <c r="H115" i="80"/>
  <c r="F115" i="80" s="1"/>
  <c r="H107" i="80"/>
  <c r="F107" i="80" s="1"/>
  <c r="H99" i="80"/>
  <c r="F99" i="80" s="1"/>
  <c r="H91" i="80"/>
  <c r="F91" i="80" s="1"/>
  <c r="H83" i="80"/>
  <c r="F83" i="80" s="1"/>
  <c r="H75" i="80"/>
  <c r="F75" i="80" s="1"/>
  <c r="H67" i="80"/>
  <c r="F67" i="80" s="1"/>
  <c r="H59" i="80"/>
  <c r="F59" i="80" s="1"/>
  <c r="H51" i="80"/>
  <c r="F51" i="80" s="1"/>
  <c r="H43" i="80"/>
  <c r="F43" i="80" s="1"/>
  <c r="H137" i="80"/>
  <c r="F137" i="80" s="1"/>
  <c r="H57" i="80"/>
  <c r="F57" i="80" s="1"/>
  <c r="H178" i="80"/>
  <c r="F178" i="80" s="1"/>
  <c r="H170" i="80"/>
  <c r="F170" i="80" s="1"/>
  <c r="H162" i="80"/>
  <c r="F162" i="80" s="1"/>
  <c r="H154" i="80"/>
  <c r="F154" i="80" s="1"/>
  <c r="H146" i="80"/>
  <c r="F146" i="80" s="1"/>
  <c r="H138" i="80"/>
  <c r="F138" i="80" s="1"/>
  <c r="H130" i="80"/>
  <c r="F130" i="80" s="1"/>
  <c r="H122" i="80"/>
  <c r="F122" i="80" s="1"/>
  <c r="H114" i="80"/>
  <c r="F114" i="80" s="1"/>
  <c r="H106" i="80"/>
  <c r="F106" i="80" s="1"/>
  <c r="H98" i="80"/>
  <c r="F98" i="80" s="1"/>
  <c r="H90" i="80"/>
  <c r="F90" i="80" s="1"/>
  <c r="H82" i="80"/>
  <c r="F82" i="80" s="1"/>
  <c r="H74" i="80"/>
  <c r="F74" i="80" s="1"/>
  <c r="H66" i="80"/>
  <c r="F66" i="80" s="1"/>
  <c r="H58" i="80"/>
  <c r="F58" i="80" s="1"/>
  <c r="H50" i="80"/>
  <c r="F50" i="80" s="1"/>
  <c r="H42" i="80"/>
  <c r="F42" i="80" s="1"/>
  <c r="H34" i="80"/>
  <c r="F34" i="80" s="1"/>
  <c r="H26" i="80"/>
  <c r="F26" i="80" s="1"/>
  <c r="H18" i="80"/>
  <c r="H177" i="80"/>
  <c r="F177" i="80" s="1"/>
  <c r="H113" i="80"/>
  <c r="F113" i="80" s="1"/>
  <c r="H33" i="80"/>
  <c r="F33" i="80" s="1"/>
  <c r="CV37" i="79"/>
  <c r="FK36" i="79"/>
  <c r="ET66" i="79"/>
  <c r="ET20" i="79"/>
  <c r="EJ19" i="79"/>
  <c r="ET21" i="79"/>
  <c r="EJ20" i="79"/>
  <c r="ET18" i="79"/>
  <c r="EJ21" i="79"/>
  <c r="ET19" i="79"/>
  <c r="EJ18" i="79"/>
  <c r="CZ37" i="79"/>
  <c r="FR37" i="79"/>
  <c r="EV75" i="79"/>
  <c r="EL19" i="79"/>
  <c r="EV21" i="79"/>
  <c r="EL20" i="79"/>
  <c r="EV18" i="79"/>
  <c r="EL21" i="79"/>
  <c r="EV19" i="79"/>
  <c r="EL18" i="79"/>
  <c r="EV20" i="79"/>
  <c r="EN37" i="79"/>
  <c r="FP37" i="79"/>
  <c r="BY32" i="79"/>
  <c r="CN36" i="79"/>
  <c r="CR36" i="79"/>
  <c r="FJ36" i="79"/>
  <c r="CS36" i="79"/>
  <c r="FK37" i="79"/>
  <c r="CT36" i="79"/>
  <c r="FL36" i="79"/>
  <c r="CT37" i="79"/>
  <c r="EX37" i="79"/>
  <c r="ET9" i="79"/>
  <c r="EL10" i="79"/>
  <c r="EJ27" i="79"/>
  <c r="ET28" i="79"/>
  <c r="EJ30" i="79"/>
  <c r="ET32" i="79"/>
  <c r="EL33" i="79"/>
  <c r="EL34" i="79"/>
  <c r="EJ35" i="79"/>
  <c r="CV36" i="79"/>
  <c r="EX36" i="79"/>
  <c r="FR36" i="79"/>
  <c r="CD37" i="79"/>
  <c r="CN37" i="79"/>
  <c r="FJ37" i="79"/>
  <c r="EJ38" i="79"/>
  <c r="EJ39" i="79"/>
  <c r="EJ40" i="79"/>
  <c r="EJ41" i="79"/>
  <c r="EJ42" i="79"/>
  <c r="EJ43" i="79"/>
  <c r="EV47" i="79"/>
  <c r="ET48" i="79"/>
  <c r="EV49" i="79"/>
  <c r="EV50" i="79"/>
  <c r="EV58" i="79"/>
  <c r="ET59" i="79"/>
  <c r="EL61" i="79"/>
  <c r="EJ62" i="79"/>
  <c r="EV66" i="79"/>
  <c r="ET67" i="79"/>
  <c r="EV9" i="79"/>
  <c r="EJ11" i="79"/>
  <c r="EL27" i="79"/>
  <c r="EV28" i="79"/>
  <c r="EL30" i="79"/>
  <c r="EV32" i="79"/>
  <c r="EL35" i="79"/>
  <c r="CX36" i="79"/>
  <c r="EL38" i="79"/>
  <c r="EL39" i="79"/>
  <c r="EL40" i="79"/>
  <c r="EL41" i="79"/>
  <c r="EL42" i="79"/>
  <c r="EL43" i="79"/>
  <c r="EV48" i="79"/>
  <c r="EV59" i="79"/>
  <c r="ET60" i="79"/>
  <c r="EL62" i="79"/>
  <c r="EJ63" i="79"/>
  <c r="EV67" i="79"/>
  <c r="ET68" i="79"/>
  <c r="EJ74" i="79"/>
  <c r="EJ77" i="79"/>
  <c r="ET10" i="79"/>
  <c r="EL11" i="79"/>
  <c r="EJ31" i="79"/>
  <c r="ET33" i="79"/>
  <c r="ET34" i="79"/>
  <c r="CZ36" i="79"/>
  <c r="EN36" i="79"/>
  <c r="CR37" i="79"/>
  <c r="FL37" i="79"/>
  <c r="EJ45" i="79"/>
  <c r="EJ46" i="79"/>
  <c r="EJ51" i="79"/>
  <c r="EJ55" i="79"/>
  <c r="EJ56" i="79"/>
  <c r="EV60" i="79"/>
  <c r="ET61" i="79"/>
  <c r="EL63" i="79"/>
  <c r="EJ64" i="79"/>
  <c r="EV68" i="79"/>
  <c r="EL74" i="79"/>
  <c r="EL77" i="79"/>
  <c r="EJ78" i="79"/>
  <c r="EV10" i="79"/>
  <c r="CN11" i="79"/>
  <c r="CX11" i="79" s="1"/>
  <c r="ET27" i="79"/>
  <c r="ET30" i="79"/>
  <c r="EL31" i="79"/>
  <c r="EV33" i="79"/>
  <c r="EV34" i="79"/>
  <c r="ET35" i="79"/>
  <c r="CS37" i="79"/>
  <c r="FN37" i="79"/>
  <c r="ET38" i="79"/>
  <c r="ET39" i="79"/>
  <c r="ET40" i="79"/>
  <c r="ET41" i="79"/>
  <c r="ET42" i="79"/>
  <c r="ET43" i="79"/>
  <c r="EL45" i="79"/>
  <c r="EL46" i="79"/>
  <c r="EL51" i="79"/>
  <c r="EL55" i="79"/>
  <c r="EL56" i="79"/>
  <c r="EJ57" i="79"/>
  <c r="EV61" i="79"/>
  <c r="ET62" i="79"/>
  <c r="EL64" i="79"/>
  <c r="EJ65" i="79"/>
  <c r="EJ75" i="79"/>
  <c r="EL78" i="79"/>
  <c r="ET11" i="79"/>
  <c r="EV27" i="79"/>
  <c r="EV30" i="79"/>
  <c r="EV35" i="79"/>
  <c r="EV38" i="79"/>
  <c r="EV39" i="79"/>
  <c r="EV40" i="79"/>
  <c r="EV41" i="79"/>
  <c r="EV42" i="79"/>
  <c r="EV43" i="79"/>
  <c r="EJ47" i="79"/>
  <c r="EJ49" i="79"/>
  <c r="EJ50" i="79"/>
  <c r="EL57" i="79"/>
  <c r="EJ58" i="79"/>
  <c r="EV62" i="79"/>
  <c r="ET63" i="79"/>
  <c r="EL65" i="79"/>
  <c r="EJ66" i="79"/>
  <c r="EL75" i="79"/>
  <c r="ET77" i="79"/>
  <c r="ET79" i="79"/>
  <c r="EJ9" i="79"/>
  <c r="EV11" i="79"/>
  <c r="EJ28" i="79"/>
  <c r="ET31" i="79"/>
  <c r="EJ32" i="79"/>
  <c r="O35" i="79"/>
  <c r="O37" i="79" s="1"/>
  <c r="ET45" i="79"/>
  <c r="ET46" i="79"/>
  <c r="EL47" i="79"/>
  <c r="EJ48" i="79"/>
  <c r="EL49" i="79"/>
  <c r="EL50" i="79"/>
  <c r="ET51" i="79"/>
  <c r="ET55" i="79"/>
  <c r="ET56" i="79"/>
  <c r="EL58" i="79"/>
  <c r="EJ59" i="79"/>
  <c r="EV63" i="79"/>
  <c r="ET64" i="79"/>
  <c r="EL66" i="79"/>
  <c r="EJ67" i="79"/>
  <c r="EV77" i="79"/>
  <c r="ET78" i="79"/>
  <c r="EV79" i="79"/>
  <c r="EL9" i="79"/>
  <c r="EL28" i="79"/>
  <c r="EV31" i="79"/>
  <c r="EL32" i="79"/>
  <c r="O36" i="79"/>
  <c r="EV45" i="79"/>
  <c r="EV46" i="79"/>
  <c r="EL48" i="79"/>
  <c r="EV51" i="79"/>
  <c r="EJ54" i="79"/>
  <c r="EV55" i="79"/>
  <c r="EV56" i="79"/>
  <c r="ET57" i="79"/>
  <c r="EL59" i="79"/>
  <c r="EJ60" i="79"/>
  <c r="EV64" i="79"/>
  <c r="ET65" i="79"/>
  <c r="EL67" i="79"/>
  <c r="EJ68" i="79"/>
  <c r="ET75" i="79"/>
  <c r="EV78" i="79"/>
  <c r="EJ10" i="79"/>
  <c r="EJ33" i="79"/>
  <c r="EJ34" i="79"/>
  <c r="ET47" i="79"/>
  <c r="ET49" i="79"/>
  <c r="ET50" i="79"/>
  <c r="EL54" i="79"/>
  <c r="EV57" i="79"/>
  <c r="ET58" i="79"/>
  <c r="EL60" i="79"/>
  <c r="EJ61" i="79"/>
  <c r="EV65" i="79"/>
  <c r="EL68" i="79"/>
  <c r="H208" i="80" l="1"/>
  <c r="F208" i="80" s="1"/>
  <c r="EJ37" i="79"/>
  <c r="EJ36" i="79"/>
  <c r="EL37" i="79"/>
  <c r="EL36" i="79"/>
  <c r="EV36" i="79"/>
  <c r="EV37" i="79"/>
  <c r="ET36" i="79"/>
  <c r="ET37" i="79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H12" authorId="0" shapeId="0" xr:uid="{CE8C6ABD-9912-4F95-80FD-1376C34C9C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 Calculated from the biogas resource.</t>
        </r>
      </text>
    </comment>
    <comment ref="P12" authorId="0" shapeId="0" xr:uid="{8F4C1B56-44FE-4AE2-94C9-1961B65B92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55CA8E0D-0167-48BE-A789-91DA7F38F3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3E5BE9B5-52F2-4298-A703-87B4F8270E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327DFF14-80B2-4D5D-8907-185368C85F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611B9455-A25C-43F9-AAA9-8454248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AD9B1D45-FBEA-4BAB-B57F-85129E40B5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A86C4B0-4649-44CD-974F-EDE3648990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06F56A14-E826-4C93-AEDB-C75DB799A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6D7E4C66-EDA0-433E-A37F-4704DF5119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7BAB1BD2-D5F1-4384-9A97-501EA41EE1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D7F1A477-875C-42F4-8B2B-87A27F3107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882A5B5B-02FA-4688-B2D0-838BACE8E7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1CE3A8C7-F7AE-4E57-9099-93E85E791F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8344224F-7696-4417-A9F7-29568EE8D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20AA5C68-0105-4AC4-A391-C64008D33D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6FF566F7-458A-4C0B-91BD-7800E16363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966B961C-4A53-47C5-ACE0-45C57392E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AC8A0B3B-D2C9-4961-A0CA-42C2DBD40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5E71B4F-C09A-4D55-A447-51CA269EBB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226F4645-2E21-4011-84BF-AF1EE0368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785789D4-27C5-49FC-9606-7FE225E269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E65C2EC6-D106-41DE-B7D3-56FE6E46A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216E4CCB-6B77-465A-B233-5C96D9C34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4FC9080E-BF92-4D5D-AAF7-E5B41429D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E4389408-34E9-444F-9B38-A90871B84B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BA9B0D-5B18-483E-9910-34B2327C9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C183243E-DD42-4343-8CA9-64C464763A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5CAFA0A9-6721-426D-B167-4F336091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F815D269-D00E-413A-8CCB-0B25BDF61C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ABBF864F-E014-46E7-8435-2533C2AFAA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C3C83A8B-CBA2-4BBC-9D5B-E2D1BE450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C91ED40C-DB15-477B-AC1A-4CBFF4539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02D0E3D0-DACB-4388-92C1-8F829F4940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3D189A8A-DF0C-487A-A9E7-8D5D08092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017F6CD3-AFF5-4DC3-83DD-9F7E3F72D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F54A93E7-162E-4AB4-8912-11B20D6082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FC22AFAC-8B9A-42C7-9CD6-2A8772EC42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62EBDA8B-DDF4-40CB-AFD0-D9A51BADAB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0C3003A-FC73-4F53-88BF-6A49528CF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7CBCCAEA-484E-445F-82F6-51873EA640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9042A0D5-4099-4F07-913D-10F0818627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99FC3FC5-4E04-494B-9199-378DC3D29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6AC36E62-1C21-4AA6-A04E-6D62119F6F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362B4082-F273-48B7-A04C-A013DD739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EB9514D8-C25E-4EF2-85F8-64A5F0F4BB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A1E41180-6E1F-4EFC-B1CB-1A4D19D7E9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A188F2BC-4D6B-4B12-922D-7E2B12C872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B8E12552-545B-4F8D-A1E6-2B67F9673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1B34ECB6-5BB0-4A3F-A8A4-FA3544535A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E031039E-37D3-444B-96A1-1D2FC2999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AC29691-7ECB-434A-9397-555425E196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7B9FA33F-C68E-4553-B0CB-AB6F02F844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4994DAA6-9AA8-4FE4-A000-B3F33EF8EA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89FA7E7C-6DDC-4486-902A-534777244D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44D27A55-E2FA-4EA1-81CF-DF09C37FC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B7E55C7A-43E7-4201-90B3-3E16C0B134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C93A7142-ED13-49C1-8C06-86C8B18C5A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1A5D83E7-B077-41E0-A7B9-E7E34C237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52F1F644-5B5B-4917-BCAA-A904D2CB6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2CD46D97-670E-4450-9EC4-3CCA4CAA1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H13" authorId="0" shapeId="0" xr:uid="{D57C361E-B9DE-4DD8-B1EF-ABF194B18D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 Calculated from the biogas resource.</t>
        </r>
      </text>
    </comment>
    <comment ref="P13" authorId="0" shapeId="0" xr:uid="{916A3DF2-FA84-4123-8CB5-3FB79C07A2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3" authorId="0" shapeId="0" xr:uid="{ED5FCE69-439B-4658-AB80-B982EAE49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3" authorId="0" shapeId="0" xr:uid="{5CAC2FB2-90C3-436F-BA26-71F28552EC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3" authorId="0" shapeId="0" xr:uid="{9AEF2F6D-B239-47A7-A201-F9142962F4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3" authorId="0" shapeId="0" xr:uid="{84C9E8D1-8371-49C3-ABF3-322F131CE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3" authorId="0" shapeId="0" xr:uid="{3BBED4E9-9535-486D-B205-AC78BB966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3" authorId="0" shapeId="0" xr:uid="{3D5F66DE-B727-4F0B-9CCE-BBB357E2F1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3" authorId="0" shapeId="0" xr:uid="{B3FF7AA5-4AE8-4283-830B-4713FF4603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3" authorId="0" shapeId="0" xr:uid="{2F344372-8318-49B6-A795-6E573DC74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3" authorId="0" shapeId="0" xr:uid="{2F9DAC63-B5DA-4668-991C-0876C4DF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3" authorId="0" shapeId="0" xr:uid="{5E6725BF-D9C2-4858-942B-1FB72F416C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3" authorId="0" shapeId="0" xr:uid="{31080028-527E-41F8-931C-C6AA49B77B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3" authorId="0" shapeId="0" xr:uid="{65C7E49D-9CC7-43D9-9267-09CDC55A59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3" authorId="0" shapeId="0" xr:uid="{663E6BFD-FA5E-4FE3-BAC4-A74D50832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3" authorId="0" shapeId="0" xr:uid="{E794C2F0-CD69-4865-8E60-4B4EDDAB3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3" authorId="0" shapeId="0" xr:uid="{9858EB5B-F589-4B1C-9BDB-BE7287303A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3" authorId="0" shapeId="0" xr:uid="{B519EB06-E6F1-4DB5-9BA4-115F0A0D85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3" authorId="0" shapeId="0" xr:uid="{ADF22C8E-AC13-4445-B445-7F67B8D39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3" authorId="0" shapeId="0" xr:uid="{96285D23-E52A-4F8E-9B5C-9F9EE8EC51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3" authorId="0" shapeId="0" xr:uid="{09A5A4AB-1562-4D2E-B211-07244FD7A6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3" authorId="0" shapeId="0" xr:uid="{D309A57B-A702-4595-ABCD-5DAB91F2C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3" authorId="0" shapeId="0" xr:uid="{515088EA-90DF-4F48-94DF-C721AB3AE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3" authorId="0" shapeId="0" xr:uid="{33471E1D-B123-47A1-B6D2-4738566EA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3" authorId="0" shapeId="0" xr:uid="{0D87DDB7-C47A-4E1B-A0DA-48AFBDB763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3" authorId="0" shapeId="0" xr:uid="{3561EE74-0606-4F5F-BF65-AFABCF638D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3" authorId="0" shapeId="0" xr:uid="{7A7FEFA5-5FE1-4FAF-A9DE-5F7456EDC7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3" authorId="0" shapeId="0" xr:uid="{98A206B2-5514-4C7E-BE0F-85BB362ED3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3" authorId="0" shapeId="0" xr:uid="{0DB0D966-8D8F-449E-B2C2-071222B24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3" authorId="0" shapeId="0" xr:uid="{C57A9AD8-57B9-4872-BA3C-64261B2C1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3" authorId="0" shapeId="0" xr:uid="{9FD018A2-A1A9-4B59-BB53-31CB4451CB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3" authorId="0" shapeId="0" xr:uid="{FBB4B7B0-9AAA-4E5B-8BA2-4C4C8472B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3" authorId="0" shapeId="0" xr:uid="{304661A7-12EF-422B-BA00-865CF08EA5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3" authorId="0" shapeId="0" xr:uid="{0F4BCCDD-945D-4113-913C-2E291797BC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3" authorId="0" shapeId="0" xr:uid="{BC231685-6138-4880-AC36-F199E8D08C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3" authorId="0" shapeId="0" xr:uid="{979AEA10-E00C-4A1C-A769-88C1473ED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3" authorId="0" shapeId="0" xr:uid="{D1C4FDB8-A20A-47AA-AA4D-6E149A67F6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3" authorId="0" shapeId="0" xr:uid="{FF51D940-9A9C-4F76-96E9-740519FE4D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3" authorId="0" shapeId="0" xr:uid="{FB15706F-2E5A-4156-B83C-4E890D7641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3" authorId="0" shapeId="0" xr:uid="{83CCA4F3-32CC-4DD1-AAA8-9F76476EB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3" authorId="0" shapeId="0" xr:uid="{776739D8-48B6-484A-A10E-783756C067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3" authorId="0" shapeId="0" xr:uid="{6671B30B-410A-4C6F-A3F4-BAE1E05B50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3" authorId="0" shapeId="0" xr:uid="{4DBF30BC-9C1E-4613-BB89-BF910CB0D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3" authorId="0" shapeId="0" xr:uid="{85253D23-939E-49CC-890B-AE080633C2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3" authorId="0" shapeId="0" xr:uid="{FE4A3D39-6A0D-43A7-A475-F912CC4B93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3" authorId="0" shapeId="0" xr:uid="{41C725CD-F7FD-418D-833A-8187E50924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3" authorId="0" shapeId="0" xr:uid="{31CD9843-B630-4BF9-AE29-E6B60CCA7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3" authorId="0" shapeId="0" xr:uid="{57B1961B-A452-40AB-B712-FA3C4747A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3" authorId="0" shapeId="0" xr:uid="{D35713CC-8587-4A8F-8181-BED3650EF5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3" authorId="0" shapeId="0" xr:uid="{2D98CEFA-6BBB-4F22-8945-6E447753F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3" authorId="0" shapeId="0" xr:uid="{46044133-6FDF-484C-9950-DCDE80535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3" authorId="0" shapeId="0" xr:uid="{B9BC9E2A-5854-4BD3-B2A5-EB4AF5B7C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3" authorId="0" shapeId="0" xr:uid="{3C5DB128-0E55-4FE4-8F63-C10D263DEB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3" authorId="0" shapeId="0" xr:uid="{CBCF4F92-F47A-4B96-8094-AB6C89F59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3" authorId="0" shapeId="0" xr:uid="{177133B3-B14A-4934-A096-FC73C39C0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3" authorId="0" shapeId="0" xr:uid="{FF162629-1F8F-4916-B737-A75A818CB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3" authorId="0" shapeId="0" xr:uid="{805D5CB7-3629-4CB8-9BA6-89CED03E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3" authorId="0" shapeId="0" xr:uid="{3AA124B2-2176-42AC-98AB-681FBEAABA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3" authorId="0" shapeId="0" xr:uid="{39AF748E-FA30-456F-8FF4-9E39CFD534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3" authorId="0" shapeId="0" xr:uid="{EDD1B009-FB91-482F-9953-B3240131C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3" authorId="0" shapeId="0" xr:uid="{117D95E2-F87B-45E9-800E-6C0DE3008C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3" authorId="0" shapeId="0" xr:uid="{D428F7EB-7688-4C1F-AC92-A6288CB3E1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3" authorId="0" shapeId="0" xr:uid="{2451294C-8A9E-4E0F-92BC-917A5725BF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3" authorId="0" shapeId="0" xr:uid="{BDEB1112-CE6A-4435-A1CB-20F1980B33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3" authorId="0" shapeId="0" xr:uid="{2243C2AF-BDC1-48AF-BA5E-220C07448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3" authorId="0" shapeId="0" xr:uid="{685B1CD1-88DB-43AA-917A-E9CC70138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3" authorId="0" shapeId="0" xr:uid="{9C2FFEBD-CCD6-4752-8473-480B1E18E7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3" authorId="0" shapeId="0" xr:uid="{E3F8C1B1-4517-4931-B0E6-5B4066B706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3" authorId="0" shapeId="0" xr:uid="{091432EB-D281-41E7-92F4-CDB142F1D3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3" authorId="0" shapeId="0" xr:uid="{E87191E0-1B43-4743-970D-F5739C86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3" authorId="0" shapeId="0" xr:uid="{D2C3CE48-27AD-4D90-9E32-2F7B090D43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3" authorId="0" shapeId="0" xr:uid="{A22750B1-F912-47CB-A2C9-99D51423C9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3" authorId="0" shapeId="0" xr:uid="{E07EC7EC-FBB8-41B7-BF8E-5FE58C3D6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3" authorId="0" shapeId="0" xr:uid="{49D0A897-59AD-47D7-B093-F97000758C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3" authorId="0" shapeId="0" xr:uid="{90F86D51-F115-447D-B3C8-F09CF1CDF4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3" authorId="0" shapeId="0" xr:uid="{2643D12C-24C2-4343-8DEA-9D1F1B8C8D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3" authorId="0" shapeId="0" xr:uid="{E2A1FD32-75F9-4CD6-869A-7FE6D58C3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3" authorId="0" shapeId="0" xr:uid="{C9F258C4-2DFF-4463-88F9-A4E215D97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3" authorId="0" shapeId="0" xr:uid="{7E552603-A012-463C-9F3A-D05889C04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3" authorId="0" shapeId="0" xr:uid="{EA5EA2AD-56F3-40E9-9ECC-F534041982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3" authorId="0" shapeId="0" xr:uid="{85A64F9F-4F11-4B54-9333-FF7D451FB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3" authorId="0" shapeId="0" xr:uid="{CFCA277A-58F7-412C-8FAF-62BC45E92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3" authorId="0" shapeId="0" xr:uid="{9471939F-A5BD-493C-B204-078A5B46C4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3" authorId="0" shapeId="0" xr:uid="{92052D43-89E6-4836-9641-814FFEB07D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3" authorId="0" shapeId="0" xr:uid="{03676B41-B36F-4687-8A06-23E759B89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3" authorId="0" shapeId="0" xr:uid="{3E6D0F1C-BF28-4742-B714-0F0ADBC86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3" authorId="0" shapeId="0" xr:uid="{3EEC7B15-F017-4E57-B2BE-CDA2DA7B64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3" authorId="0" shapeId="0" xr:uid="{77C0A2BE-8225-4CF6-9078-8AF4F39DE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3" authorId="0" shapeId="0" xr:uid="{1CE62C7A-A932-4BCE-88AE-ADF6ED13A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3" authorId="0" shapeId="0" xr:uid="{F50F0FE7-B7F7-435D-A8A6-A65D9D928D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3" authorId="0" shapeId="0" xr:uid="{361316DF-54AF-40D8-B4D3-A2C7D70B76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H14" authorId="0" shapeId="0" xr:uid="{436A8E3A-E0CF-4BE7-9258-E6D142551B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P14" authorId="0" shapeId="0" xr:uid="{C526969B-602D-4CD0-9DCD-D481F2E71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4" authorId="0" shapeId="0" xr:uid="{391A5968-7C77-4D19-A791-D2FC07B77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4" authorId="0" shapeId="0" xr:uid="{C936D616-5E38-4D38-BE5D-9D9DE827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4" authorId="0" shapeId="0" xr:uid="{67830528-714E-4EDF-8A02-847EEE5A6F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4" authorId="0" shapeId="0" xr:uid="{C7DEF3C5-7584-41C4-8990-551351368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4" authorId="0" shapeId="0" xr:uid="{BC3EA70A-CA0A-4962-9E5E-114F3B987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4" authorId="0" shapeId="0" xr:uid="{E58B25D2-5440-4641-B73D-D00898394C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4" authorId="0" shapeId="0" xr:uid="{A2595901-3314-4D20-9063-0C6E873155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4" authorId="0" shapeId="0" xr:uid="{39EEFFF1-3487-4787-8A79-877DD04E73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4" authorId="0" shapeId="0" xr:uid="{86BCE238-84B9-4081-B86E-D414D76FDD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4" authorId="0" shapeId="0" xr:uid="{0BCC1CAC-3BE0-41C1-909F-BFF746980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4" authorId="0" shapeId="0" xr:uid="{096D8933-287F-4059-8FA5-21F4BB1B04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4" authorId="0" shapeId="0" xr:uid="{614F398A-B10A-46AA-B524-B376F978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4" authorId="0" shapeId="0" xr:uid="{502E7F3B-7163-4D37-B738-264658A42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4" authorId="0" shapeId="0" xr:uid="{83F64101-8329-4D48-A26F-AE31FEED6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4" authorId="0" shapeId="0" xr:uid="{DE9FCA80-EF3A-471E-913C-6221FE1FA2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4" authorId="0" shapeId="0" xr:uid="{BEC086AD-ACD9-4C34-B85F-C3D21FD71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4" authorId="0" shapeId="0" xr:uid="{BFCBCE50-5CEC-49DB-B8EE-EB4BC3D212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4" authorId="0" shapeId="0" xr:uid="{0C0B988C-D39C-4A37-843B-EEE9EEF9B8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4" authorId="0" shapeId="0" xr:uid="{A2A662DF-60AF-4177-99EF-72BB6F4B5F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H15" authorId="0" shapeId="0" xr:uid="{6092ECF4-4386-480A-8329-AD062A378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DV15" authorId="0" shapeId="0" xr:uid="{56EC61EB-C17B-42F7-836E-3D450950AB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091C63B1-B5B2-4B2B-B315-4B6ECD9856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0526E0B6-09BD-4A8D-B400-A81831DF7C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78D68F38-0B5B-468C-9618-D88107F270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519AF68C-6947-48CF-AA17-DD2F99A2E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18B40BF8-DAC2-4231-90D1-C489661895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9F6A9B39-CBFA-4FA2-935E-E358E8509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C2295B0F-7621-4A9F-9FEF-35569384D4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C83BD886-1F0B-4589-8EF7-71168623B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E51B7337-DB0A-458E-AF20-582BD02213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6" authorId="0" shapeId="0" xr:uid="{2D04A93B-2115-411E-A6AA-A9D0B50CE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6" authorId="0" shapeId="0" xr:uid="{3D6DD7BF-6942-47D0-AD18-AB6AC8CAC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6" authorId="0" shapeId="0" xr:uid="{DF466C61-CBFC-4018-A694-322D2088AA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 xr:uid="{5D400474-7849-4F09-B513-039B7C8459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 xr:uid="{2C81DF0B-CB55-4754-96DB-CD358013B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 xr:uid="{4C35335A-0C6B-48C9-B6D0-E205EE7F3B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6" authorId="0" shapeId="0" xr:uid="{CB5BE964-E691-4433-A6BA-E209AEFA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6" authorId="0" shapeId="0" xr:uid="{7C9FAF56-32B1-4CE7-BB4E-A82FE1E66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6" authorId="0" shapeId="0" xr:uid="{D9A9BB81-A600-4211-8226-ADF2D186B3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6" authorId="0" shapeId="0" xr:uid="{BD0E395C-701E-4E28-A99C-807B09D05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6" authorId="0" shapeId="0" xr:uid="{763D653F-0A6F-495E-B084-F83CF29758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6" authorId="0" shapeId="0" xr:uid="{AD14C6D3-A28A-44DE-A926-5DA7F25494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6" authorId="0" shapeId="0" xr:uid="{0D58B0C2-9CFD-41A7-91BE-1D0DED7F5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6" authorId="0" shapeId="0" xr:uid="{692174BB-0DE5-43A7-9424-EC05C145E2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 xr:uid="{2B16DB70-7F0E-420D-A31A-A75F674BD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 xr:uid="{35C7093C-0C75-4543-B033-E62634BB3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6" authorId="0" shapeId="0" xr:uid="{0A9FE888-C313-48CF-A6BA-8A30F4F7D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6" authorId="0" shapeId="0" xr:uid="{32907A9C-5437-438A-BFEC-DB477968F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6" authorId="0" shapeId="0" xr:uid="{3874D415-98B6-40CD-81F1-D7F856D5B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6" authorId="0" shapeId="0" xr:uid="{D9CEFEFD-FEA1-4BC1-AE40-FF4F19D9DD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 xr:uid="{9BAC361F-5CB3-4AFA-BA1C-E27938EE20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6" authorId="0" shapeId="0" xr:uid="{17F81709-EA9E-4423-9479-8A6F6E08B6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6" authorId="0" shapeId="0" xr:uid="{6C72D8E7-7FC0-40F2-8948-DC636F474C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6" authorId="0" shapeId="0" xr:uid="{70A70F9B-A3B6-4F12-94C4-CC6D909FC5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 xr:uid="{729C3A72-F290-4FF3-887C-2765EBF6EE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 xr:uid="{F468667A-EA35-4A5C-89F3-D8B47C0B8D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 xr:uid="{8FEA28AD-0107-4EF8-B23C-94A001EEA1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 xr:uid="{01850D9C-6C57-4738-9FB4-77189E2A5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 xr:uid="{2C65775C-E46F-4F84-9B24-62E6DAF6C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 xr:uid="{18DE2222-BD79-4711-92D6-A84A71922E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6" authorId="0" shapeId="0" xr:uid="{155CF5B6-70BD-4F1A-931D-66A5ED48EA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6" authorId="0" shapeId="0" xr:uid="{F54A0D97-569B-4F7C-BA99-58FC4FA0F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6" authorId="0" shapeId="0" xr:uid="{27892EF2-0D68-48C5-9119-A910FA35C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6" authorId="0" shapeId="0" xr:uid="{BDEF4059-4E41-4116-9FE8-E524190F45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6" authorId="0" shapeId="0" xr:uid="{970C6539-88F6-4590-87A6-09460429E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6" authorId="0" shapeId="0" xr:uid="{45DFDEEB-9305-456B-90E3-85FBA3224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6" authorId="0" shapeId="0" xr:uid="{D3A9D549-7341-44A7-A152-670C5AAE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6" authorId="0" shapeId="0" xr:uid="{56E605C5-520F-4EF9-8C2E-96D2B2FF55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6" authorId="0" shapeId="0" xr:uid="{70CCEC4C-BC02-4946-8013-28802D841B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6" authorId="0" shapeId="0" xr:uid="{754DDC25-1DEF-40B8-8B2E-97B7F4000A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6" authorId="0" shapeId="0" xr:uid="{B0FF8135-C5FA-4618-BF72-29C89C278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6" authorId="0" shapeId="0" xr:uid="{B5EA0E12-0E60-4594-87E0-3C39176E7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6" authorId="0" shapeId="0" xr:uid="{587D7639-19EA-444A-973E-68AF2B6959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6" authorId="0" shapeId="0" xr:uid="{AB80CD17-B03F-4D9D-9A90-E3F9DE84EF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6" authorId="0" shapeId="0" xr:uid="{F2605919-9A49-45F7-B443-FD517ECF8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6" authorId="0" shapeId="0" xr:uid="{E69FD4B8-51D7-4B71-85C9-45A30E3E6A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6" authorId="0" shapeId="0" xr:uid="{24B929E5-739B-4B08-816A-B72DA5F80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6" authorId="0" shapeId="0" xr:uid="{E60F572F-C7A2-487C-B821-69C329B7D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6" authorId="0" shapeId="0" xr:uid="{98906D0B-C7AA-4B09-95DE-86CA678C5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6" authorId="0" shapeId="0" xr:uid="{D0B48AC3-5A05-4B55-9183-6E9826C5A1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V17" authorId="0" shapeId="0" xr:uid="{291F4BDC-494B-4A2A-B6ED-E1DCA5D98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7" authorId="0" shapeId="0" xr:uid="{95BB28BA-D814-43D1-A29B-5D2ED53305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7" authorId="0" shapeId="0" xr:uid="{5D5B9971-81B8-4FBE-9DF8-71BD131C5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7" authorId="0" shapeId="0" xr:uid="{1D555AAF-B1CD-4624-A8D2-46F44315D6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7" authorId="0" shapeId="0" xr:uid="{DE3CDC89-2EC9-476D-962F-6EA8E09795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7" authorId="0" shapeId="0" xr:uid="{424F9709-6A79-4D7F-B241-CB6A9216EF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7" authorId="0" shapeId="0" xr:uid="{45B2E949-D984-4564-AE3C-4004E66F02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7" authorId="0" shapeId="0" xr:uid="{E5182BBC-6339-4838-894A-45934B5D88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7" authorId="0" shapeId="0" xr:uid="{B7F183CC-963E-4AAD-9097-5C1F4BAB1D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7" authorId="0" shapeId="0" xr:uid="{E17AEA1B-728E-47E3-A878-B11BB53284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P18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5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5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5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5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5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5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5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5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5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5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5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5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5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5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5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5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5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5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5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5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5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5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5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5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5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5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5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5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5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5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5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5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5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5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5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5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5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5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5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5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5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5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5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5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5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5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5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5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5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5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5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5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5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5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5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5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5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5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5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5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5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5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5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5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5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5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5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5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5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5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5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5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5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5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5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5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5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5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5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5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5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5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5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5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5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5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5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5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5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5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5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5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5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5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5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5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5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5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5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5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5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5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5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5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5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5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5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5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5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5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5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5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5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5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5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5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5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5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5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5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5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5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5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5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5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5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5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5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5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5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5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5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5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6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6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6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6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6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6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6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6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6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6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6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6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6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6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6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6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6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6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6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6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6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6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6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6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6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6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6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6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6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6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6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6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6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6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6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6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6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6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6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6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6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6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6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6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6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6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6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6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6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6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6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6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6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6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6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6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6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6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6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6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6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6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6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6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6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6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6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6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6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6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6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6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6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6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6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6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6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6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6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6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6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6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6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6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6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6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6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6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6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6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6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6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6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6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6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6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6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6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6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6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6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6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6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6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6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6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6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6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6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6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6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6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6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6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6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6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6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6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6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6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6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6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6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6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6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6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6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6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6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6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6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6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6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6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6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6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6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6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6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6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6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6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6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6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6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6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6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6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6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6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6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6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6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6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6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6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6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6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6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6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7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7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7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7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7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7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7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7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7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7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7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7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7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7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7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7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7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7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7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7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7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7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7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7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7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7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7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7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7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7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7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7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7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7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7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7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7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7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7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7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7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7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7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7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7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7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7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7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7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7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7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7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7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7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7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7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7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7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7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7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7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7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7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7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8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8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8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8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8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8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8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8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8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8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8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8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8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8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8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8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8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8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8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8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8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8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8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8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8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8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8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8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8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8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8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8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8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8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8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8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8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8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8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8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8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8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8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8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8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8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8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8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8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8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8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8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8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8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8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8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8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8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8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8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8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8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8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8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8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8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8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8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8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9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9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9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9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9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9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9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9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9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9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9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9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9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9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9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9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9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9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9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9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9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9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9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9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9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9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9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9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9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9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30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30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30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31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1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1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1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1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1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1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1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1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1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1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1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1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1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1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1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1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1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1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1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1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1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1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1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1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1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1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1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1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1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1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1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1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1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1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1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1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1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2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2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2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2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2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2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2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2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2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2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2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2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2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2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2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2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2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2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2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2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2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2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2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2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2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2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2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2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2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2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2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2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2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2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2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2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2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2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3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3" authorId="0" shapeId="0" xr:uid="{9C31F0F6-570D-4A90-8657-AAB015288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3" authorId="0" shapeId="0" xr:uid="{B88B302B-7EBA-411D-A3F8-7997B20767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3" authorId="0" shapeId="0" xr:uid="{2A471841-68E2-410C-9E0B-94778D367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3" authorId="0" shapeId="0" xr:uid="{487A2661-868D-4250-A721-AA0192AF63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3" authorId="0" shapeId="0" xr:uid="{2FDA8006-EB69-4D29-9BA7-1F4A499BDA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3" authorId="0" shapeId="0" xr:uid="{34D24FD6-12F6-48AB-B9C7-E73B47F6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3" authorId="0" shapeId="0" xr:uid="{CB240832-046B-4452-9E0B-AD22EDF69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3" authorId="0" shapeId="0" xr:uid="{38B578DE-AA23-48CA-869F-8C9D6BDEA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3" authorId="0" shapeId="0" xr:uid="{CCB480EA-21B4-43FD-989A-11AE30AB09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3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3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3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3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3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3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3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3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3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3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3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3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3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3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3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3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3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3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4" authorId="0" shapeId="0" xr:uid="{9F8A19BF-686B-468A-97D2-3D9FCBA6E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4" authorId="0" shapeId="0" xr:uid="{3B056564-C2DB-4714-8333-7FD442AC9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4" authorId="0" shapeId="0" xr:uid="{82C4ABF3-89D3-4DF4-BC09-687A57FCBA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4" authorId="0" shapeId="0" xr:uid="{70A52F90-D66B-4A8C-AA5B-94CD3909EF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4" authorId="0" shapeId="0" xr:uid="{AE6B7B20-C1A5-4265-B46B-980DF6EECF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4" authorId="0" shapeId="0" xr:uid="{9850C6EB-13A7-4B87-B209-65C56CF38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4" authorId="0" shapeId="0" xr:uid="{1C7F6D03-0CBD-4707-AB8B-620FBCB5B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4" authorId="0" shapeId="0" xr:uid="{3DBB2D62-F402-4262-ADFD-469AF74D58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4" authorId="0" shapeId="0" xr:uid="{F472CF8E-26EF-444A-9CEB-000B1CD8B9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4" authorId="0" shapeId="0" xr:uid="{82FA748D-8F18-41CE-A534-57D96F4034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4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4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4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4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4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4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4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4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4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4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4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4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4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4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4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4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4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4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4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4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4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4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4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4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4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4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4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5" authorId="0" shapeId="0" xr:uid="{38615923-CC46-4D0E-8E95-F2F4C662B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5" authorId="0" shapeId="0" xr:uid="{898FC987-9E62-4C5D-965E-4AB53B3DC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5" authorId="0" shapeId="0" xr:uid="{0D4B39DE-315F-4BD1-8996-5DCC66C7DA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5" authorId="0" shapeId="0" xr:uid="{34653067-F382-4CAD-AD58-60B1323E8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5" authorId="0" shapeId="0" xr:uid="{AA4A4FCE-109A-4DCA-A87E-D9C4A87F49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5" authorId="0" shapeId="0" xr:uid="{405FBCEE-D001-4C80-9CA9-51635EC14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5" authorId="0" shapeId="0" xr:uid="{B3580D6A-CEF3-42F4-912D-909C941E9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5" authorId="0" shapeId="0" xr:uid="{C2181870-19B1-47BA-A69C-FA01FB348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5" authorId="0" shapeId="0" xr:uid="{11B641F7-B622-47CA-B533-7CBAFA23B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5" authorId="0" shapeId="0" xr:uid="{CB113C52-B824-4A7C-BB11-A735325748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5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5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5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5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5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5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5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5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5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5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5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5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5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5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5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5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5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5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5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5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5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5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5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5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5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5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5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6" authorId="0" shapeId="0" xr:uid="{B4AA62D4-C76F-4EE3-9605-DADF306B8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6" authorId="0" shapeId="0" xr:uid="{91C51C26-4FAD-43FC-800F-A763D1019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6" authorId="0" shapeId="0" xr:uid="{E56D9AB4-ECC1-4C50-9C22-220E57BD66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6" authorId="0" shapeId="0" xr:uid="{884AA593-C8CE-4D4B-9B5A-5073556859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6" authorId="0" shapeId="0" xr:uid="{CA383C8E-907A-43DB-9493-2FAC124B7A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6" authorId="0" shapeId="0" xr:uid="{92712949-D5C1-456A-B282-C62B44E870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6" authorId="0" shapeId="0" xr:uid="{44AFDED6-0127-451F-8446-7D4A908E04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6" authorId="0" shapeId="0" xr:uid="{835F37B3-2D82-4C9D-B517-5019631E10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6" authorId="0" shapeId="0" xr:uid="{EF37DC23-CC24-4C1A-BB41-143A1382EB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6" authorId="0" shapeId="0" xr:uid="{2DB55340-FC3E-415B-8D76-AEADBF964F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7" authorId="0" shapeId="0" xr:uid="{B6802D0C-7DC8-4ABE-829E-C24439FCF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7" authorId="0" shapeId="0" xr:uid="{9C84401B-0CA6-468E-93ED-19FE9803FD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7" authorId="0" shapeId="0" xr:uid="{9706AFCE-AD69-4AFA-8AC5-8B589700E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7" authorId="0" shapeId="0" xr:uid="{308DA88A-F7E6-4E90-89F8-FF1CD99C46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7" authorId="0" shapeId="0" xr:uid="{01DB05C0-82B3-4331-855B-6847BADB84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7" authorId="0" shapeId="0" xr:uid="{446452C6-567A-4B1D-8A3A-A2B7BB92AE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7" authorId="0" shapeId="0" xr:uid="{FB2E084C-9E98-4839-9527-E887CF8E69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7" authorId="0" shapeId="0" xr:uid="{A2C5A1C7-404B-497E-A952-13D61C7CED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7" authorId="0" shapeId="0" xr:uid="{3D1A8A04-93AD-47AC-AB2A-16E9981E4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7" authorId="0" shapeId="0" xr:uid="{CC7A55C9-2F41-484E-9DDF-DA41E1237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48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8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8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8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8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8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8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8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8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8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9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9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9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9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9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9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9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9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9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9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51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51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51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51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51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51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51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51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51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51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51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51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51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51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51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51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51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51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51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51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1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1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1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1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1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1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1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1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1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2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2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2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2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2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2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2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2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2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2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4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4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4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4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4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4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4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4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4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4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4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4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4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4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4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4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4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4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4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4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4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4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4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4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4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4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4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4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4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4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5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7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7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7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7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7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7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7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7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7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7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7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7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7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7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7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7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7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7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7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7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7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7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7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7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7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7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7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7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7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7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8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8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8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8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8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8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8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8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8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8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8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8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8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8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8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8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8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8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8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8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8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8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8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8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8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8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8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8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8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8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9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7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7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7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7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7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7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7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7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7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7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8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8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8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8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8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8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8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8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8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8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9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9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9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9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9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9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9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9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9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9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9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9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9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9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9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9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9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9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9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9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9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9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9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9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9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9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9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9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9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<sst xmlns="http://schemas.openxmlformats.org/spreadsheetml/2006/main" count="7276" uniqueCount="620">
  <si>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</si>
  <si>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</si>
  <si>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</si>
  <si>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</si>
  <si>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</si>
  <si>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</si>
  <si>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</si>
  <si>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</si>
  <si>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</si>
  <si>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</si>
  <si>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</si>
  <si>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</si>
  <si>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</si>
  <si>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</si>
  <si>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</si>
  <si>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</si>
  <si>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</si>
  <si>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</si>
  <si>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</si>
  <si>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</si>
  <si>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</si>
  <si>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</si>
  <si>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</si>
  <si>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</si>
  <si>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</si>
  <si>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</si>
  <si>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</si>
  <si>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</si>
  <si>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</si>
  <si>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</si>
  <si>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</si>
  <si>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</si>
  <si>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</si>
  <si>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</si>
  <si>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</si>
  <si>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</si>
  <si>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</si>
  <si>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</si>
  <si>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</si>
  <si>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</si>
  <si>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</si>
  <si>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</si>
  <si>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</si>
  <si>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</si>
  <si>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</si>
  <si>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</si>
  <si>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</si>
  <si>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</si>
  <si>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</si>
  <si>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</si>
  <si>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</si>
  <si>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</si>
  <si>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</si>
  <si>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</si>
  <si>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</si>
  <si>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</si>
  <si>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</si>
  <si>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</si>
  <si>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</si>
  <si>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</si>
  <si>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</si>
  <si>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</si>
  <si>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</si>
  <si>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</si>
  <si>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</si>
  <si>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</si>
  <si>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</si>
  <si>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</si>
  <si>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</si>
  <si>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</si>
  <si>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</si>
  <si>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</si>
  <si>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</si>
  <si>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</si>
  <si>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</si>
  <si>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</si>
  <si>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</si>
  <si>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</si>
  <si>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</si>
  <si>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</si>
  <si>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</si>
  <si>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</si>
  <si>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</si>
  <si>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</si>
  <si>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</si>
  <si>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</si>
  <si>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</si>
  <si>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</si>
  <si>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</si>
  <si>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</si>
  <si>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</si>
  <si>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</si>
  <si>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</si>
  <si>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</si>
  <si>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</si>
  <si>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</si>
  <si>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</si>
  <si>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</si>
  <si>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</si>
  <si>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</si>
  <si>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</si>
  <si>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</si>
  <si>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</si>
  <si>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</si>
  <si>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</si>
  <si>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</si>
  <si>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</si>
  <si>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</si>
  <si>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</si>
  <si>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</si>
  <si>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</si>
  <si>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</si>
  <si>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</si>
  <si>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</si>
  <si>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</si>
  <si>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</si>
  <si>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</si>
  <si>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</si>
  <si>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</si>
  <si>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</si>
  <si>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</si>
  <si>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</si>
  <si>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</si>
  <si>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</si>
  <si>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</si>
  <si>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</si>
  <si>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</si>
  <si>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</si>
  <si>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</si>
  <si>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</si>
  <si>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</si>
  <si>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</si>
  <si>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</si>
  <si>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</si>
  <si>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</si>
  <si>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</si>
  <si>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</si>
  <si>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</si>
  <si>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</si>
  <si>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</si>
  <si>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</si>
  <si>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</si>
  <si>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</si>
  <si>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</si>
  <si>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</si>
  <si>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</si>
  <si>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</si>
  <si>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</si>
  <si>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</si>
  <si>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</si>
  <si>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</si>
  <si>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</si>
  <si>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</si>
  <si>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</si>
  <si>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</si>
  <si>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</si>
  <si>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</si>
  <si>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</si>
  <si>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</si>
  <si>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</si>
  <si>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</si>
  <si>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</si>
  <si>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</si>
  <si>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</si>
  <si>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</si>
  <si>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</si>
  <si>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</si>
  <si>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</si>
  <si>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</si>
  <si>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</si>
  <si>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</si>
  <si>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</si>
  <si>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</si>
  <si>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</si>
  <si>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</si>
  <si>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</si>
  <si>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</si>
  <si>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</si>
  <si>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</si>
  <si>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</si>
  <si>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</si>
  <si>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</si>
  <si>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</si>
  <si>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</si>
  <si>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</si>
  <si>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</si>
  <si>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</si>
  <si>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</si>
  <si>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</si>
  <si>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</si>
  <si>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</si>
  <si>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</si>
  <si>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</si>
  <si>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</si>
  <si>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</si>
  <si>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</si>
  <si>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</si>
  <si>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</si>
  <si>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</si>
  <si>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</si>
  <si>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</si>
  <si>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</si>
  <si>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</si>
  <si>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</si>
  <si>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</si>
  <si>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</si>
  <si>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</si>
  <si>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</si>
  <si>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</si>
  <si>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</si>
  <si>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</si>
  <si>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</si>
  <si>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</si>
  <si>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</si>
  <si>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</si>
  <si>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</si>
  <si>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</si>
  <si>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</si>
  <si>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</si>
  <si>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</si>
  <si>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</si>
  <si>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</si>
  <si>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</si>
  <si>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</si>
  <si>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</si>
  <si>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</si>
  <si>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</si>
  <si>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</si>
  <si>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</si>
  <si>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</si>
  <si>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</si>
  <si>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</si>
  <si>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</si>
  <si>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</si>
  <si>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</si>
  <si>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</si>
  <si>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</si>
  <si>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</si>
  <si>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</si>
  <si>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</si>
  <si>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</si>
  <si>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</si>
  <si>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</si>
  <si>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</si>
  <si>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</si>
  <si>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</si>
  <si>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</si>
  <si>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</si>
  <si>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</si>
  <si>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</si>
  <si>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</si>
  <si>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</si>
  <si>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</si>
  <si>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</si>
  <si>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</si>
  <si>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</si>
  <si>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</si>
  <si>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</si>
  <si>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</si>
  <si>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</si>
  <si>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</si>
  <si>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</si>
  <si>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</si>
  <si>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</si>
  <si>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</si>
  <si>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</si>
  <si>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</si>
  <si>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</si>
  <si>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</si>
  <si>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</si>
  <si>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</si>
  <si>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</si>
  <si>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</si>
  <si>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</si>
  <si>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</si>
  <si>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</si>
  <si>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</si>
  <si>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</si>
  <si>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</si>
  <si>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</si>
  <si>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</si>
  <si>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</si>
  <si>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</si>
  <si>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</si>
  <si>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</si>
  <si>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</si>
  <si>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</si>
  <si>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</si>
  <si>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</si>
  <si>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</si>
  <si>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</si>
  <si>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</si>
  <si>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</si>
  <si>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</si>
  <si>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</si>
  <si>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</si>
  <si>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</si>
  <si>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</si>
  <si>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</si>
  <si>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</si>
  <si>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</si>
  <si>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</si>
  <si>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</si>
  <si>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</si>
  <si>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</si>
  <si>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</si>
  <si>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</si>
  <si>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</si>
  <si>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</si>
  <si>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</si>
  <si>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</si>
  <si>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</si>
  <si>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</si>
  <si>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</si>
  <si>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</si>
  <si>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</si>
  <si>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</si>
  <si>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</si>
  <si>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</si>
  <si>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</si>
  <si>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</si>
  <si>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</si>
  <si>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</si>
  <si>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</si>
  <si>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</si>
  <si>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</si>
  <si>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</si>
  <si>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</si>
  <si>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</si>
  <si>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</si>
  <si>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</si>
  <si>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</si>
  <si>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</si>
  <si>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</si>
  <si>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</si>
  <si>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</si>
  <si>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</si>
  <si>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</si>
  <si>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</si>
  <si>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</si>
  <si>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</si>
  <si>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</si>
  <si>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</si>
  <si>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</si>
  <si>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</si>
  <si>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</si>
  <si>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</si>
  <si>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</si>
  <si>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</si>
  <si>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</si>
  <si>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</si>
  <si>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</si>
  <si>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</si>
  <si>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</si>
  <si>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</si>
  <si>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</si>
  <si>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</si>
  <si>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</si>
  <si>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</si>
  <si>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</si>
  <si>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</si>
  <si>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</si>
  <si>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</si>
  <si>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</si>
  <si>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</si>
  <si>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</si>
  <si>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</si>
  <si>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</si>
  <si>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</si>
  <si>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</si>
  <si>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</si>
  <si>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</si>
  <si>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</si>
  <si>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</si>
  <si>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</si>
  <si>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</si>
  <si>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</si>
  <si>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</si>
  <si>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</si>
  <si>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</si>
  <si>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</si>
  <si>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</si>
  <si>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</si>
  <si>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</si>
  <si>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</si>
  <si>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</si>
  <si>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</si>
  <si>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</si>
  <si>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</si>
  <si>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</si>
  <si>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</si>
  <si>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</si>
  <si>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</si>
  <si>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</si>
  <si>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</si>
  <si>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</si>
  <si>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</si>
  <si>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</si>
  <si>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</si>
  <si>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</si>
  <si>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</si>
  <si>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</si>
  <si>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</si>
  <si>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</si>
  <si>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</si>
  <si>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</si>
  <si>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</si>
  <si>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</si>
  <si>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</si>
  <si>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</si>
  <si>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</si>
  <si>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</si>
  <si>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</si>
  <si>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</si>
  <si>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</si>
  <si>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</si>
  <si>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</si>
  <si>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</si>
  <si>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</si>
  <si>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</si>
  <si>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</si>
  <si>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</si>
  <si>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</si>
  <si>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</si>
  <si>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</si>
  <si>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</si>
  <si>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</si>
  <si>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</si>
  <si>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</si>
  <si>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</si>
  <si>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</si>
  <si>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</si>
  <si>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</si>
  <si>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</si>
  <si>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</si>
  <si>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</si>
  <si>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</si>
  <si>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</si>
  <si>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</si>
  <si>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</si>
  <si>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</si>
  <si>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</si>
  <si>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</si>
  <si>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</si>
  <si>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</si>
  <si>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</si>
  <si>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</si>
  <si>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</si>
  <si>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</si>
  <si>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</si>
  <si>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</si>
  <si>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</si>
  <si>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</si>
  <si>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</si>
  <si>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</si>
  <si>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</si>
  <si>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</si>
  <si>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</si>
  <si>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</si>
  <si>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</si>
  <si>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</si>
  <si>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</si>
  <si>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</si>
  <si>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</si>
  <si>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</si>
  <si>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</si>
  <si>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</si>
  <si>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</si>
  <si>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</si>
  <si>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</si>
  <si>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</si>
  <si>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</si>
  <si>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</si>
  <si>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</si>
  <si>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</si>
  <si>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</si>
  <si>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</si>
  <si>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</si>
  <si>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</si>
  <si>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</si>
  <si>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</si>
  <si>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</si>
  <si>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</si>
  <si>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</si>
  <si>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</si>
  <si>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</si>
  <si>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</si>
  <si>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</si>
  <si>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</si>
  <si>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</si>
  <si>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</si>
  <si>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</si>
  <si>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</si>
  <si>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</si>
  <si>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</si>
  <si>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</si>
  <si>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</si>
  <si>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</si>
  <si>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</si>
  <si>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</si>
  <si>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</si>
  <si>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</si>
  <si>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</si>
  <si>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</si>
  <si>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</si>
  <si>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</si>
  <si>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</si>
  <si>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</si>
  <si>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</si>
  <si>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</si>
  <si>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</si>
  <si>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</si>
  <si>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</si>
  <si>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</si>
  <si>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</si>
  <si>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</si>
  <si>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</si>
  <si>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</si>
  <si>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</si>
  <si>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</si>
  <si>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</si>
  <si>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</si>
  <si>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</si>
  <si>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</si>
  <si>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</si>
  <si>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</si>
  <si>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</si>
  <si>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</si>
  <si>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</si>
  <si>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</si>
  <si>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</si>
  <si>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</si>
  <si>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</si>
  <si>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</si>
  <si>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</si>
  <si>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</si>
  <si>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</si>
  <si>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</si>
  <si>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</si>
  <si>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</si>
  <si>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</si>
  <si>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</si>
  <si>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</si>
  <si>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</si>
  <si>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</si>
  <si>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</si>
  <si>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</si>
  <si>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</si>
  <si>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</si>
  <si>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</si>
  <si>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</si>
  <si>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</si>
  <si>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</si>
  <si>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</si>
  <si>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</si>
  <si>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</si>
  <si>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</si>
  <si>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</si>
  <si>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</si>
  <si>
    <t>BGH2-2030 MeOH from Biogas</t>
  </si>
  <si>
    <t>Moioli2022</t>
  </si>
  <si>
    <t>Eco-Techno-Economic Analysis of Methanol Production from Biogas and Power-to-X</t>
  </si>
  <si>
    <t>Moioli</t>
  </si>
  <si>
    <t>https://pubs.acs.org/doi/epdf/10.1021/acs.iecr.1c04682</t>
  </si>
  <si>
    <t>Ghosh2019</t>
  </si>
  <si>
    <t>Biogas to methanol: A comparison of conversion processes involving direct carbon dioxide hydrogenation and via reverse water gas shift reaction</t>
  </si>
  <si>
    <t>Ghosh</t>
  </si>
  <si>
    <t>ENS2014</t>
  </si>
  <si>
    <t>Biogas i Danmark – status, barrierer og perspektiver</t>
  </si>
  <si>
    <t>Energistyrelsen</t>
  </si>
  <si>
    <t>Numbers are perhaps outdated</t>
  </si>
  <si>
    <t>https://ens.dk/sites/ens.dk/files/Bioenergi/biogas_i_danmark_-_analyse_2014-final.pdf</t>
  </si>
  <si>
    <t>https://global-uploads.webflow.com/628dfad4d3a01f893b381f47/63ff3b262544944294815ea1_Biogasplan%20Bornholm%20Marts%202023%20Final.pdf</t>
  </si>
  <si>
    <t>Based on Biogasplan2023.</t>
  </si>
  <si>
    <t>Biogasplan2023</t>
  </si>
  <si>
    <t>Biogasplan Bornholm</t>
  </si>
  <si>
    <t>Bornholms Landbrug og Fødevarer</t>
  </si>
  <si>
    <t>Islanded-BG</t>
  </si>
  <si>
    <t>Islanded-BGH2</t>
  </si>
  <si>
    <t>Grid-BGH2</t>
  </si>
  <si>
    <t>MeOH Biogas only - Bench fuel</t>
  </si>
  <si>
    <t>MeOH Biogas only - Worst fuel</t>
  </si>
  <si>
    <t>MeOH Biogas only - Best fuel</t>
  </si>
  <si>
    <t>BG-2030 MeOH worst fuel</t>
  </si>
  <si>
    <t>BG-2030 MeOH best fuel</t>
  </si>
  <si>
    <t>BG-2030 MeOH bench fuel</t>
  </si>
  <si>
    <t>MeOH Biogas SOEC - Bench fuel</t>
  </si>
  <si>
    <t>MeOH Biogas AEC - Bench fuel</t>
  </si>
  <si>
    <t>MeOH Biogas SOEC - Worst fuel</t>
  </si>
  <si>
    <t>BGH2-2030 MeOH AEC</t>
  </si>
  <si>
    <t>BGH2-2030 MeOH SOEC</t>
  </si>
  <si>
    <t>MeOH Biogas SOEC - Best fuel</t>
  </si>
  <si>
    <t>BGH2-2030 MeOH worst fuel</t>
  </si>
  <si>
    <t>BGH2-2030 MeOH best fuel</t>
  </si>
  <si>
    <t>Consumption of non-purified water assuming a purification efficieny of 80% based on BhmWP12023. Conversion of purified water to hydrogen is stoichiometric (9 kg of water consumed per kg of hydrogen).</t>
  </si>
  <si>
    <t>MeOH Biogas - Grid conn.</t>
  </si>
  <si>
    <t>BGH2-2030 MeOH SOEC - grid</t>
  </si>
  <si>
    <t>BGH2-2030 MeOH AEC - grid</t>
  </si>
  <si>
    <t>BGH2-2030 MeOH worst fuel - grid</t>
  </si>
  <si>
    <t>BGH2-2030 MeOH best fuel - grid</t>
  </si>
  <si>
    <t>2030hgp</t>
  </si>
  <si>
    <t>2030lgp</t>
  </si>
  <si>
    <t>MeOH Biogas - Grid conn. 2030hgp</t>
  </si>
  <si>
    <t>MeOH Biogas - Grid conn. 2030lgp</t>
  </si>
  <si>
    <t>MeOH Biogas - 2030hgp ren crit</t>
  </si>
  <si>
    <t>MeOH Biogas - 2030lgp ren crit</t>
  </si>
  <si>
    <t>2030hgp_DE</t>
  </si>
  <si>
    <t>2030lgp_DE</t>
  </si>
  <si>
    <t>https://doi.org/10.1016/j.jclepro.2019.01.171</t>
  </si>
  <si>
    <t>High biomass price</t>
  </si>
  <si>
    <t>W2-Best wheat price</t>
  </si>
  <si>
    <t>W2-Worst wheat price</t>
  </si>
  <si>
    <t>Low biomass price</t>
  </si>
  <si>
    <t>HT</t>
  </si>
  <si>
    <t>MeOH - Topsoe</t>
  </si>
  <si>
    <t>MeOH HT</t>
  </si>
  <si>
    <t>Biogas HT</t>
  </si>
  <si>
    <t>Product/Reactant15</t>
  </si>
  <si>
    <t>HT-test</t>
  </si>
  <si>
    <t>Islanded-HT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</si>
</sst>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7" applyNumberFormat="0" applyAlignment="0" applyProtection="0"/>
    <xf numFmtId="0" fontId="23" fillId="11" borderId="8" applyNumberFormat="0" applyAlignment="0" applyProtection="0"/>
    <xf numFmtId="0" fontId="24" fillId="11" borderId="7" applyNumberFormat="0" applyAlignment="0" applyProtection="0"/>
    <xf numFmtId="0" fontId="25" fillId="0" borderId="9" applyNumberFormat="0" applyFill="0" applyAlignment="0" applyProtection="0"/>
    <xf numFmtId="0" fontId="26" fillId="12" borderId="10" applyNumberFormat="0" applyAlignment="0" applyProtection="0"/>
    <xf numFmtId="0" fontId="2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9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167" fontId="0" fillId="0" borderId="0" xfId="0" applyNumberFormat="1"/>
    <xf numFmtId="0" fontId="15" fillId="0" borderId="0" xfId="0" applyFont="1" applyAlignment="1">
      <alignment horizontal="center" vertical="center" wrapText="1"/>
    </xf>
    <xf numFmtId="0" fontId="9" fillId="0" borderId="0" xfId="2" applyAlignment="1">
      <alignment vertical="center"/>
    </xf>
    <xf numFmtId="1" fontId="0" fillId="6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0" fontId="4" fillId="6" borderId="0" xfId="1" applyNumberFormat="1" applyFont="1" applyFill="1"/>
    <xf numFmtId="166" fontId="0" fillId="6" borderId="0" xfId="0" applyNumberFormat="1" applyFill="1"/>
    <xf numFmtId="0" fontId="4" fillId="6" borderId="0" xfId="0" applyFont="1" applyFill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38" borderId="0" xfId="0" applyFill="1" applyAlignment="1">
      <alignment horizontal="center"/>
    </xf>
    <xf numFmtId="0" fontId="3" fillId="38" borderId="0" xfId="0" applyFont="1" applyFill="1" applyAlignment="1">
      <alignment horizontal="center"/>
    </xf>
    <xf numFmtId="0" fontId="0" fillId="38" borderId="0" xfId="0" applyFill="1"/>
    <xf numFmtId="0" fontId="3" fillId="38" borderId="0" xfId="0" applyFont="1" applyFill="1"/>
    <xf numFmtId="0" fontId="0" fillId="38" borderId="1" xfId="0" applyFill="1" applyBorder="1"/>
    <xf numFmtId="0" fontId="0" fillId="38" borderId="2" xfId="0" applyFill="1" applyBorder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38" borderId="3" xfId="0" applyFill="1" applyBorder="1"/>
    <xf numFmtId="0" fontId="4" fillId="4" borderId="0" xfId="0" applyFont="1" applyFill="1"/>
    <xf numFmtId="0" fontId="3" fillId="38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39" borderId="0" xfId="0" applyFill="1" applyAlignment="1">
      <alignment horizontal="center"/>
    </xf>
    <xf numFmtId="0" fontId="3" fillId="39" borderId="0" xfId="0" applyFont="1" applyFill="1" applyAlignment="1">
      <alignment horizontal="center"/>
    </xf>
    <xf numFmtId="0" fontId="0" fillId="39" borderId="0" xfId="0" applyFill="1"/>
    <xf numFmtId="0" fontId="3" fillId="39" borderId="0" xfId="0" applyFont="1" applyFill="1"/>
    <xf numFmtId="0" fontId="0" fillId="39" borderId="1" xfId="0" applyFill="1" applyBorder="1"/>
    <xf numFmtId="0" fontId="0" fillId="39" borderId="2" xfId="0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7E8EAC49-FEE3-4E83-B96D-D6D986406565}"/>
    <cellStyle name="60% - Accent2 2" xfId="39" xr:uid="{61EC3771-E369-4209-9DFA-FF7ABDE99D04}"/>
    <cellStyle name="60% - Accent3 2" xfId="40" xr:uid="{2C96BD72-B71F-4220-ABA5-C51F4B2A5CB2}"/>
    <cellStyle name="60% - Accent4 2" xfId="41" xr:uid="{539F7731-FA0F-4489-AE5B-EB2284AD8F37}"/>
    <cellStyle name="60% - Accent5 2" xfId="42" xr:uid="{AC2C3745-296D-4311-802F-A2F84EB1DA51}"/>
    <cellStyle name="60% - Accent6 2" xfId="43" xr:uid="{53754796-09D2-42FB-B49F-F53E2B40C14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7" xr:uid="{ECFF19EE-E461-4B29-AF30-03EBF2A09DD4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30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26" Type="http://schemas.openxmlformats.org/officeDocument/2006/relationships/hyperlink" Target="https://doi.org/10.1016/j.jclepro.2019.01.171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Relationship Id="rId27" Type="http://schemas.openxmlformats.org/officeDocument/2006/relationships/hyperlink" Target="https://pubs.acs.org/doi/epdf/10.1021/acs.iecr.1c04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9"/>
  <sheetViews>
    <sheetView workbookViewId="0">
      <pane xSplit="5" ySplit="8" topLeftCell="BY9" activePane="bottomRight" state="frozen"/>
      <selection pane="topRight" activeCell="F1" sqref="F1"/>
      <selection pane="bottomLeft" activeCell="A12" sqref="A12"/>
      <selection pane="bottomRight" activeCell="D16" sqref="D16:D17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10" t="s">
        <v>0</v>
      </c>
      <c r="B4" s="110"/>
      <c r="C4" s="110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08" t="s">
        <v>79</v>
      </c>
      <c r="Q4" s="108"/>
      <c r="R4" s="108"/>
      <c r="S4" s="108"/>
      <c r="T4" s="108"/>
      <c r="U4" s="108"/>
      <c r="V4" s="108"/>
      <c r="W4" s="108"/>
      <c r="X4" s="108"/>
      <c r="Y4" s="108"/>
      <c r="Z4" s="108" t="s">
        <v>80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 t="s">
        <v>406</v>
      </c>
      <c r="AK4" s="108"/>
      <c r="AL4" s="108"/>
      <c r="AM4" s="108"/>
      <c r="AN4" s="108"/>
      <c r="AO4" s="108"/>
      <c r="AP4" s="108"/>
      <c r="AQ4" s="108"/>
      <c r="AR4" s="108"/>
      <c r="AS4" s="108"/>
      <c r="AT4" s="108" t="s">
        <v>81</v>
      </c>
      <c r="AU4" s="108"/>
      <c r="AV4" s="108"/>
      <c r="AW4" s="108"/>
      <c r="AX4" s="108"/>
      <c r="AY4" s="108"/>
      <c r="AZ4" s="108"/>
      <c r="BA4" s="108"/>
      <c r="BB4" s="108"/>
      <c r="BC4" s="29"/>
      <c r="BD4" s="108" t="s">
        <v>82</v>
      </c>
      <c r="BE4" s="108"/>
      <c r="BF4" s="108"/>
      <c r="BG4" s="108"/>
      <c r="BH4" s="108"/>
      <c r="BI4" s="108"/>
      <c r="BJ4" s="108"/>
      <c r="BK4" s="108"/>
      <c r="BL4" s="108"/>
      <c r="BM4" s="29"/>
      <c r="BN4" s="108" t="s">
        <v>83</v>
      </c>
      <c r="BO4" s="108"/>
      <c r="BP4" s="108"/>
      <c r="BQ4" s="108"/>
      <c r="BR4" s="108"/>
      <c r="BS4" s="108"/>
      <c r="BT4" s="108"/>
      <c r="BU4" s="108"/>
      <c r="BV4" s="108"/>
      <c r="BW4" s="29"/>
      <c r="BX4" s="108" t="s">
        <v>84</v>
      </c>
      <c r="BY4" s="108"/>
      <c r="BZ4" s="108"/>
      <c r="CA4" s="108"/>
      <c r="CB4" s="108"/>
      <c r="CC4" s="108"/>
      <c r="CD4" s="108"/>
      <c r="CE4" s="108"/>
      <c r="CF4" s="108"/>
      <c r="CG4" s="29"/>
      <c r="CH4" s="108" t="s">
        <v>183</v>
      </c>
      <c r="CI4" s="108"/>
      <c r="CJ4" s="108"/>
      <c r="CK4" s="108"/>
      <c r="CL4" s="108"/>
      <c r="CM4" s="108"/>
      <c r="CN4" s="108"/>
      <c r="CO4" s="108"/>
      <c r="CP4" s="108"/>
      <c r="CQ4" s="29"/>
      <c r="CR4" s="108" t="s">
        <v>184</v>
      </c>
      <c r="CS4" s="108"/>
      <c r="CT4" s="108"/>
      <c r="CU4" s="108"/>
      <c r="CV4" s="108"/>
      <c r="CW4" s="108"/>
      <c r="CX4" s="108"/>
      <c r="CY4" s="108"/>
      <c r="CZ4" s="108"/>
      <c r="DA4" s="29"/>
      <c r="DB4" s="108" t="s">
        <v>185</v>
      </c>
      <c r="DC4" s="108"/>
      <c r="DD4" s="108"/>
      <c r="DE4" s="108"/>
      <c r="DF4" s="108"/>
      <c r="DG4" s="108"/>
      <c r="DH4" s="108"/>
      <c r="DI4" s="108"/>
      <c r="DJ4" s="108"/>
      <c r="DK4" s="29"/>
      <c r="DL4" s="108" t="s">
        <v>186</v>
      </c>
      <c r="DM4" s="108"/>
      <c r="DN4" s="108"/>
      <c r="DO4" s="108"/>
      <c r="DP4" s="108"/>
      <c r="DQ4" s="108"/>
      <c r="DR4" s="108"/>
      <c r="DS4" s="108"/>
      <c r="DT4" s="108"/>
      <c r="DU4" s="29"/>
      <c r="DV4" s="108" t="s">
        <v>187</v>
      </c>
      <c r="DW4" s="108"/>
      <c r="DX4" s="108"/>
      <c r="DY4" s="108"/>
      <c r="DZ4" s="108"/>
      <c r="EA4" s="108"/>
      <c r="EB4" s="108"/>
      <c r="EC4" s="108"/>
      <c r="ED4" s="108"/>
      <c r="EE4" s="29"/>
      <c r="EF4" s="108" t="s">
        <v>132</v>
      </c>
      <c r="EG4" s="108"/>
      <c r="EH4" s="108"/>
      <c r="EI4" s="108"/>
      <c r="EJ4" s="108"/>
      <c r="EK4" s="108"/>
      <c r="EL4" s="108"/>
      <c r="EM4" s="108"/>
      <c r="EN4" s="108"/>
      <c r="EO4" s="29"/>
      <c r="EP4" s="108" t="s">
        <v>85</v>
      </c>
      <c r="EQ4" s="108"/>
      <c r="ER4" s="108"/>
      <c r="ES4" s="108"/>
      <c r="ET4" s="108"/>
      <c r="EU4" s="108"/>
      <c r="EV4" s="108"/>
      <c r="EW4" s="108"/>
      <c r="EX4" s="108"/>
      <c r="EY4" s="29"/>
      <c r="EZ4" s="108" t="s">
        <v>178</v>
      </c>
      <c r="FA4" s="108"/>
      <c r="FB4" s="108"/>
      <c r="FC4" s="108"/>
      <c r="FD4" s="108"/>
      <c r="FE4" s="108"/>
      <c r="FF4" s="108"/>
      <c r="FG4" s="108"/>
      <c r="FH4" s="108"/>
      <c r="FI4" s="29"/>
      <c r="FJ4" s="108" t="s">
        <v>86</v>
      </c>
      <c r="FK4" s="108"/>
      <c r="FL4" s="108"/>
      <c r="FM4" s="108"/>
      <c r="FN4" s="108"/>
      <c r="FO4" s="108"/>
      <c r="FP4" s="108"/>
      <c r="FQ4" s="108"/>
      <c r="FR4" s="108"/>
      <c r="FS4" s="108"/>
    </row>
    <row r="5" spans="1:175" s="5" customFormat="1" ht="15" customHeight="1" x14ac:dyDescent="0.3">
      <c r="A5" s="37"/>
      <c r="B5" s="111" t="s">
        <v>7</v>
      </c>
      <c r="C5" s="112" t="s">
        <v>8</v>
      </c>
      <c r="D5" s="111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1"/>
      <c r="C6" s="112"/>
      <c r="D6" s="111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6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75" customHeight="1" x14ac:dyDescent="0.3">
      <c r="A7" s="45"/>
      <c r="B7" s="111"/>
      <c r="C7" s="112"/>
      <c r="D7" s="111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1"/>
      <c r="C8" s="112"/>
      <c r="D8" s="111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09" t="s">
        <v>11</v>
      </c>
      <c r="B9" s="3" t="s">
        <v>135</v>
      </c>
      <c r="C9" s="11" t="s">
        <v>277</v>
      </c>
      <c r="D9" s="2" t="s">
        <v>77</v>
      </c>
      <c r="E9" s="9">
        <f t="shared" ref="E9:E79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5" si="6">$EG9*B$3</f>
        <v>0</v>
      </c>
      <c r="EK9">
        <v>0</v>
      </c>
      <c r="EL9">
        <f t="shared" ref="EL9:EL35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5" si="9">$EQ9*B$3</f>
        <v>5.6800000000000002E-3</v>
      </c>
      <c r="EU9">
        <v>0</v>
      </c>
      <c r="EV9">
        <f t="shared" ref="EV9:EV35" si="10">$EQ9*C$3</f>
        <v>5.6800000000000002E-3</v>
      </c>
      <c r="EW9">
        <v>0</v>
      </c>
      <c r="EX9">
        <f t="shared" ref="EX9:EX35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09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5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9"/>
      <c r="B11" s="3" t="s">
        <v>430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v>13300000</v>
      </c>
      <c r="I11" s="24" t="str">
        <f>B38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s="66" customFormat="1" x14ac:dyDescent="0.3">
      <c r="A12" s="109"/>
      <c r="B12" s="62" t="s">
        <v>541</v>
      </c>
      <c r="C12" s="63" t="s">
        <v>171</v>
      </c>
      <c r="D12" s="54" t="s">
        <v>542</v>
      </c>
      <c r="E12" s="64">
        <f t="shared" si="5"/>
        <v>4</v>
      </c>
      <c r="F12" s="64">
        <v>1</v>
      </c>
      <c r="G12" s="64" t="s">
        <v>543</v>
      </c>
      <c r="H12" s="74">
        <f>H14/P14</f>
        <v>29280000.000000004</v>
      </c>
      <c r="I12" s="65" t="str">
        <f>B38</f>
        <v>Reactant2</v>
      </c>
      <c r="J12" s="66">
        <v>0</v>
      </c>
      <c r="K12" s="66">
        <v>1</v>
      </c>
      <c r="L12" s="66">
        <v>0</v>
      </c>
      <c r="M12" s="66">
        <v>0</v>
      </c>
      <c r="N12" s="66">
        <v>0</v>
      </c>
      <c r="O12" s="66">
        <v>20000</v>
      </c>
      <c r="P12" s="75">
        <v>26.350782437758895</v>
      </c>
      <c r="Q12" s="75">
        <v>26.350782437758895</v>
      </c>
      <c r="R12" s="75">
        <v>26.350782437758895</v>
      </c>
      <c r="S12" s="75">
        <v>26.350782437758895</v>
      </c>
      <c r="T12" s="75">
        <v>26.350782437758895</v>
      </c>
      <c r="U12" s="75">
        <v>26.350782437758895</v>
      </c>
      <c r="V12" s="75">
        <v>26.350782437758895</v>
      </c>
      <c r="W12" s="75">
        <v>26.350782437758895</v>
      </c>
      <c r="X12" s="75">
        <v>26.350782437758895</v>
      </c>
      <c r="Y12" s="75">
        <v>26.350782437758895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56">
        <v>0.4</v>
      </c>
      <c r="AU12" s="56">
        <v>0.4</v>
      </c>
      <c r="AV12" s="56">
        <v>0.2</v>
      </c>
      <c r="AW12" s="56">
        <v>0.4</v>
      </c>
      <c r="AX12" s="56">
        <v>0.2</v>
      </c>
      <c r="AY12" s="56">
        <v>0.1</v>
      </c>
      <c r="AZ12" s="56">
        <v>0.1</v>
      </c>
      <c r="BA12" s="56">
        <v>0.1</v>
      </c>
      <c r="BB12" s="56">
        <v>0.1</v>
      </c>
      <c r="BC12" s="56">
        <v>0.1</v>
      </c>
      <c r="BD12" s="56">
        <v>0.2</v>
      </c>
      <c r="BE12" s="56">
        <v>0.2</v>
      </c>
      <c r="BF12" s="56">
        <v>0.2</v>
      </c>
      <c r="BG12" s="56">
        <v>0.6</v>
      </c>
      <c r="BH12" s="56">
        <v>1</v>
      </c>
      <c r="BI12" s="56">
        <v>1</v>
      </c>
      <c r="BJ12" s="56">
        <v>1</v>
      </c>
      <c r="BK12" s="56">
        <v>1</v>
      </c>
      <c r="BL12" s="56">
        <v>1</v>
      </c>
      <c r="BM12" s="56">
        <v>1</v>
      </c>
      <c r="BN12" s="56">
        <v>0.2</v>
      </c>
      <c r="BO12" s="56">
        <v>0.2</v>
      </c>
      <c r="BP12" s="56">
        <v>0.2</v>
      </c>
      <c r="BQ12" s="56">
        <v>0.6</v>
      </c>
      <c r="BR12" s="56">
        <v>1</v>
      </c>
      <c r="BS12" s="56">
        <v>1</v>
      </c>
      <c r="BT12" s="56">
        <v>1</v>
      </c>
      <c r="BU12" s="56">
        <v>1</v>
      </c>
      <c r="BV12" s="56">
        <v>1</v>
      </c>
      <c r="BW12" s="56">
        <v>1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0</v>
      </c>
      <c r="CH12" s="74">
        <v>15110.907103825137</v>
      </c>
      <c r="CI12" s="74">
        <v>15110.907103825137</v>
      </c>
      <c r="CJ12" s="74">
        <v>15110.907103825137</v>
      </c>
      <c r="CK12" s="74">
        <v>15110.907103825137</v>
      </c>
      <c r="CL12" s="74">
        <v>15110.907103825137</v>
      </c>
      <c r="CM12" s="74">
        <v>15110.907103825137</v>
      </c>
      <c r="CN12" s="74">
        <v>15110.907103825137</v>
      </c>
      <c r="CO12" s="74">
        <v>15110.907103825137</v>
      </c>
      <c r="CP12" s="74">
        <v>15110.907103825137</v>
      </c>
      <c r="CQ12" s="74">
        <v>15110.9071038251</v>
      </c>
      <c r="CR12" s="76">
        <v>655.73770491803282</v>
      </c>
      <c r="CS12" s="76">
        <v>655.73770491803282</v>
      </c>
      <c r="CT12" s="76">
        <v>655.73770491803282</v>
      </c>
      <c r="CU12" s="76">
        <v>655.73770491803282</v>
      </c>
      <c r="CV12" s="76">
        <v>655.73770491803282</v>
      </c>
      <c r="CW12" s="76">
        <v>655.73770491803282</v>
      </c>
      <c r="CX12" s="76">
        <v>655.73770491803282</v>
      </c>
      <c r="CY12" s="76">
        <v>655.73770491803282</v>
      </c>
      <c r="CZ12" s="76">
        <v>655.73770491803282</v>
      </c>
      <c r="DA12" s="76">
        <v>655.73770491803282</v>
      </c>
      <c r="DB12" s="77">
        <v>0</v>
      </c>
      <c r="DC12" s="77">
        <v>0</v>
      </c>
      <c r="DD12" s="77">
        <v>0</v>
      </c>
      <c r="DE12" s="66">
        <v>0</v>
      </c>
      <c r="DF12" s="77">
        <v>0</v>
      </c>
      <c r="DG12" s="66">
        <v>0</v>
      </c>
      <c r="DH12" s="77">
        <v>0</v>
      </c>
      <c r="DI12" s="66">
        <v>0</v>
      </c>
      <c r="DJ12" s="77">
        <v>0</v>
      </c>
      <c r="DK12" s="66">
        <v>0</v>
      </c>
      <c r="DL12" s="66">
        <v>0</v>
      </c>
      <c r="DM12" s="66">
        <v>0</v>
      </c>
      <c r="DN12" s="66">
        <v>0</v>
      </c>
      <c r="DO12" s="66">
        <v>0</v>
      </c>
      <c r="DP12" s="66">
        <v>0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0</v>
      </c>
      <c r="DX12" s="66">
        <v>0</v>
      </c>
      <c r="DY12" s="66">
        <v>0</v>
      </c>
      <c r="DZ12" s="66">
        <v>0</v>
      </c>
      <c r="EA12" s="66">
        <v>0</v>
      </c>
      <c r="EB12" s="66">
        <v>0</v>
      </c>
      <c r="EC12" s="66">
        <v>0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>
        <v>0</v>
      </c>
      <c r="EK12" s="66">
        <v>0</v>
      </c>
      <c r="EL12" s="66">
        <v>0</v>
      </c>
      <c r="EM12" s="66">
        <v>0</v>
      </c>
      <c r="EN12" s="66">
        <v>0</v>
      </c>
      <c r="EO12" s="66">
        <v>0</v>
      </c>
      <c r="EP12" s="66">
        <v>0</v>
      </c>
      <c r="EQ12" s="66">
        <v>0</v>
      </c>
      <c r="ER12" s="66">
        <v>0</v>
      </c>
      <c r="ES12" s="66">
        <v>0</v>
      </c>
      <c r="ET12" s="66">
        <v>0</v>
      </c>
      <c r="EU12" s="66">
        <v>0</v>
      </c>
      <c r="EV12" s="66">
        <v>0</v>
      </c>
      <c r="EW12" s="66">
        <v>0</v>
      </c>
      <c r="EX12" s="66">
        <v>0</v>
      </c>
      <c r="EY12" s="66">
        <v>0</v>
      </c>
      <c r="EZ12" s="66">
        <v>0</v>
      </c>
      <c r="FA12" s="66">
        <v>0</v>
      </c>
      <c r="FB12" s="66">
        <v>0</v>
      </c>
      <c r="FC12" s="66">
        <v>0</v>
      </c>
      <c r="FD12" s="66">
        <v>0</v>
      </c>
      <c r="FE12" s="66">
        <v>0</v>
      </c>
      <c r="FF12" s="66">
        <v>0</v>
      </c>
      <c r="FG12" s="66">
        <v>0</v>
      </c>
      <c r="FH12" s="66">
        <v>0</v>
      </c>
      <c r="FI12" s="66">
        <v>0</v>
      </c>
      <c r="FJ12" s="66">
        <v>8.8495575221238937E-2</v>
      </c>
      <c r="FK12" s="66">
        <v>8.8495575221238937E-2</v>
      </c>
      <c r="FL12" s="66">
        <v>8.8495575221238937E-2</v>
      </c>
      <c r="FM12" s="66">
        <v>8.8495575221238937E-2</v>
      </c>
      <c r="FN12" s="66">
        <v>8.8495575221238937E-2</v>
      </c>
      <c r="FO12" s="66">
        <v>8.8495575221238937E-2</v>
      </c>
      <c r="FP12" s="66">
        <v>8.8495575221238937E-2</v>
      </c>
      <c r="FQ12" s="66">
        <v>8.8495575221238937E-2</v>
      </c>
      <c r="FR12" s="66">
        <v>8.8495575221238937E-2</v>
      </c>
      <c r="FS12" s="66">
        <v>8.8495575221238937E-2</v>
      </c>
    </row>
    <row r="13" spans="1:175" s="66" customFormat="1" x14ac:dyDescent="0.3">
      <c r="A13" s="109"/>
      <c r="B13" s="62" t="s">
        <v>135</v>
      </c>
      <c r="C13" s="63" t="s">
        <v>171</v>
      </c>
      <c r="D13" s="54" t="s">
        <v>544</v>
      </c>
      <c r="E13" s="64">
        <f t="shared" si="5"/>
        <v>5</v>
      </c>
      <c r="F13" s="64">
        <v>1</v>
      </c>
      <c r="G13" s="64" t="s">
        <v>545</v>
      </c>
      <c r="H13" s="74">
        <f>H15/P15</f>
        <v>16019678.032611715</v>
      </c>
      <c r="I13" s="65" t="str">
        <f>B15</f>
        <v>Reactant14</v>
      </c>
      <c r="J13" s="66">
        <v>0</v>
      </c>
      <c r="K13" s="66">
        <v>1</v>
      </c>
      <c r="L13" s="66">
        <v>0</v>
      </c>
      <c r="M13" s="66">
        <v>0</v>
      </c>
      <c r="N13" s="66">
        <v>0</v>
      </c>
      <c r="O13" s="66">
        <v>20000</v>
      </c>
      <c r="P13" s="75">
        <v>0.43531733784270965</v>
      </c>
      <c r="Q13" s="75">
        <v>0.43531733784270965</v>
      </c>
      <c r="R13" s="75">
        <v>0.56999999999999995</v>
      </c>
      <c r="S13" s="75">
        <v>0.43531733784270965</v>
      </c>
      <c r="T13" s="75">
        <v>0.43531733784270965</v>
      </c>
      <c r="U13" s="75">
        <v>0.56999999999999995</v>
      </c>
      <c r="V13" s="75">
        <v>0.43531733784270965</v>
      </c>
      <c r="W13" s="75">
        <v>0.43531733784270965</v>
      </c>
      <c r="X13" s="75">
        <v>0.43531733784270965</v>
      </c>
      <c r="Y13" s="75">
        <v>0.56999999999999995</v>
      </c>
      <c r="Z13" s="78">
        <v>0.94348439947985208</v>
      </c>
      <c r="AA13" s="78">
        <v>0.94348439947985208</v>
      </c>
      <c r="AB13" s="78">
        <v>0.94348439947985208</v>
      </c>
      <c r="AC13" s="78">
        <v>0.94348439947985208</v>
      </c>
      <c r="AD13" s="78">
        <v>0.94348439947985208</v>
      </c>
      <c r="AE13" s="78">
        <v>0.94348439947985208</v>
      </c>
      <c r="AF13" s="78">
        <v>0.94348439947985208</v>
      </c>
      <c r="AG13" s="78">
        <v>0.94348439947985208</v>
      </c>
      <c r="AH13" s="78">
        <v>0.94348439947985208</v>
      </c>
      <c r="AI13" s="78">
        <v>0.94348439947985208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56">
        <v>0.4</v>
      </c>
      <c r="AU13" s="56">
        <v>0.4</v>
      </c>
      <c r="AV13" s="56">
        <v>0.2</v>
      </c>
      <c r="AW13" s="56">
        <v>0.4</v>
      </c>
      <c r="AX13" s="56">
        <v>0.2</v>
      </c>
      <c r="AY13" s="56">
        <v>0.1</v>
      </c>
      <c r="AZ13" s="56">
        <v>0.1</v>
      </c>
      <c r="BA13" s="56">
        <v>0.1</v>
      </c>
      <c r="BB13" s="56">
        <v>0.1</v>
      </c>
      <c r="BC13" s="56">
        <v>0.1</v>
      </c>
      <c r="BD13" s="56">
        <v>0.2</v>
      </c>
      <c r="BE13" s="56">
        <v>0.2</v>
      </c>
      <c r="BF13" s="56">
        <v>0.2</v>
      </c>
      <c r="BG13" s="56">
        <v>0.6</v>
      </c>
      <c r="BH13" s="56">
        <v>1</v>
      </c>
      <c r="BI13" s="56">
        <v>1</v>
      </c>
      <c r="BJ13" s="56">
        <v>1</v>
      </c>
      <c r="BK13" s="56">
        <v>1</v>
      </c>
      <c r="BL13" s="56">
        <v>1</v>
      </c>
      <c r="BM13" s="56">
        <v>1</v>
      </c>
      <c r="BN13" s="56">
        <v>0.2</v>
      </c>
      <c r="BO13" s="56">
        <v>0.2</v>
      </c>
      <c r="BP13" s="56">
        <v>0.2</v>
      </c>
      <c r="BQ13" s="56">
        <v>0.6</v>
      </c>
      <c r="BR13" s="56">
        <v>1</v>
      </c>
      <c r="BS13" s="56">
        <v>1</v>
      </c>
      <c r="BT13" s="56">
        <v>1</v>
      </c>
      <c r="BU13" s="56">
        <v>1</v>
      </c>
      <c r="BV13" s="56">
        <v>1</v>
      </c>
      <c r="BW13" s="56">
        <v>1</v>
      </c>
      <c r="BX13" s="75">
        <v>-0.50749670990787743</v>
      </c>
      <c r="BY13" s="75">
        <v>-0.50749670990787743</v>
      </c>
      <c r="BZ13" s="75">
        <v>-0.50749670990787743</v>
      </c>
      <c r="CA13" s="75">
        <v>-0.50749670990787743</v>
      </c>
      <c r="CB13" s="75">
        <v>-0.50749670990787743</v>
      </c>
      <c r="CC13" s="75">
        <v>-0.50749670990787743</v>
      </c>
      <c r="CD13" s="75">
        <v>-0.50749670990787743</v>
      </c>
      <c r="CE13" s="75">
        <v>-0.50749670990787743</v>
      </c>
      <c r="CF13" s="75">
        <v>-0.50749670990787743</v>
      </c>
      <c r="CG13" s="75">
        <v>-0.50749670990787743</v>
      </c>
      <c r="CH13" s="74">
        <v>18309.859154929578</v>
      </c>
      <c r="CI13" s="74">
        <v>18309.859154929578</v>
      </c>
      <c r="CJ13" s="74">
        <v>18309.859154929578</v>
      </c>
      <c r="CK13" s="74">
        <v>18309.859154929578</v>
      </c>
      <c r="CL13" s="74">
        <v>18309.859154929578</v>
      </c>
      <c r="CM13" s="74">
        <v>18309.859154929578</v>
      </c>
      <c r="CN13" s="74">
        <v>18309.859154929578</v>
      </c>
      <c r="CO13" s="74">
        <v>18309.859154929578</v>
      </c>
      <c r="CP13" s="74">
        <v>18309.859154929578</v>
      </c>
      <c r="CQ13" s="74">
        <v>18309.859154929578</v>
      </c>
      <c r="CR13" s="76">
        <v>845.07042253521126</v>
      </c>
      <c r="CS13" s="76">
        <v>845.07042253521126</v>
      </c>
      <c r="CT13" s="76">
        <v>845.07042253521126</v>
      </c>
      <c r="CU13" s="76">
        <v>845.07042253521126</v>
      </c>
      <c r="CV13" s="76">
        <v>845.07042253521126</v>
      </c>
      <c r="CW13" s="76">
        <v>845.07042253521126</v>
      </c>
      <c r="CX13" s="76">
        <v>845.07042253521126</v>
      </c>
      <c r="CY13" s="76">
        <v>845.07042253521126</v>
      </c>
      <c r="CZ13" s="76">
        <v>845.07042253521126</v>
      </c>
      <c r="DA13" s="76">
        <v>845.07042253521126</v>
      </c>
      <c r="DB13" s="77">
        <v>0</v>
      </c>
      <c r="DC13" s="77">
        <v>0</v>
      </c>
      <c r="DD13" s="77">
        <v>0</v>
      </c>
      <c r="DE13" s="77">
        <v>0</v>
      </c>
      <c r="DF13" s="77">
        <v>0</v>
      </c>
      <c r="DG13" s="77">
        <v>0</v>
      </c>
      <c r="DH13" s="77">
        <v>0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0</v>
      </c>
      <c r="DX13" s="77">
        <v>0</v>
      </c>
      <c r="DY13" s="77">
        <v>0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66">
        <v>0</v>
      </c>
      <c r="EG13" s="66">
        <v>0</v>
      </c>
      <c r="EH13" s="66">
        <v>0</v>
      </c>
      <c r="EI13" s="66">
        <v>0</v>
      </c>
      <c r="EJ13" s="66">
        <v>0</v>
      </c>
      <c r="EK13" s="66">
        <v>0</v>
      </c>
      <c r="EL13" s="66">
        <v>0</v>
      </c>
      <c r="EM13" s="66">
        <v>0</v>
      </c>
      <c r="EN13" s="66">
        <v>0</v>
      </c>
      <c r="EO13" s="66">
        <v>0</v>
      </c>
      <c r="EP13" s="75">
        <v>0.27928510998307954</v>
      </c>
      <c r="EQ13" s="75">
        <v>0.27928510998307954</v>
      </c>
      <c r="ER13" s="75">
        <v>0.27928510998307954</v>
      </c>
      <c r="ES13" s="75">
        <v>0.27928510998307954</v>
      </c>
      <c r="ET13" s="75">
        <v>0.27928510998307954</v>
      </c>
      <c r="EU13" s="75">
        <v>0.27928510998307954</v>
      </c>
      <c r="EV13" s="75">
        <v>0.27928510998307954</v>
      </c>
      <c r="EW13" s="75">
        <v>0.27928510998307954</v>
      </c>
      <c r="EX13" s="75">
        <v>0.27928510998307954</v>
      </c>
      <c r="EY13" s="75">
        <v>0.27928510998307954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66">
        <v>8.8495575221238937E-2</v>
      </c>
      <c r="FK13" s="66">
        <v>8.8495575221238937E-2</v>
      </c>
      <c r="FL13" s="66">
        <v>8.8495575221238937E-2</v>
      </c>
      <c r="FM13" s="66">
        <v>8.8495575221238937E-2</v>
      </c>
      <c r="FN13" s="66">
        <v>8.8495575221238937E-2</v>
      </c>
      <c r="FO13" s="66">
        <v>8.8495575221238937E-2</v>
      </c>
      <c r="FP13" s="66">
        <v>8.8495575221238937E-2</v>
      </c>
      <c r="FQ13" s="66">
        <v>8.8495575221238937E-2</v>
      </c>
      <c r="FR13" s="66">
        <v>8.8495575221238937E-2</v>
      </c>
      <c r="FS13" s="66">
        <v>8.8495575221238937E-2</v>
      </c>
    </row>
    <row r="14" spans="1:175" s="66" customFormat="1" x14ac:dyDescent="0.3">
      <c r="A14" s="109"/>
      <c r="B14" s="62" t="s">
        <v>135</v>
      </c>
      <c r="C14" s="79" t="s">
        <v>277</v>
      </c>
      <c r="D14" s="54" t="s">
        <v>546</v>
      </c>
      <c r="E14" s="64">
        <f t="shared" si="5"/>
        <v>6</v>
      </c>
      <c r="F14" s="64">
        <v>1</v>
      </c>
      <c r="G14" s="64" t="s">
        <v>546</v>
      </c>
      <c r="H14" s="74">
        <v>36800000</v>
      </c>
      <c r="I14" s="65" t="str">
        <f>B12</f>
        <v>Product/Reactant13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40000</v>
      </c>
      <c r="P14" s="75">
        <v>1.256830601092896</v>
      </c>
      <c r="Q14" s="75">
        <v>1.256830601092896</v>
      </c>
      <c r="R14" s="75">
        <v>1.256830601092896</v>
      </c>
      <c r="S14" s="75">
        <v>1.256830601092896</v>
      </c>
      <c r="T14" s="75">
        <v>1.256830601092896</v>
      </c>
      <c r="U14" s="75">
        <v>1.256830601092896</v>
      </c>
      <c r="V14" s="75">
        <v>1.256830601092896</v>
      </c>
      <c r="W14" s="75">
        <v>1.256830601092896</v>
      </c>
      <c r="X14" s="75">
        <v>1.256830601092896</v>
      </c>
      <c r="Y14" s="75">
        <v>1.256830601092896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1</v>
      </c>
      <c r="BE14" s="56">
        <v>1</v>
      </c>
      <c r="BF14" s="56">
        <v>1</v>
      </c>
      <c r="BG14" s="56">
        <v>1</v>
      </c>
      <c r="BH14" s="56">
        <v>1</v>
      </c>
      <c r="BI14" s="56">
        <v>1</v>
      </c>
      <c r="BJ14" s="56">
        <v>1</v>
      </c>
      <c r="BK14" s="56">
        <v>1</v>
      </c>
      <c r="BL14" s="56">
        <v>1</v>
      </c>
      <c r="BM14" s="56">
        <v>1</v>
      </c>
      <c r="BN14" s="56">
        <v>1</v>
      </c>
      <c r="BO14" s="56">
        <v>1</v>
      </c>
      <c r="BP14" s="56">
        <v>1</v>
      </c>
      <c r="BQ14" s="56">
        <v>1</v>
      </c>
      <c r="BR14" s="56">
        <v>1</v>
      </c>
      <c r="BS14" s="56">
        <v>1</v>
      </c>
      <c r="BT14" s="56">
        <v>1</v>
      </c>
      <c r="BU14" s="56">
        <v>1</v>
      </c>
      <c r="BV14" s="56">
        <v>1</v>
      </c>
      <c r="BW14" s="56">
        <v>1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77">
        <v>0</v>
      </c>
      <c r="DC14" s="77">
        <v>0</v>
      </c>
      <c r="DD14" s="77">
        <v>0</v>
      </c>
      <c r="DE14" s="66">
        <v>0</v>
      </c>
      <c r="DF14" s="77">
        <v>0</v>
      </c>
      <c r="DG14" s="66">
        <v>0</v>
      </c>
      <c r="DH14" s="77">
        <v>0</v>
      </c>
      <c r="DI14" s="66">
        <v>0</v>
      </c>
      <c r="DJ14" s="77">
        <v>0</v>
      </c>
      <c r="DK14" s="66">
        <v>0</v>
      </c>
      <c r="DL14" s="66">
        <v>0</v>
      </c>
      <c r="DM14" s="66">
        <v>0</v>
      </c>
      <c r="DN14" s="66">
        <v>0</v>
      </c>
      <c r="DO14" s="66">
        <v>0</v>
      </c>
      <c r="DP14" s="66">
        <v>0</v>
      </c>
      <c r="DQ14" s="66">
        <v>0</v>
      </c>
      <c r="DR14" s="66">
        <v>0</v>
      </c>
      <c r="DS14" s="66">
        <v>0</v>
      </c>
      <c r="DT14" s="66">
        <v>0</v>
      </c>
      <c r="DU14" s="66">
        <v>0</v>
      </c>
      <c r="DV14" s="66">
        <v>0.503</v>
      </c>
      <c r="DW14" s="66">
        <v>0.35699999999999998</v>
      </c>
      <c r="DX14" s="66">
        <v>0.27700000000000002</v>
      </c>
      <c r="DY14" s="66">
        <v>0.503</v>
      </c>
      <c r="DZ14" s="66">
        <v>0.35699999999999998</v>
      </c>
      <c r="EA14" s="66">
        <v>0.27700000000000002</v>
      </c>
      <c r="EB14" s="66">
        <v>0.35699999999999998</v>
      </c>
      <c r="EC14" s="66">
        <v>0.503</v>
      </c>
      <c r="ED14" s="66">
        <v>0.35699999999999998</v>
      </c>
      <c r="EE14" s="66">
        <v>0.27700000000000002</v>
      </c>
      <c r="EF14" s="66">
        <v>0</v>
      </c>
      <c r="EG14" s="66">
        <v>0</v>
      </c>
      <c r="EH14" s="66">
        <v>0</v>
      </c>
      <c r="EI14" s="66">
        <v>0</v>
      </c>
      <c r="EJ14" s="66">
        <v>0</v>
      </c>
      <c r="EK14" s="66">
        <v>0</v>
      </c>
      <c r="EL14" s="66">
        <v>0</v>
      </c>
      <c r="EM14" s="66">
        <v>0</v>
      </c>
      <c r="EN14" s="66">
        <v>0</v>
      </c>
      <c r="EO14" s="66">
        <v>0</v>
      </c>
      <c r="EP14" s="66">
        <v>0</v>
      </c>
      <c r="EQ14" s="66">
        <v>0</v>
      </c>
      <c r="ER14" s="66">
        <v>0</v>
      </c>
      <c r="ES14" s="66">
        <v>0</v>
      </c>
      <c r="ET14" s="66">
        <v>0</v>
      </c>
      <c r="EU14" s="66">
        <v>0</v>
      </c>
      <c r="EV14" s="66">
        <v>0</v>
      </c>
      <c r="EW14" s="66">
        <v>0</v>
      </c>
      <c r="EX14" s="66">
        <v>0</v>
      </c>
      <c r="EY14" s="66">
        <v>0</v>
      </c>
      <c r="EZ14" s="66">
        <v>0</v>
      </c>
      <c r="FA14" s="66">
        <v>0</v>
      </c>
      <c r="FB14" s="66">
        <v>0</v>
      </c>
      <c r="FC14" s="66">
        <v>0</v>
      </c>
      <c r="FD14" s="66">
        <v>0</v>
      </c>
      <c r="FE14" s="66">
        <v>0</v>
      </c>
      <c r="FF14" s="66">
        <v>0</v>
      </c>
      <c r="FG14" s="66">
        <v>0</v>
      </c>
      <c r="FH14" s="66">
        <v>0</v>
      </c>
      <c r="FI14" s="66">
        <v>0</v>
      </c>
      <c r="FJ14" s="66">
        <v>0</v>
      </c>
      <c r="FK14" s="66">
        <v>0</v>
      </c>
      <c r="FL14" s="66">
        <v>0</v>
      </c>
      <c r="FM14" s="66">
        <v>0</v>
      </c>
      <c r="FN14" s="66">
        <v>0</v>
      </c>
      <c r="FO14" s="66">
        <v>0</v>
      </c>
      <c r="FP14" s="66">
        <v>0</v>
      </c>
      <c r="FQ14" s="66">
        <v>0</v>
      </c>
      <c r="FR14" s="66">
        <v>0</v>
      </c>
      <c r="FS14" s="66">
        <v>0</v>
      </c>
    </row>
    <row r="15" spans="1:175" s="66" customFormat="1" x14ac:dyDescent="0.3">
      <c r="A15" s="109"/>
      <c r="B15" s="62" t="s">
        <v>547</v>
      </c>
      <c r="C15" s="64" t="s">
        <v>277</v>
      </c>
      <c r="D15" s="54" t="s">
        <v>548</v>
      </c>
      <c r="E15" s="64">
        <f t="shared" si="5"/>
        <v>7</v>
      </c>
      <c r="F15" s="64">
        <v>1</v>
      </c>
      <c r="G15" s="64" t="s">
        <v>548</v>
      </c>
      <c r="H15" s="74">
        <v>36800000</v>
      </c>
      <c r="I15" s="65" t="s">
        <v>12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40000</v>
      </c>
      <c r="P15" s="78">
        <f>1/P13</f>
        <v>2.2971747575129284</v>
      </c>
      <c r="Q15" s="78">
        <f t="shared" ref="Q15:Y15" si="14">1/Q13</f>
        <v>2.2971747575129284</v>
      </c>
      <c r="R15" s="78">
        <f t="shared" si="14"/>
        <v>1.7543859649122808</v>
      </c>
      <c r="S15" s="78">
        <f t="shared" si="14"/>
        <v>2.2971747575129284</v>
      </c>
      <c r="T15" s="78">
        <f t="shared" si="14"/>
        <v>2.2971747575129284</v>
      </c>
      <c r="U15" s="78">
        <f t="shared" si="14"/>
        <v>1.7543859649122808</v>
      </c>
      <c r="V15" s="78">
        <f t="shared" si="14"/>
        <v>2.2971747575129284</v>
      </c>
      <c r="W15" s="78">
        <f t="shared" si="14"/>
        <v>2.2971747575129284</v>
      </c>
      <c r="X15" s="78">
        <f t="shared" si="14"/>
        <v>2.2971747575129284</v>
      </c>
      <c r="Y15" s="78">
        <f t="shared" si="14"/>
        <v>1.7543859649122808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1</v>
      </c>
      <c r="BE15" s="56">
        <v>1</v>
      </c>
      <c r="BF15" s="56">
        <v>1</v>
      </c>
      <c r="BG15" s="56">
        <v>1</v>
      </c>
      <c r="BH15" s="56">
        <v>1</v>
      </c>
      <c r="BI15" s="56">
        <v>1</v>
      </c>
      <c r="BJ15" s="56">
        <v>1</v>
      </c>
      <c r="BK15" s="56">
        <v>1</v>
      </c>
      <c r="BL15" s="56">
        <v>1</v>
      </c>
      <c r="BM15" s="56">
        <v>1</v>
      </c>
      <c r="BN15" s="56">
        <v>1</v>
      </c>
      <c r="BO15" s="56">
        <v>1</v>
      </c>
      <c r="BP15" s="56">
        <v>1</v>
      </c>
      <c r="BQ15" s="56">
        <v>1</v>
      </c>
      <c r="BR15" s="56">
        <v>1</v>
      </c>
      <c r="BS15" s="56">
        <v>1</v>
      </c>
      <c r="BT15" s="56">
        <v>1</v>
      </c>
      <c r="BU15" s="56">
        <v>1</v>
      </c>
      <c r="BV15" s="56">
        <v>1</v>
      </c>
      <c r="BW15" s="56">
        <v>1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77">
        <v>0</v>
      </c>
      <c r="DC15" s="77">
        <v>0</v>
      </c>
      <c r="DD15" s="77">
        <v>0</v>
      </c>
      <c r="DE15" s="66">
        <v>0</v>
      </c>
      <c r="DF15" s="77">
        <v>0</v>
      </c>
      <c r="DG15" s="66">
        <v>0</v>
      </c>
      <c r="DH15" s="77">
        <v>0</v>
      </c>
      <c r="DI15" s="66">
        <v>0</v>
      </c>
      <c r="DJ15" s="77">
        <v>0</v>
      </c>
      <c r="DK15" s="66">
        <v>0</v>
      </c>
      <c r="DL15" s="66">
        <v>0</v>
      </c>
      <c r="DM15" s="66">
        <v>0</v>
      </c>
      <c r="DN15" s="66">
        <v>0</v>
      </c>
      <c r="DO15" s="66">
        <v>0</v>
      </c>
      <c r="DP15" s="66">
        <v>0</v>
      </c>
      <c r="DQ15" s="66">
        <v>0</v>
      </c>
      <c r="DR15" s="66">
        <v>0</v>
      </c>
      <c r="DS15" s="66">
        <v>0</v>
      </c>
      <c r="DT15" s="66">
        <v>0</v>
      </c>
      <c r="DU15" s="66">
        <v>0</v>
      </c>
      <c r="DV15" s="66">
        <v>0.503</v>
      </c>
      <c r="DW15" s="66">
        <v>0.35699999999999998</v>
      </c>
      <c r="DX15" s="66">
        <v>0.27700000000000002</v>
      </c>
      <c r="DY15" s="66">
        <v>0.503</v>
      </c>
      <c r="DZ15" s="66">
        <v>0.35699999999999998</v>
      </c>
      <c r="EA15" s="66">
        <v>0.27700000000000002</v>
      </c>
      <c r="EB15" s="66">
        <v>0.35699999999999998</v>
      </c>
      <c r="EC15" s="66">
        <v>0.503</v>
      </c>
      <c r="ED15" s="66">
        <v>0.35699999999999998</v>
      </c>
      <c r="EE15" s="66">
        <v>0.27700000000000002</v>
      </c>
      <c r="EF15" s="66">
        <v>0</v>
      </c>
      <c r="EG15" s="66">
        <v>0</v>
      </c>
      <c r="EH15" s="66">
        <v>0</v>
      </c>
      <c r="EI15" s="66">
        <v>0</v>
      </c>
      <c r="EJ15" s="66">
        <v>0</v>
      </c>
      <c r="EK15" s="66">
        <v>0</v>
      </c>
      <c r="EL15" s="66">
        <v>0</v>
      </c>
      <c r="EM15" s="66">
        <v>0</v>
      </c>
      <c r="EN15" s="66">
        <v>0</v>
      </c>
      <c r="EO15" s="66">
        <v>0</v>
      </c>
      <c r="EP15" s="66">
        <v>0</v>
      </c>
      <c r="EQ15" s="66">
        <v>0</v>
      </c>
      <c r="ER15" s="66">
        <v>0</v>
      </c>
      <c r="ES15" s="66">
        <v>0</v>
      </c>
      <c r="ET15" s="66">
        <v>0</v>
      </c>
      <c r="EU15" s="66">
        <v>0</v>
      </c>
      <c r="EV15" s="66">
        <v>0</v>
      </c>
      <c r="EW15" s="66">
        <v>0</v>
      </c>
      <c r="EX15" s="66">
        <v>0</v>
      </c>
      <c r="EY15" s="66">
        <v>0</v>
      </c>
      <c r="EZ15" s="66">
        <v>0</v>
      </c>
      <c r="FA15" s="66">
        <v>0</v>
      </c>
      <c r="FB15" s="66">
        <v>0</v>
      </c>
      <c r="FC15" s="66">
        <v>0</v>
      </c>
      <c r="FD15" s="66">
        <v>0</v>
      </c>
      <c r="FE15" s="66">
        <v>0</v>
      </c>
      <c r="FF15" s="66">
        <v>0</v>
      </c>
      <c r="FG15" s="66">
        <v>0</v>
      </c>
      <c r="FH15" s="66">
        <v>0</v>
      </c>
      <c r="FI15" s="66">
        <v>0</v>
      </c>
      <c r="FJ15" s="66">
        <v>0</v>
      </c>
      <c r="FK15" s="66">
        <v>0</v>
      </c>
      <c r="FL15" s="66">
        <v>0</v>
      </c>
      <c r="FM15" s="66">
        <v>0</v>
      </c>
      <c r="FN15" s="66">
        <v>0</v>
      </c>
      <c r="FO15" s="66">
        <v>0</v>
      </c>
      <c r="FP15" s="66">
        <v>0</v>
      </c>
      <c r="FQ15" s="66">
        <v>0</v>
      </c>
      <c r="FR15" s="66">
        <v>0</v>
      </c>
      <c r="FS15" s="66">
        <v>0</v>
      </c>
    </row>
    <row r="16" spans="1:175" s="66" customFormat="1" x14ac:dyDescent="0.3">
      <c r="A16" s="109"/>
      <c r="B16" s="62" t="s">
        <v>617</v>
      </c>
      <c r="C16" s="63" t="s">
        <v>171</v>
      </c>
      <c r="D16" s="54" t="s">
        <v>614</v>
      </c>
      <c r="E16" s="64">
        <f t="shared" si="5"/>
        <v>8</v>
      </c>
      <c r="F16" s="64">
        <v>1</v>
      </c>
      <c r="G16" s="64" t="s">
        <v>615</v>
      </c>
      <c r="H16" s="74">
        <v>59860000</v>
      </c>
      <c r="I16" s="65" t="str">
        <f>B31</f>
        <v>Reactant11</v>
      </c>
      <c r="J16" s="66">
        <v>0</v>
      </c>
      <c r="K16" s="66">
        <v>1</v>
      </c>
      <c r="L16" s="66">
        <v>0</v>
      </c>
      <c r="M16" s="66">
        <v>0</v>
      </c>
      <c r="N16" s="66">
        <v>0</v>
      </c>
      <c r="O16" s="66">
        <v>20000</v>
      </c>
      <c r="P16" s="78">
        <f>0.96244</f>
        <v>0.96243999999999996</v>
      </c>
      <c r="Q16" s="78">
        <f t="shared" ref="Q16:Y16" si="15">0.96244</f>
        <v>0.96243999999999996</v>
      </c>
      <c r="R16" s="78">
        <f t="shared" si="15"/>
        <v>0.96243999999999996</v>
      </c>
      <c r="S16" s="78">
        <f t="shared" si="15"/>
        <v>0.96243999999999996</v>
      </c>
      <c r="T16" s="78">
        <f t="shared" si="15"/>
        <v>0.96243999999999996</v>
      </c>
      <c r="U16" s="78">
        <f t="shared" si="15"/>
        <v>0.96243999999999996</v>
      </c>
      <c r="V16" s="78">
        <f t="shared" si="15"/>
        <v>0.96243999999999996</v>
      </c>
      <c r="W16" s="78">
        <f t="shared" si="15"/>
        <v>0.96243999999999996</v>
      </c>
      <c r="X16" s="78">
        <f t="shared" si="15"/>
        <v>0.96243999999999996</v>
      </c>
      <c r="Y16" s="78">
        <f t="shared" si="15"/>
        <v>0.96243999999999996</v>
      </c>
      <c r="Z16" s="75"/>
      <c r="AA16" s="75"/>
      <c r="AB16" s="75"/>
      <c r="AC16" s="75"/>
      <c r="AD16" s="75">
        <v>1.390244</v>
      </c>
      <c r="AE16" s="75"/>
      <c r="AF16" s="75"/>
      <c r="AG16" s="75"/>
      <c r="AH16" s="75"/>
      <c r="AI16" s="75"/>
      <c r="AJ16" s="75"/>
      <c r="AK16" s="75"/>
      <c r="AL16" s="75"/>
      <c r="AM16" s="75"/>
      <c r="AN16" s="75">
        <v>0</v>
      </c>
      <c r="AO16" s="75"/>
      <c r="AP16" s="75"/>
      <c r="AQ16" s="75"/>
      <c r="AR16" s="75"/>
      <c r="AS16" s="75"/>
      <c r="AT16" s="56">
        <v>0.4</v>
      </c>
      <c r="AU16" s="56">
        <v>0.4</v>
      </c>
      <c r="AV16" s="56">
        <v>0.2</v>
      </c>
      <c r="AW16" s="56">
        <v>0.4</v>
      </c>
      <c r="AX16" s="56">
        <v>0.2</v>
      </c>
      <c r="AY16" s="56">
        <v>0.1</v>
      </c>
      <c r="AZ16" s="56">
        <v>0.1</v>
      </c>
      <c r="BA16" s="56">
        <v>0.1</v>
      </c>
      <c r="BB16" s="56">
        <v>0.1</v>
      </c>
      <c r="BC16" s="56">
        <v>0.1</v>
      </c>
      <c r="BD16" s="56">
        <v>0.2</v>
      </c>
      <c r="BE16" s="56">
        <v>0.2</v>
      </c>
      <c r="BF16" s="56">
        <v>0.2</v>
      </c>
      <c r="BG16" s="56">
        <v>0.6</v>
      </c>
      <c r="BH16" s="56">
        <v>1</v>
      </c>
      <c r="BI16" s="56">
        <v>1</v>
      </c>
      <c r="BJ16" s="56">
        <v>1</v>
      </c>
      <c r="BK16" s="56">
        <v>1</v>
      </c>
      <c r="BL16" s="56">
        <v>1</v>
      </c>
      <c r="BM16" s="56">
        <v>1</v>
      </c>
      <c r="BN16" s="56">
        <v>0.2</v>
      </c>
      <c r="BO16" s="56">
        <v>0.2</v>
      </c>
      <c r="BP16" s="56">
        <v>0.2</v>
      </c>
      <c r="BQ16" s="56">
        <v>0.6</v>
      </c>
      <c r="BR16" s="56">
        <v>1</v>
      </c>
      <c r="BS16" s="56">
        <v>1</v>
      </c>
      <c r="BT16" s="56">
        <v>1</v>
      </c>
      <c r="BU16" s="56">
        <v>1</v>
      </c>
      <c r="BV16" s="56">
        <v>1</v>
      </c>
      <c r="BW16" s="56">
        <v>1</v>
      </c>
      <c r="BX16" s="55"/>
      <c r="BY16" s="55"/>
      <c r="BZ16" s="55"/>
      <c r="CA16" s="55"/>
      <c r="CB16" s="55">
        <v>4.0829269999999998</v>
      </c>
      <c r="CC16" s="55"/>
      <c r="CD16" s="55"/>
      <c r="CE16" s="55"/>
      <c r="CF16" s="55"/>
      <c r="CG16" s="55"/>
      <c r="CH16" s="74">
        <v>18309.859154929578</v>
      </c>
      <c r="CI16" s="74">
        <v>18309.859154929578</v>
      </c>
      <c r="CJ16" s="74">
        <v>18309.859154929578</v>
      </c>
      <c r="CK16" s="74">
        <v>18309.859154929578</v>
      </c>
      <c r="CL16" s="74">
        <v>18309.859154929578</v>
      </c>
      <c r="CM16" s="74">
        <v>18309.859154929578</v>
      </c>
      <c r="CN16" s="74">
        <v>18309.859154929578</v>
      </c>
      <c r="CO16" s="74">
        <v>18309.859154929578</v>
      </c>
      <c r="CP16" s="74">
        <v>18309.859154929578</v>
      </c>
      <c r="CQ16" s="74">
        <v>18309.859154929578</v>
      </c>
      <c r="CR16" s="76">
        <v>845.07042253521126</v>
      </c>
      <c r="CS16" s="76">
        <v>845.07042253521126</v>
      </c>
      <c r="CT16" s="76">
        <v>845.07042253521126</v>
      </c>
      <c r="CU16" s="76">
        <v>845.07042253521126</v>
      </c>
      <c r="CV16" s="76">
        <v>845.07042253521126</v>
      </c>
      <c r="CW16" s="76">
        <v>845.07042253521126</v>
      </c>
      <c r="CX16" s="76">
        <v>845.07042253521126</v>
      </c>
      <c r="CY16" s="76">
        <v>845.07042253521126</v>
      </c>
      <c r="CZ16" s="76">
        <v>845.07042253521126</v>
      </c>
      <c r="DA16" s="76">
        <v>845.07042253521126</v>
      </c>
      <c r="DB16" s="77">
        <v>0</v>
      </c>
      <c r="DC16" s="77">
        <v>0</v>
      </c>
      <c r="DD16" s="77">
        <v>0</v>
      </c>
      <c r="DE16" s="66">
        <v>0</v>
      </c>
      <c r="DF16" s="77">
        <v>0</v>
      </c>
      <c r="DG16" s="66">
        <v>0</v>
      </c>
      <c r="DH16" s="77">
        <v>0</v>
      </c>
      <c r="DI16" s="66">
        <v>0</v>
      </c>
      <c r="DJ16" s="77">
        <v>0</v>
      </c>
      <c r="DK16" s="66">
        <v>0</v>
      </c>
      <c r="DL16" s="66">
        <v>0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0</v>
      </c>
      <c r="DX16" s="66">
        <v>0</v>
      </c>
      <c r="DY16" s="66">
        <v>0</v>
      </c>
      <c r="DZ16" s="66">
        <v>0</v>
      </c>
      <c r="EA16" s="66">
        <v>0</v>
      </c>
      <c r="EB16" s="66">
        <v>0</v>
      </c>
      <c r="EC16" s="66">
        <v>0</v>
      </c>
      <c r="ED16" s="66">
        <v>0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>
        <v>0</v>
      </c>
      <c r="EK16" s="66">
        <v>0</v>
      </c>
      <c r="EL16" s="66">
        <v>0</v>
      </c>
      <c r="EM16" s="66">
        <v>0</v>
      </c>
      <c r="EN16" s="66">
        <v>0</v>
      </c>
      <c r="EO16" s="66">
        <v>0</v>
      </c>
      <c r="EP16" s="66">
        <v>0</v>
      </c>
      <c r="EQ16" s="66">
        <v>0</v>
      </c>
      <c r="ER16" s="66">
        <v>0</v>
      </c>
      <c r="ES16" s="66">
        <v>0</v>
      </c>
      <c r="ET16" s="66">
        <v>0</v>
      </c>
      <c r="EU16" s="66">
        <v>0</v>
      </c>
      <c r="EV16" s="66">
        <v>0</v>
      </c>
      <c r="EW16" s="66">
        <v>0</v>
      </c>
      <c r="EX16" s="66">
        <v>0</v>
      </c>
      <c r="EY16" s="66">
        <v>0</v>
      </c>
      <c r="EZ16" s="66">
        <v>0</v>
      </c>
      <c r="FA16" s="66">
        <v>0</v>
      </c>
      <c r="FB16" s="66">
        <v>0</v>
      </c>
      <c r="FC16" s="66">
        <v>0</v>
      </c>
      <c r="FD16" s="66">
        <v>0</v>
      </c>
      <c r="FE16" s="66">
        <v>0</v>
      </c>
      <c r="FF16" s="66">
        <v>0</v>
      </c>
      <c r="FG16" s="66">
        <v>0</v>
      </c>
      <c r="FH16" s="66">
        <v>0</v>
      </c>
      <c r="FI16" s="66">
        <v>0</v>
      </c>
      <c r="FJ16" s="66">
        <v>8.8495575221238937E-2</v>
      </c>
      <c r="FK16" s="66">
        <v>8.8495575221238937E-2</v>
      </c>
      <c r="FL16" s="66">
        <v>8.8495575221238937E-2</v>
      </c>
      <c r="FM16" s="66">
        <v>8.8495575221238937E-2</v>
      </c>
      <c r="FN16" s="66">
        <v>8.8495575221238937E-2</v>
      </c>
      <c r="FO16" s="66">
        <v>8.8495575221238937E-2</v>
      </c>
      <c r="FP16" s="66">
        <v>8.8495575221238937E-2</v>
      </c>
      <c r="FQ16" s="66">
        <v>8.8495575221238937E-2</v>
      </c>
      <c r="FR16" s="66">
        <v>8.8495575221238937E-2</v>
      </c>
      <c r="FS16" s="66">
        <v>8.8495575221238937E-2</v>
      </c>
    </row>
    <row r="17" spans="1:175" s="66" customFormat="1" x14ac:dyDescent="0.3">
      <c r="A17" s="109"/>
      <c r="B17" s="62" t="s">
        <v>135</v>
      </c>
      <c r="C17" s="64" t="s">
        <v>277</v>
      </c>
      <c r="D17" s="54" t="s">
        <v>616</v>
      </c>
      <c r="E17" s="64">
        <f t="shared" si="5"/>
        <v>9</v>
      </c>
      <c r="F17" s="64">
        <v>1</v>
      </c>
      <c r="G17" s="64" t="s">
        <v>616</v>
      </c>
      <c r="H17" s="74">
        <v>0</v>
      </c>
      <c r="I17" s="65" t="str">
        <f>B16</f>
        <v>Product/Reactant15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40000</v>
      </c>
      <c r="P17" s="78">
        <v>0.84146341258179658</v>
      </c>
      <c r="Q17" s="78">
        <v>0.84146341258179658</v>
      </c>
      <c r="R17" s="78">
        <v>0.84146341258179658</v>
      </c>
      <c r="S17" s="78">
        <v>0.84146341258179658</v>
      </c>
      <c r="T17" s="78">
        <v>0.84146341258179658</v>
      </c>
      <c r="U17" s="78">
        <v>0.84146341258179658</v>
      </c>
      <c r="V17" s="78">
        <v>0.84146341258179658</v>
      </c>
      <c r="W17" s="78">
        <v>0.84146341258179658</v>
      </c>
      <c r="X17" s="78">
        <v>0.84146341258179658</v>
      </c>
      <c r="Y17" s="78">
        <v>0.84146341258179658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1</v>
      </c>
      <c r="BE17" s="56">
        <v>1</v>
      </c>
      <c r="BF17" s="56">
        <v>1</v>
      </c>
      <c r="BG17" s="56">
        <v>1</v>
      </c>
      <c r="BH17" s="56">
        <v>1</v>
      </c>
      <c r="BI17" s="56">
        <v>1</v>
      </c>
      <c r="BJ17" s="56">
        <v>1</v>
      </c>
      <c r="BK17" s="56">
        <v>1</v>
      </c>
      <c r="BL17" s="56">
        <v>1</v>
      </c>
      <c r="BM17" s="56">
        <v>1</v>
      </c>
      <c r="BN17" s="56">
        <v>1</v>
      </c>
      <c r="BO17" s="56">
        <v>1</v>
      </c>
      <c r="BP17" s="56">
        <v>1</v>
      </c>
      <c r="BQ17" s="56">
        <v>1</v>
      </c>
      <c r="BR17" s="56">
        <v>1</v>
      </c>
      <c r="BS17" s="56">
        <v>1</v>
      </c>
      <c r="BT17" s="56">
        <v>1</v>
      </c>
      <c r="BU17" s="56">
        <v>1</v>
      </c>
      <c r="BV17" s="56">
        <v>1</v>
      </c>
      <c r="BW17" s="56">
        <v>1</v>
      </c>
      <c r="BX17" s="55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5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77">
        <v>0</v>
      </c>
      <c r="DC17" s="77">
        <v>0</v>
      </c>
      <c r="DD17" s="77">
        <v>0</v>
      </c>
      <c r="DE17" s="66">
        <v>0</v>
      </c>
      <c r="DF17" s="77">
        <v>0</v>
      </c>
      <c r="DG17" s="66">
        <v>0</v>
      </c>
      <c r="DH17" s="77">
        <v>0</v>
      </c>
      <c r="DI17" s="66">
        <v>0</v>
      </c>
      <c r="DJ17" s="77">
        <v>0</v>
      </c>
      <c r="DK17" s="66">
        <v>0</v>
      </c>
      <c r="DL17" s="66">
        <v>0</v>
      </c>
      <c r="DM17" s="66">
        <v>0</v>
      </c>
      <c r="DN17" s="66">
        <v>0</v>
      </c>
      <c r="DO17" s="66">
        <v>0</v>
      </c>
      <c r="DP17" s="66">
        <v>0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0.503</v>
      </c>
      <c r="DW17" s="66">
        <v>0.35699999999999998</v>
      </c>
      <c r="DX17" s="66">
        <v>0.27700000000000002</v>
      </c>
      <c r="DY17" s="66">
        <v>0.503</v>
      </c>
      <c r="DZ17" s="66">
        <v>0.35699999999999998</v>
      </c>
      <c r="EA17" s="66">
        <v>0.27700000000000002</v>
      </c>
      <c r="EB17" s="66">
        <v>0.35699999999999998</v>
      </c>
      <c r="EC17" s="66">
        <v>0.503</v>
      </c>
      <c r="ED17" s="66">
        <v>0.35699999999999998</v>
      </c>
      <c r="EE17" s="66">
        <v>0.27700000000000002</v>
      </c>
      <c r="EF17" s="66">
        <v>0</v>
      </c>
      <c r="EG17" s="66">
        <v>0</v>
      </c>
      <c r="EH17" s="66">
        <v>0</v>
      </c>
      <c r="EI17" s="66">
        <v>0</v>
      </c>
      <c r="EJ17" s="66">
        <v>0</v>
      </c>
      <c r="EK17" s="66">
        <v>0</v>
      </c>
      <c r="EL17" s="66">
        <v>0</v>
      </c>
      <c r="EM17" s="66">
        <v>0</v>
      </c>
      <c r="EN17" s="66">
        <v>0</v>
      </c>
      <c r="EO17" s="66">
        <v>0</v>
      </c>
      <c r="EP17" s="66">
        <v>0</v>
      </c>
      <c r="EQ17" s="66">
        <v>0</v>
      </c>
      <c r="ER17" s="66">
        <v>0</v>
      </c>
      <c r="ES17" s="66">
        <v>0</v>
      </c>
      <c r="ET17" s="66">
        <v>0</v>
      </c>
      <c r="EU17" s="66">
        <v>0</v>
      </c>
      <c r="EV17" s="66">
        <v>0</v>
      </c>
      <c r="EW17" s="66">
        <v>0</v>
      </c>
      <c r="EX17" s="66">
        <v>0</v>
      </c>
      <c r="EY17" s="66">
        <v>0</v>
      </c>
      <c r="EZ17" s="66">
        <v>0</v>
      </c>
      <c r="FA17" s="66">
        <v>0</v>
      </c>
      <c r="FB17" s="66">
        <v>0</v>
      </c>
      <c r="FC17" s="66">
        <v>0</v>
      </c>
      <c r="FD17" s="66">
        <v>0</v>
      </c>
      <c r="FE17" s="66">
        <v>0</v>
      </c>
      <c r="FF17" s="66">
        <v>0</v>
      </c>
      <c r="FG17" s="66">
        <v>0</v>
      </c>
      <c r="FH17" s="66">
        <v>0</v>
      </c>
      <c r="FI17" s="66">
        <v>0</v>
      </c>
      <c r="FJ17" s="66">
        <v>0</v>
      </c>
      <c r="FK17" s="66">
        <v>0</v>
      </c>
      <c r="FL17" s="66">
        <v>0</v>
      </c>
      <c r="FM17" s="66">
        <v>0</v>
      </c>
      <c r="FN17" s="66">
        <v>0</v>
      </c>
      <c r="FO17" s="66">
        <v>0</v>
      </c>
      <c r="FP17" s="66">
        <v>0</v>
      </c>
      <c r="FQ17" s="66">
        <v>0</v>
      </c>
      <c r="FR17" s="66">
        <v>0</v>
      </c>
      <c r="FS17" s="66">
        <v>0</v>
      </c>
    </row>
    <row r="18" spans="1:175" x14ac:dyDescent="0.3">
      <c r="A18" s="109"/>
      <c r="B18" s="3" t="s">
        <v>135</v>
      </c>
      <c r="C18" s="11" t="s">
        <v>277</v>
      </c>
      <c r="D18" s="2" t="s">
        <v>439</v>
      </c>
      <c r="E18" s="9">
        <f t="shared" ref="E18:E21" si="16">ROW(D18)-ROW($E$8)</f>
        <v>10</v>
      </c>
      <c r="F18" s="13">
        <v>1</v>
      </c>
      <c r="G18" s="13" t="s">
        <v>439</v>
      </c>
      <c r="H18">
        <v>0</v>
      </c>
      <c r="I18" s="24" t="str">
        <f>B23</f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1.54</v>
      </c>
      <c r="Q18">
        <v>1.54</v>
      </c>
      <c r="R18">
        <v>1.54</v>
      </c>
      <c r="S18">
        <v>1.54</v>
      </c>
      <c r="T18">
        <v>1.54</v>
      </c>
      <c r="U18">
        <v>1.54</v>
      </c>
      <c r="V18">
        <v>1.54</v>
      </c>
      <c r="W18">
        <v>1.54</v>
      </c>
      <c r="X18">
        <v>1.54</v>
      </c>
      <c r="Y18">
        <v>1.54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0.18992999999999999</v>
      </c>
      <c r="DW18">
        <v>0.14244999999999999</v>
      </c>
      <c r="DX18">
        <v>9.4969999999999999E-2</v>
      </c>
      <c r="DY18">
        <v>0.18992999999999999</v>
      </c>
      <c r="DZ18">
        <v>0.14244999999999999</v>
      </c>
      <c r="EA18">
        <v>9.4969999999999999E-2</v>
      </c>
      <c r="EB18">
        <v>0.14244999999999999</v>
      </c>
      <c r="EC18">
        <v>0.18992999999999999</v>
      </c>
      <c r="ED18">
        <v>0.14244999999999999</v>
      </c>
      <c r="EE18">
        <v>9.4969999999999999E-2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ref="EJ18" si="17">$EG18*B$3</f>
        <v>3.560584789265715</v>
      </c>
      <c r="EK18">
        <v>0</v>
      </c>
      <c r="EL18">
        <f t="shared" ref="EL18" si="18">$EG18*C$3</f>
        <v>3.560584789265715</v>
      </c>
      <c r="EM18">
        <v>0</v>
      </c>
      <c r="EN18">
        <f t="shared" ref="EN18" si="19">$EG18*D$3</f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ref="ET18" si="20">$EQ18*B$3</f>
        <v>0</v>
      </c>
      <c r="EU18">
        <v>0</v>
      </c>
      <c r="EV18">
        <f t="shared" ref="EV18" si="21">$EQ18*C$3</f>
        <v>0</v>
      </c>
      <c r="EW18">
        <v>0</v>
      </c>
      <c r="EX18">
        <f t="shared" ref="EX18" si="22">$EQ18*D$3</f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09"/>
      <c r="B19" s="3" t="s">
        <v>135</v>
      </c>
      <c r="C19" s="11" t="s">
        <v>277</v>
      </c>
      <c r="D19" s="2" t="s">
        <v>440</v>
      </c>
      <c r="E19" s="9">
        <f t="shared" si="16"/>
        <v>11</v>
      </c>
      <c r="F19" s="13">
        <v>1</v>
      </c>
      <c r="G19" s="13" t="s">
        <v>440</v>
      </c>
      <c r="H19">
        <v>0</v>
      </c>
      <c r="I19" s="24" t="str">
        <f t="shared" ref="I19:I21" si="23">B24</f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2.21</v>
      </c>
      <c r="Q19">
        <v>2.21</v>
      </c>
      <c r="R19">
        <v>2.21</v>
      </c>
      <c r="S19">
        <v>2.21</v>
      </c>
      <c r="T19">
        <v>2.21</v>
      </c>
      <c r="U19">
        <v>2.21</v>
      </c>
      <c r="V19">
        <v>2.21</v>
      </c>
      <c r="W19">
        <v>2.21</v>
      </c>
      <c r="X19">
        <v>2.21</v>
      </c>
      <c r="Y19">
        <v>2.21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0.18992999999999999</v>
      </c>
      <c r="DW19">
        <v>0.14244999999999999</v>
      </c>
      <c r="DX19">
        <v>9.4969999999999999E-2</v>
      </c>
      <c r="DY19">
        <v>0.18992999999999999</v>
      </c>
      <c r="DZ19">
        <v>0.14244999999999999</v>
      </c>
      <c r="EA19">
        <v>9.4969999999999999E-2</v>
      </c>
      <c r="EB19">
        <v>0.14244999999999999</v>
      </c>
      <c r="EC19">
        <v>0.18992999999999999</v>
      </c>
      <c r="ED19">
        <v>0.14244999999999999</v>
      </c>
      <c r="EE19">
        <v>9.4969999999999999E-2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ref="EJ19:EJ21" si="24">$EG19*B$3</f>
        <v>3.560584789265715</v>
      </c>
      <c r="EK19">
        <v>0</v>
      </c>
      <c r="EL19">
        <f t="shared" ref="EL19:EL21" si="25">$EG19*C$3</f>
        <v>3.560584789265715</v>
      </c>
      <c r="EM19">
        <v>0</v>
      </c>
      <c r="EN19">
        <f t="shared" ref="EN19:EN21" si="26">$EG19*D$3</f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ref="ET19:ET21" si="27">$EQ19*B$3</f>
        <v>0</v>
      </c>
      <c r="EU19">
        <v>0</v>
      </c>
      <c r="EV19">
        <f t="shared" ref="EV19:EV21" si="28">$EQ19*C$3</f>
        <v>0</v>
      </c>
      <c r="EW19">
        <v>0</v>
      </c>
      <c r="EX19">
        <f t="shared" ref="EX19:EX21" si="29">$EQ19*D$3</f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09"/>
      <c r="B20" s="3" t="s">
        <v>135</v>
      </c>
      <c r="C20" s="11" t="s">
        <v>277</v>
      </c>
      <c r="D20" s="2" t="s">
        <v>441</v>
      </c>
      <c r="E20" s="9">
        <f t="shared" si="16"/>
        <v>12</v>
      </c>
      <c r="F20" s="13">
        <v>1</v>
      </c>
      <c r="G20" s="13" t="s">
        <v>441</v>
      </c>
      <c r="H20">
        <v>44480000</v>
      </c>
      <c r="I20" s="24" t="str">
        <f t="shared" si="23"/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20000</v>
      </c>
      <c r="P20">
        <v>1.82</v>
      </c>
      <c r="Q20">
        <v>1.82</v>
      </c>
      <c r="R20">
        <v>1.82</v>
      </c>
      <c r="S20">
        <v>1.82</v>
      </c>
      <c r="T20">
        <v>1.82</v>
      </c>
      <c r="U20">
        <v>1.82</v>
      </c>
      <c r="V20">
        <v>1.82</v>
      </c>
      <c r="W20">
        <v>1.82</v>
      </c>
      <c r="X20">
        <v>1.82</v>
      </c>
      <c r="Y20">
        <v>1.82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0.13195000000000001</v>
      </c>
      <c r="DW20">
        <v>9.2799999999999994E-2</v>
      </c>
      <c r="DX20">
        <v>7.2499999999999995E-2</v>
      </c>
      <c r="DY20">
        <v>0.13195000000000001</v>
      </c>
      <c r="DZ20">
        <v>9.2799999999999994E-2</v>
      </c>
      <c r="EA20">
        <v>7.2499999999999995E-2</v>
      </c>
      <c r="EB20">
        <v>9.2799999999999994E-2</v>
      </c>
      <c r="EC20">
        <v>0.13195000000000001</v>
      </c>
      <c r="ED20">
        <v>9.2799999999999994E-2</v>
      </c>
      <c r="EE20">
        <v>7.2499999999999995E-2</v>
      </c>
      <c r="EF20">
        <v>3.560584789265715</v>
      </c>
      <c r="EG20">
        <v>3.560584789265715</v>
      </c>
      <c r="EH20">
        <v>3.560584789265715</v>
      </c>
      <c r="EI20">
        <v>0</v>
      </c>
      <c r="EJ20">
        <f t="shared" si="24"/>
        <v>3.560584789265715</v>
      </c>
      <c r="EK20">
        <v>0</v>
      </c>
      <c r="EL20">
        <f t="shared" si="25"/>
        <v>3.560584789265715</v>
      </c>
      <c r="EM20">
        <v>0</v>
      </c>
      <c r="EN20">
        <f t="shared" si="26"/>
        <v>3.560584789265715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f t="shared" si="27"/>
        <v>0</v>
      </c>
      <c r="EU20">
        <v>0</v>
      </c>
      <c r="EV20">
        <f t="shared" si="28"/>
        <v>0</v>
      </c>
      <c r="EW20">
        <v>0</v>
      </c>
      <c r="EX20">
        <f t="shared" si="29"/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3">
      <c r="A21" s="109"/>
      <c r="B21" s="3" t="s">
        <v>135</v>
      </c>
      <c r="C21" s="11" t="s">
        <v>277</v>
      </c>
      <c r="D21" s="2" t="s">
        <v>442</v>
      </c>
      <c r="E21" s="9">
        <f t="shared" si="16"/>
        <v>13</v>
      </c>
      <c r="F21" s="13">
        <v>1</v>
      </c>
      <c r="G21" s="13" t="s">
        <v>442</v>
      </c>
      <c r="H21">
        <v>0</v>
      </c>
      <c r="I21" s="24" t="str">
        <f t="shared" si="23"/>
        <v>Product/Reactant1</v>
      </c>
      <c r="J21">
        <v>0</v>
      </c>
      <c r="K21">
        <v>0</v>
      </c>
      <c r="L21">
        <v>0</v>
      </c>
      <c r="M21">
        <v>0</v>
      </c>
      <c r="N21">
        <v>0</v>
      </c>
      <c r="O21">
        <v>20000</v>
      </c>
      <c r="P21">
        <v>2.54</v>
      </c>
      <c r="Q21">
        <v>2.54</v>
      </c>
      <c r="R21">
        <v>2.54</v>
      </c>
      <c r="S21">
        <v>2.54</v>
      </c>
      <c r="T21">
        <v>2.54</v>
      </c>
      <c r="U21">
        <v>2.54</v>
      </c>
      <c r="V21">
        <v>2.54</v>
      </c>
      <c r="W21">
        <v>2.54</v>
      </c>
      <c r="X21">
        <v>2.54</v>
      </c>
      <c r="Y21">
        <v>2.54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1</v>
      </c>
      <c r="BE21" s="14">
        <v>1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4">
        <v>1</v>
      </c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1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0.13195000000000001</v>
      </c>
      <c r="DW21">
        <v>9.2799999999999994E-2</v>
      </c>
      <c r="DX21">
        <v>7.2499999999999995E-2</v>
      </c>
      <c r="DY21">
        <v>0.13195000000000001</v>
      </c>
      <c r="DZ21">
        <v>9.2799999999999994E-2</v>
      </c>
      <c r="EA21">
        <v>7.2499999999999995E-2</v>
      </c>
      <c r="EB21">
        <v>9.2799999999999994E-2</v>
      </c>
      <c r="EC21">
        <v>0.13195000000000001</v>
      </c>
      <c r="ED21">
        <v>9.2799999999999994E-2</v>
      </c>
      <c r="EE21">
        <v>7.2499999999999995E-2</v>
      </c>
      <c r="EF21">
        <v>3.560584789265715</v>
      </c>
      <c r="EG21">
        <v>3.560584789265715</v>
      </c>
      <c r="EH21">
        <v>3.560584789265715</v>
      </c>
      <c r="EI21">
        <v>0</v>
      </c>
      <c r="EJ21">
        <f t="shared" si="24"/>
        <v>3.560584789265715</v>
      </c>
      <c r="EK21">
        <v>0</v>
      </c>
      <c r="EL21">
        <f t="shared" si="25"/>
        <v>3.560584789265715</v>
      </c>
      <c r="EM21">
        <v>0</v>
      </c>
      <c r="EN21">
        <f t="shared" si="26"/>
        <v>3.560584789265715</v>
      </c>
      <c r="EO21">
        <v>0</v>
      </c>
      <c r="EP21">
        <v>0</v>
      </c>
      <c r="EQ21">
        <v>0</v>
      </c>
      <c r="ER21">
        <v>0</v>
      </c>
      <c r="ES21">
        <v>0</v>
      </c>
      <c r="ET21">
        <f t="shared" si="27"/>
        <v>0</v>
      </c>
      <c r="EU21">
        <v>0</v>
      </c>
      <c r="EV21">
        <f t="shared" si="28"/>
        <v>0</v>
      </c>
      <c r="EW21">
        <v>0</v>
      </c>
      <c r="EX21">
        <f t="shared" si="29"/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3">
      <c r="A22" s="109"/>
      <c r="B22" s="3" t="s">
        <v>135</v>
      </c>
      <c r="C22" s="4" t="s">
        <v>437</v>
      </c>
      <c r="D22" s="2" t="s">
        <v>428</v>
      </c>
      <c r="E22" s="9">
        <f t="shared" si="5"/>
        <v>14</v>
      </c>
      <c r="F22" s="13">
        <v>1</v>
      </c>
      <c r="G22" s="13" t="s">
        <v>429</v>
      </c>
      <c r="H22">
        <v>0</v>
      </c>
      <c r="I22" s="24" t="str">
        <f>B23</f>
        <v>Product/Reactant1</v>
      </c>
      <c r="J22">
        <v>0</v>
      </c>
      <c r="K22">
        <v>0</v>
      </c>
      <c r="L22">
        <v>0</v>
      </c>
      <c r="M22">
        <v>0</v>
      </c>
      <c r="N22">
        <v>0</v>
      </c>
      <c r="O22">
        <f>O10</f>
        <v>40000</v>
      </c>
      <c r="P22">
        <v>0.35</v>
      </c>
      <c r="Q22">
        <v>0.35</v>
      </c>
      <c r="R22">
        <v>0.35</v>
      </c>
      <c r="S22">
        <v>0.35</v>
      </c>
      <c r="T22">
        <v>0.35</v>
      </c>
      <c r="U22">
        <v>0.35</v>
      </c>
      <c r="V22">
        <v>0.35</v>
      </c>
      <c r="W22">
        <v>0.35</v>
      </c>
      <c r="X22">
        <v>0.35</v>
      </c>
      <c r="Y22">
        <v>0.35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0.11849999999999999</v>
      </c>
      <c r="DN22">
        <v>0.16</v>
      </c>
      <c r="DO22">
        <v>0</v>
      </c>
      <c r="DP22">
        <v>0.11849999999999999</v>
      </c>
      <c r="DQ22">
        <v>0.16</v>
      </c>
      <c r="DR22">
        <v>0.11849999999999999</v>
      </c>
      <c r="DS22">
        <v>0</v>
      </c>
      <c r="DT22">
        <v>0.11849999999999999</v>
      </c>
      <c r="DU22">
        <v>0.16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3">
      <c r="A23" s="109"/>
      <c r="B23" s="3" t="s">
        <v>134</v>
      </c>
      <c r="C23" s="4" t="s">
        <v>171</v>
      </c>
      <c r="D23" s="2" t="s">
        <v>402</v>
      </c>
      <c r="E23" s="13">
        <f t="shared" si="5"/>
        <v>15</v>
      </c>
      <c r="F23" s="13">
        <v>1</v>
      </c>
      <c r="G23" s="13" t="s">
        <v>418</v>
      </c>
      <c r="H23">
        <f>7500*8760</f>
        <v>65700000</v>
      </c>
      <c r="I23" s="24" t="str">
        <f>B39</f>
        <v>Reactant5</v>
      </c>
      <c r="J23">
        <v>0</v>
      </c>
      <c r="K23">
        <v>1</v>
      </c>
      <c r="L23">
        <v>1</v>
      </c>
      <c r="M23">
        <v>0</v>
      </c>
      <c r="N23">
        <v>0</v>
      </c>
      <c r="O23">
        <f>O11</f>
        <v>20000</v>
      </c>
      <c r="P23">
        <v>7.28</v>
      </c>
      <c r="Q23">
        <v>7.28</v>
      </c>
      <c r="R23">
        <v>7.28</v>
      </c>
      <c r="S23">
        <v>7.28</v>
      </c>
      <c r="T23">
        <v>7.28</v>
      </c>
      <c r="U23">
        <v>7.28</v>
      </c>
      <c r="V23">
        <v>7.28</v>
      </c>
      <c r="W23">
        <v>7.28</v>
      </c>
      <c r="X23">
        <v>7.28</v>
      </c>
      <c r="Y23">
        <v>7.28</v>
      </c>
      <c r="Z23">
        <v>1.54</v>
      </c>
      <c r="AA23">
        <v>1.54</v>
      </c>
      <c r="AB23">
        <v>1.54</v>
      </c>
      <c r="AC23">
        <v>1.54</v>
      </c>
      <c r="AD23">
        <v>1.54</v>
      </c>
      <c r="AE23">
        <v>1.54</v>
      </c>
      <c r="AF23">
        <v>1.54</v>
      </c>
      <c r="AG23">
        <v>1.54</v>
      </c>
      <c r="AH23">
        <v>1.54</v>
      </c>
      <c r="AI23">
        <v>1.54</v>
      </c>
      <c r="AJ23">
        <v>0.21</v>
      </c>
      <c r="AK23">
        <v>0.21</v>
      </c>
      <c r="AL23">
        <v>0.21</v>
      </c>
      <c r="AM23">
        <v>0.21</v>
      </c>
      <c r="AN23">
        <v>0.21</v>
      </c>
      <c r="AO23">
        <v>0.21</v>
      </c>
      <c r="AP23">
        <v>0.21</v>
      </c>
      <c r="AQ23">
        <v>0.21</v>
      </c>
      <c r="AR23">
        <v>0.21</v>
      </c>
      <c r="AS23">
        <v>0.21</v>
      </c>
      <c r="AT23" s="60">
        <v>0.5</v>
      </c>
      <c r="AU23" s="60">
        <v>0.5</v>
      </c>
      <c r="AV23" s="60">
        <v>0.5</v>
      </c>
      <c r="AW23" s="60">
        <v>0.5</v>
      </c>
      <c r="AX23" s="60">
        <v>0.5</v>
      </c>
      <c r="AY23" s="60">
        <v>0.5</v>
      </c>
      <c r="AZ23" s="60">
        <v>0.5</v>
      </c>
      <c r="BA23" s="60">
        <v>0.5</v>
      </c>
      <c r="BB23" s="60">
        <v>0.5</v>
      </c>
      <c r="BC23" s="60">
        <v>0.5</v>
      </c>
      <c r="BD23" s="60">
        <v>1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 s="57">
        <v>0.18</v>
      </c>
      <c r="BY23" s="57">
        <v>0.18</v>
      </c>
      <c r="BZ23" s="57">
        <v>0.18</v>
      </c>
      <c r="CA23" s="57">
        <v>0.18</v>
      </c>
      <c r="CB23" s="57">
        <v>0.18</v>
      </c>
      <c r="CC23" s="57">
        <v>0.18</v>
      </c>
      <c r="CD23" s="57">
        <v>0.18</v>
      </c>
      <c r="CE23" s="57">
        <v>0.18</v>
      </c>
      <c r="CF23" s="57">
        <v>0.18</v>
      </c>
      <c r="CG23" s="57">
        <v>0.18</v>
      </c>
      <c r="CH23">
        <v>12444.9</v>
      </c>
      <c r="CI23">
        <v>9955.92</v>
      </c>
      <c r="CJ23">
        <v>7466.94</v>
      </c>
      <c r="CK23">
        <v>12444.9</v>
      </c>
      <c r="CL23">
        <v>9955.92</v>
      </c>
      <c r="CM23">
        <v>7466.94</v>
      </c>
      <c r="CN23">
        <v>9955.92</v>
      </c>
      <c r="CO23">
        <v>12444.9</v>
      </c>
      <c r="CP23">
        <v>9955.92</v>
      </c>
      <c r="CQ23">
        <v>7466.94</v>
      </c>
      <c r="CR23">
        <v>1186</v>
      </c>
      <c r="CS23">
        <v>1036.6600000000001</v>
      </c>
      <c r="CT23">
        <v>887.32</v>
      </c>
      <c r="CU23">
        <v>1186</v>
      </c>
      <c r="CV23">
        <v>1036.6600000000001</v>
      </c>
      <c r="CW23">
        <v>887.32</v>
      </c>
      <c r="CX23">
        <v>1036.6600000000001</v>
      </c>
      <c r="CY23">
        <v>1186</v>
      </c>
      <c r="CZ23">
        <v>1036.6600000000001</v>
      </c>
      <c r="DA23">
        <v>887.32</v>
      </c>
      <c r="DB23">
        <f>3.95121089093762/1000</f>
        <v>3.9512108909376198E-3</v>
      </c>
      <c r="DC23">
        <f t="shared" ref="DC23:DK23" si="30">3.95121089093762/1000</f>
        <v>3.9512108909376198E-3</v>
      </c>
      <c r="DD23">
        <f t="shared" si="30"/>
        <v>3.9512108909376198E-3</v>
      </c>
      <c r="DE23">
        <f t="shared" si="30"/>
        <v>3.9512108909376198E-3</v>
      </c>
      <c r="DF23">
        <f t="shared" si="30"/>
        <v>3.9512108909376198E-3</v>
      </c>
      <c r="DG23">
        <f t="shared" si="30"/>
        <v>3.9512108909376198E-3</v>
      </c>
      <c r="DH23">
        <f t="shared" si="30"/>
        <v>3.9512108909376198E-3</v>
      </c>
      <c r="DI23">
        <f t="shared" si="30"/>
        <v>3.9512108909376198E-3</v>
      </c>
      <c r="DJ23">
        <f t="shared" si="30"/>
        <v>3.9512108909376198E-3</v>
      </c>
      <c r="DK23">
        <f t="shared" si="30"/>
        <v>3.9512108909376198E-3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18.474666666666668</v>
      </c>
      <c r="EG23">
        <v>18.474666666666668</v>
      </c>
      <c r="EH23">
        <v>18.474666666666668</v>
      </c>
      <c r="EI23">
        <v>18.474666666666668</v>
      </c>
      <c r="EJ23">
        <v>18.474666666666668</v>
      </c>
      <c r="EK23">
        <v>18.474666666666668</v>
      </c>
      <c r="EL23">
        <v>18.474666666666668</v>
      </c>
      <c r="EM23">
        <v>18.474666666666668</v>
      </c>
      <c r="EN23">
        <v>18.474666666666668</v>
      </c>
      <c r="EO23">
        <v>18.474666666666668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9.3678779051968114E-2</v>
      </c>
      <c r="FK23">
        <v>9.3678779051968114E-2</v>
      </c>
      <c r="FL23">
        <v>9.3678779051968114E-2</v>
      </c>
      <c r="FM23">
        <v>9.3678779051968114E-2</v>
      </c>
      <c r="FN23">
        <v>9.3678779051968114E-2</v>
      </c>
      <c r="FO23">
        <v>9.3678779051968114E-2</v>
      </c>
      <c r="FP23">
        <v>9.3678779051968114E-2</v>
      </c>
      <c r="FQ23">
        <v>9.3678779051968114E-2</v>
      </c>
      <c r="FR23">
        <v>9.3678779051968114E-2</v>
      </c>
      <c r="FS23">
        <v>9.3678779051968114E-2</v>
      </c>
    </row>
    <row r="24" spans="1:175" x14ac:dyDescent="0.3">
      <c r="A24" s="109"/>
      <c r="B24" s="3" t="s">
        <v>134</v>
      </c>
      <c r="C24" s="4" t="s">
        <v>171</v>
      </c>
      <c r="D24" s="2" t="s">
        <v>403</v>
      </c>
      <c r="E24" s="13">
        <f t="shared" si="5"/>
        <v>16</v>
      </c>
      <c r="F24" s="13">
        <v>1</v>
      </c>
      <c r="G24" s="13" t="s">
        <v>419</v>
      </c>
      <c r="H24">
        <f t="shared" ref="H24:H26" si="31">7500*8760</f>
        <v>65700000</v>
      </c>
      <c r="I24" s="24" t="str">
        <f>B40</f>
        <v>Reactant6</v>
      </c>
      <c r="J24">
        <v>0</v>
      </c>
      <c r="K24">
        <v>1</v>
      </c>
      <c r="L24">
        <v>1</v>
      </c>
      <c r="M24">
        <v>0</v>
      </c>
      <c r="N24">
        <v>0</v>
      </c>
      <c r="O24">
        <f>O23</f>
        <v>20000</v>
      </c>
      <c r="P24">
        <v>11.91</v>
      </c>
      <c r="Q24">
        <v>11.91</v>
      </c>
      <c r="R24">
        <v>11.91</v>
      </c>
      <c r="S24">
        <v>11.91</v>
      </c>
      <c r="T24">
        <v>11.91</v>
      </c>
      <c r="U24">
        <v>11.91</v>
      </c>
      <c r="V24">
        <v>11.91</v>
      </c>
      <c r="W24">
        <v>11.91</v>
      </c>
      <c r="X24">
        <v>11.91</v>
      </c>
      <c r="Y24">
        <v>11.91</v>
      </c>
      <c r="Z24">
        <v>0.51</v>
      </c>
      <c r="AA24">
        <v>0.51</v>
      </c>
      <c r="AB24">
        <v>0.51</v>
      </c>
      <c r="AC24">
        <v>0.51</v>
      </c>
      <c r="AD24">
        <v>0.51</v>
      </c>
      <c r="AE24">
        <v>0.51</v>
      </c>
      <c r="AF24">
        <v>0.51</v>
      </c>
      <c r="AG24">
        <v>0.51</v>
      </c>
      <c r="AH24">
        <v>0.51</v>
      </c>
      <c r="AI24">
        <v>0.51</v>
      </c>
      <c r="AJ24">
        <v>1.43</v>
      </c>
      <c r="AK24">
        <v>1.43</v>
      </c>
      <c r="AL24">
        <v>1.43</v>
      </c>
      <c r="AM24">
        <v>1.43</v>
      </c>
      <c r="AN24">
        <v>1.43</v>
      </c>
      <c r="AO24">
        <v>1.43</v>
      </c>
      <c r="AP24">
        <v>1.43</v>
      </c>
      <c r="AQ24">
        <v>1.43</v>
      </c>
      <c r="AR24">
        <v>1.43</v>
      </c>
      <c r="AS24">
        <v>1.43</v>
      </c>
      <c r="AT24" s="60">
        <v>0.5</v>
      </c>
      <c r="AU24" s="60">
        <v>0.5</v>
      </c>
      <c r="AV24" s="60">
        <v>0.5</v>
      </c>
      <c r="AW24" s="60">
        <v>0.5</v>
      </c>
      <c r="AX24" s="60">
        <v>0.5</v>
      </c>
      <c r="AY24" s="60">
        <v>0.5</v>
      </c>
      <c r="AZ24" s="60">
        <v>0.5</v>
      </c>
      <c r="BA24" s="60">
        <v>0.5</v>
      </c>
      <c r="BB24" s="60">
        <v>0.5</v>
      </c>
      <c r="BC24" s="60">
        <v>0.5</v>
      </c>
      <c r="BD24" s="60">
        <v>1</v>
      </c>
      <c r="BE24" s="60">
        <v>1</v>
      </c>
      <c r="BF24" s="60">
        <v>1</v>
      </c>
      <c r="BG24" s="60">
        <v>1</v>
      </c>
      <c r="BH24" s="60">
        <v>1</v>
      </c>
      <c r="BI24" s="60">
        <v>1</v>
      </c>
      <c r="BJ24" s="60">
        <v>1</v>
      </c>
      <c r="BK24" s="60">
        <v>1</v>
      </c>
      <c r="BL24" s="60">
        <v>1</v>
      </c>
      <c r="BM24" s="60">
        <v>1</v>
      </c>
      <c r="BN24" s="60">
        <v>1</v>
      </c>
      <c r="BO24" s="60">
        <v>1</v>
      </c>
      <c r="BP24" s="60">
        <v>1</v>
      </c>
      <c r="BQ24" s="60">
        <v>1</v>
      </c>
      <c r="BR24" s="60">
        <v>1</v>
      </c>
      <c r="BS24" s="60">
        <v>1</v>
      </c>
      <c r="BT24" s="60">
        <v>1</v>
      </c>
      <c r="BU24" s="60">
        <v>1</v>
      </c>
      <c r="BV24" s="60">
        <v>1</v>
      </c>
      <c r="BW24" s="60">
        <v>1</v>
      </c>
      <c r="BX24" s="57">
        <v>0.32</v>
      </c>
      <c r="BY24" s="57">
        <v>0.32</v>
      </c>
      <c r="BZ24" s="57">
        <v>0.32</v>
      </c>
      <c r="CA24" s="57">
        <v>0.32</v>
      </c>
      <c r="CB24" s="57">
        <v>0.32</v>
      </c>
      <c r="CC24" s="57">
        <v>0.32</v>
      </c>
      <c r="CD24" s="57">
        <v>0.32</v>
      </c>
      <c r="CE24" s="57">
        <v>0.32</v>
      </c>
      <c r="CF24" s="57">
        <v>0.32</v>
      </c>
      <c r="CG24" s="57">
        <v>0.32</v>
      </c>
      <c r="CH24">
        <v>16131.25</v>
      </c>
      <c r="CI24">
        <v>12905</v>
      </c>
      <c r="CJ24">
        <v>9678.75</v>
      </c>
      <c r="CK24">
        <v>16131.25</v>
      </c>
      <c r="CL24">
        <v>12905</v>
      </c>
      <c r="CM24">
        <v>9678.75</v>
      </c>
      <c r="CN24">
        <v>12789.46</v>
      </c>
      <c r="CO24">
        <v>16131.25</v>
      </c>
      <c r="CP24">
        <v>12905</v>
      </c>
      <c r="CQ24">
        <v>9678.75</v>
      </c>
      <c r="CR24">
        <v>1410.01</v>
      </c>
      <c r="CS24">
        <v>1216.44</v>
      </c>
      <c r="CT24">
        <v>1022.86</v>
      </c>
      <c r="CU24">
        <v>1209.51</v>
      </c>
      <c r="CV24">
        <v>1209.51</v>
      </c>
      <c r="CW24">
        <v>1209.51</v>
      </c>
      <c r="CX24">
        <v>1209.51</v>
      </c>
      <c r="CY24">
        <v>1209.51</v>
      </c>
      <c r="CZ24">
        <v>1209.51</v>
      </c>
      <c r="DA24">
        <v>1209.51</v>
      </c>
      <c r="DB24">
        <f>9.3267946332186/1000</f>
        <v>9.3267946332186002E-3</v>
      </c>
      <c r="DC24">
        <f t="shared" ref="DC24:DK24" si="32">9.3267946332186/1000</f>
        <v>9.3267946332186002E-3</v>
      </c>
      <c r="DD24">
        <f t="shared" si="32"/>
        <v>9.3267946332186002E-3</v>
      </c>
      <c r="DE24">
        <f t="shared" si="32"/>
        <v>9.3267946332186002E-3</v>
      </c>
      <c r="DF24">
        <f t="shared" si="32"/>
        <v>9.3267946332186002E-3</v>
      </c>
      <c r="DG24">
        <f t="shared" si="32"/>
        <v>9.3267946332186002E-3</v>
      </c>
      <c r="DH24">
        <f t="shared" si="32"/>
        <v>9.3267946332186002E-3</v>
      </c>
      <c r="DI24">
        <f t="shared" si="32"/>
        <v>9.3267946332186002E-3</v>
      </c>
      <c r="DJ24">
        <f t="shared" si="32"/>
        <v>9.3267946332186002E-3</v>
      </c>
      <c r="DK24">
        <f t="shared" si="32"/>
        <v>9.3267946332186002E-3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18.474666666666668</v>
      </c>
      <c r="EG24">
        <v>18.474666666666668</v>
      </c>
      <c r="EH24">
        <v>18.474666666666668</v>
      </c>
      <c r="EI24">
        <v>18.474666666666668</v>
      </c>
      <c r="EJ24">
        <v>18.474666666666668</v>
      </c>
      <c r="EK24">
        <v>18.474666666666668</v>
      </c>
      <c r="EL24">
        <v>18.474666666666668</v>
      </c>
      <c r="EM24">
        <v>18.474666666666668</v>
      </c>
      <c r="EN24">
        <v>18.474666666666668</v>
      </c>
      <c r="EO24">
        <v>18.474666666666668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9.3678779051968114E-2</v>
      </c>
      <c r="FK24">
        <v>9.3678779051968114E-2</v>
      </c>
      <c r="FL24">
        <v>9.3678779051968114E-2</v>
      </c>
      <c r="FM24">
        <v>9.3678779051968114E-2</v>
      </c>
      <c r="FN24">
        <v>9.3678779051968114E-2</v>
      </c>
      <c r="FO24">
        <v>9.3678779051968114E-2</v>
      </c>
      <c r="FP24">
        <v>9.3678779051968114E-2</v>
      </c>
      <c r="FQ24">
        <v>9.3678779051968114E-2</v>
      </c>
      <c r="FR24">
        <v>9.3678779051968114E-2</v>
      </c>
      <c r="FS24">
        <v>9.3678779051968114E-2</v>
      </c>
    </row>
    <row r="25" spans="1:175" x14ac:dyDescent="0.3">
      <c r="A25" s="109"/>
      <c r="B25" s="3" t="s">
        <v>134</v>
      </c>
      <c r="C25" s="4" t="s">
        <v>171</v>
      </c>
      <c r="D25" s="2" t="s">
        <v>404</v>
      </c>
      <c r="E25" s="13">
        <f t="shared" si="5"/>
        <v>17</v>
      </c>
      <c r="F25" s="13">
        <v>1</v>
      </c>
      <c r="G25" s="13" t="s">
        <v>420</v>
      </c>
      <c r="H25" s="15">
        <f>H20/P20</f>
        <v>24439560.439560439</v>
      </c>
      <c r="I25" s="24" t="str">
        <f t="shared" ref="I25:I26" si="33">B41</f>
        <v>Reactant7</v>
      </c>
      <c r="J25">
        <v>0</v>
      </c>
      <c r="K25">
        <v>1</v>
      </c>
      <c r="L25">
        <v>1</v>
      </c>
      <c r="M25">
        <v>0</v>
      </c>
      <c r="N25">
        <v>0</v>
      </c>
      <c r="O25">
        <f t="shared" ref="O25:O26" si="34">O24</f>
        <v>20000</v>
      </c>
      <c r="P25">
        <v>6.57</v>
      </c>
      <c r="Q25">
        <v>6.57</v>
      </c>
      <c r="R25">
        <v>6.57</v>
      </c>
      <c r="S25">
        <v>6.57</v>
      </c>
      <c r="T25">
        <v>6.57</v>
      </c>
      <c r="U25">
        <v>6.57</v>
      </c>
      <c r="V25">
        <v>6.57</v>
      </c>
      <c r="W25">
        <v>6.57</v>
      </c>
      <c r="X25">
        <v>6.57</v>
      </c>
      <c r="Y25">
        <v>6.57</v>
      </c>
      <c r="Z25">
        <v>1.66</v>
      </c>
      <c r="AA25">
        <v>1.66</v>
      </c>
      <c r="AB25">
        <v>1.66</v>
      </c>
      <c r="AC25">
        <v>1.66</v>
      </c>
      <c r="AD25">
        <v>1.66</v>
      </c>
      <c r="AE25">
        <v>1.66</v>
      </c>
      <c r="AF25">
        <v>1.66</v>
      </c>
      <c r="AG25">
        <v>1.66</v>
      </c>
      <c r="AH25">
        <v>1.66</v>
      </c>
      <c r="AI25">
        <v>1.66</v>
      </c>
      <c r="AJ25">
        <v>1.1000000000000001</v>
      </c>
      <c r="AK25">
        <v>1.1000000000000001</v>
      </c>
      <c r="AL25">
        <v>1.1000000000000001</v>
      </c>
      <c r="AM25">
        <v>1.1000000000000001</v>
      </c>
      <c r="AN25">
        <v>1.1000000000000001</v>
      </c>
      <c r="AO25">
        <v>1.1000000000000001</v>
      </c>
      <c r="AP25">
        <v>1.1000000000000001</v>
      </c>
      <c r="AQ25">
        <v>1.1000000000000001</v>
      </c>
      <c r="AR25">
        <v>1.1000000000000001</v>
      </c>
      <c r="AS25">
        <v>1.1000000000000001</v>
      </c>
      <c r="AT25" s="60">
        <v>0.5</v>
      </c>
      <c r="AU25" s="60">
        <v>0.5</v>
      </c>
      <c r="AV25" s="60">
        <v>0.5</v>
      </c>
      <c r="AW25" s="60">
        <v>0.5</v>
      </c>
      <c r="AX25" s="60">
        <v>0.5</v>
      </c>
      <c r="AY25" s="60">
        <v>0.5</v>
      </c>
      <c r="AZ25" s="60">
        <v>0.5</v>
      </c>
      <c r="BA25" s="60">
        <v>0.5</v>
      </c>
      <c r="BB25" s="60">
        <v>0.5</v>
      </c>
      <c r="BC25" s="60">
        <v>0.5</v>
      </c>
      <c r="BD25" s="60">
        <v>1</v>
      </c>
      <c r="BE25" s="60">
        <v>1</v>
      </c>
      <c r="BF25" s="60">
        <v>1</v>
      </c>
      <c r="BG25" s="60">
        <v>1</v>
      </c>
      <c r="BH25" s="60">
        <v>1</v>
      </c>
      <c r="BI25" s="60">
        <v>1</v>
      </c>
      <c r="BJ25" s="60">
        <v>1</v>
      </c>
      <c r="BK25" s="60">
        <v>1</v>
      </c>
      <c r="BL25" s="60">
        <v>1</v>
      </c>
      <c r="BM25" s="60">
        <v>1</v>
      </c>
      <c r="BN25" s="60">
        <v>1</v>
      </c>
      <c r="BO25" s="60">
        <v>1</v>
      </c>
      <c r="BP25" s="60">
        <v>1</v>
      </c>
      <c r="BQ25" s="60">
        <v>1</v>
      </c>
      <c r="BR25" s="60">
        <v>1</v>
      </c>
      <c r="BS25" s="60">
        <v>1</v>
      </c>
      <c r="BT25" s="60">
        <v>1</v>
      </c>
      <c r="BU25" s="60">
        <v>1</v>
      </c>
      <c r="BV25" s="60">
        <v>1</v>
      </c>
      <c r="BW25" s="60">
        <v>1</v>
      </c>
      <c r="BX25" s="57">
        <v>0.64</v>
      </c>
      <c r="BY25" s="57">
        <v>0.64</v>
      </c>
      <c r="BZ25" s="57">
        <v>0.64</v>
      </c>
      <c r="CA25" s="57">
        <v>0.64</v>
      </c>
      <c r="CB25" s="57">
        <v>0.64</v>
      </c>
      <c r="CC25" s="57">
        <v>0.64</v>
      </c>
      <c r="CD25" s="57">
        <v>0.64</v>
      </c>
      <c r="CE25" s="57">
        <v>0.64</v>
      </c>
      <c r="CF25" s="57">
        <v>0.64</v>
      </c>
      <c r="CG25" s="57">
        <v>0.64</v>
      </c>
      <c r="CH25">
        <v>15142.26</v>
      </c>
      <c r="CI25">
        <v>12113.81</v>
      </c>
      <c r="CJ25">
        <v>9085.35</v>
      </c>
      <c r="CK25">
        <v>15142.26</v>
      </c>
      <c r="CL25">
        <v>12113.81</v>
      </c>
      <c r="CM25">
        <v>9085.35</v>
      </c>
      <c r="CN25">
        <v>12113.81</v>
      </c>
      <c r="CO25">
        <v>15142.26</v>
      </c>
      <c r="CP25">
        <v>12113.81</v>
      </c>
      <c r="CQ25">
        <v>9085.35</v>
      </c>
      <c r="CR25">
        <v>1348.76</v>
      </c>
      <c r="CS25">
        <v>1167.05</v>
      </c>
      <c r="CT25">
        <v>985.35</v>
      </c>
      <c r="CU25">
        <v>1348.76</v>
      </c>
      <c r="CV25">
        <v>1167.05</v>
      </c>
      <c r="CW25">
        <v>985.35</v>
      </c>
      <c r="CX25">
        <v>1167.05</v>
      </c>
      <c r="CY25">
        <v>1348.76</v>
      </c>
      <c r="CZ25">
        <v>1167.05</v>
      </c>
      <c r="DA25">
        <v>985.35</v>
      </c>
      <c r="DB25">
        <f>4.04937222588/1000</f>
        <v>4.0493722258800003E-3</v>
      </c>
      <c r="DC25">
        <f t="shared" ref="DC25:DK25" si="35">4.04937222588/1000</f>
        <v>4.0493722258800003E-3</v>
      </c>
      <c r="DD25">
        <f t="shared" si="35"/>
        <v>4.0493722258800003E-3</v>
      </c>
      <c r="DE25">
        <f t="shared" si="35"/>
        <v>4.0493722258800003E-3</v>
      </c>
      <c r="DF25">
        <f t="shared" si="35"/>
        <v>4.0493722258800003E-3</v>
      </c>
      <c r="DG25">
        <f t="shared" si="35"/>
        <v>4.0493722258800003E-3</v>
      </c>
      <c r="DH25">
        <f t="shared" si="35"/>
        <v>4.0493722258800003E-3</v>
      </c>
      <c r="DI25">
        <f t="shared" si="35"/>
        <v>4.0493722258800003E-3</v>
      </c>
      <c r="DJ25">
        <f t="shared" si="35"/>
        <v>4.0493722258800003E-3</v>
      </c>
      <c r="DK25">
        <f t="shared" si="35"/>
        <v>4.0493722258800003E-3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18.474666666666668</v>
      </c>
      <c r="EG25">
        <v>18.474666666666668</v>
      </c>
      <c r="EH25">
        <v>18.474666666666668</v>
      </c>
      <c r="EI25">
        <v>18.474666666666668</v>
      </c>
      <c r="EJ25">
        <v>18.474666666666668</v>
      </c>
      <c r="EK25">
        <v>18.474666666666668</v>
      </c>
      <c r="EL25">
        <v>18.474666666666668</v>
      </c>
      <c r="EM25">
        <v>18.474666666666668</v>
      </c>
      <c r="EN25">
        <v>18.474666666666668</v>
      </c>
      <c r="EO25">
        <v>18.474666666666668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9.3678779051968114E-2</v>
      </c>
      <c r="FK25">
        <v>9.3678779051968114E-2</v>
      </c>
      <c r="FL25">
        <v>9.3678779051968114E-2</v>
      </c>
      <c r="FM25">
        <v>9.3678779051968114E-2</v>
      </c>
      <c r="FN25">
        <v>9.3678779051968114E-2</v>
      </c>
      <c r="FO25">
        <v>9.3678779051968114E-2</v>
      </c>
      <c r="FP25">
        <v>9.3678779051968114E-2</v>
      </c>
      <c r="FQ25">
        <v>9.3678779051968114E-2</v>
      </c>
      <c r="FR25">
        <v>9.3678779051968114E-2</v>
      </c>
      <c r="FS25">
        <v>9.3678779051968114E-2</v>
      </c>
    </row>
    <row r="26" spans="1:175" x14ac:dyDescent="0.3">
      <c r="A26" s="109"/>
      <c r="B26" s="3" t="s">
        <v>134</v>
      </c>
      <c r="C26" s="4" t="s">
        <v>171</v>
      </c>
      <c r="D26" s="2" t="s">
        <v>405</v>
      </c>
      <c r="E26" s="13">
        <f t="shared" si="5"/>
        <v>18</v>
      </c>
      <c r="F26" s="13">
        <v>1</v>
      </c>
      <c r="G26" s="13" t="s">
        <v>421</v>
      </c>
      <c r="H26">
        <f t="shared" si="31"/>
        <v>65700000</v>
      </c>
      <c r="I26" s="24" t="str">
        <f t="shared" si="33"/>
        <v>Reactant8</v>
      </c>
      <c r="J26">
        <v>0</v>
      </c>
      <c r="K26">
        <v>1</v>
      </c>
      <c r="L26">
        <v>1</v>
      </c>
      <c r="M26">
        <v>0</v>
      </c>
      <c r="N26">
        <v>0</v>
      </c>
      <c r="O26">
        <f t="shared" si="34"/>
        <v>20000</v>
      </c>
      <c r="P26">
        <v>8.5399999999999991</v>
      </c>
      <c r="Q26">
        <v>8.5399999999999991</v>
      </c>
      <c r="R26">
        <v>8.5399999999999991</v>
      </c>
      <c r="S26">
        <v>8.5399999999999991</v>
      </c>
      <c r="T26">
        <v>8.5399999999999991</v>
      </c>
      <c r="U26">
        <v>8.5399999999999991</v>
      </c>
      <c r="V26">
        <v>8.5399999999999991</v>
      </c>
      <c r="W26">
        <v>8.5399999999999991</v>
      </c>
      <c r="X26">
        <v>8.5399999999999991</v>
      </c>
      <c r="Y26">
        <v>8.5399999999999991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2.6</v>
      </c>
      <c r="AK26">
        <v>2.6</v>
      </c>
      <c r="AL26">
        <v>2.6</v>
      </c>
      <c r="AM26">
        <v>2.6</v>
      </c>
      <c r="AN26">
        <v>2.6</v>
      </c>
      <c r="AO26">
        <v>2.6</v>
      </c>
      <c r="AP26">
        <v>2.6</v>
      </c>
      <c r="AQ26">
        <v>2.6</v>
      </c>
      <c r="AR26">
        <v>2.6</v>
      </c>
      <c r="AS26">
        <v>2.6</v>
      </c>
      <c r="AT26" s="60">
        <v>0.5</v>
      </c>
      <c r="AU26" s="60">
        <v>0.5</v>
      </c>
      <c r="AV26" s="60">
        <v>0.5</v>
      </c>
      <c r="AW26" s="60">
        <v>0.5</v>
      </c>
      <c r="AX26" s="60">
        <v>0.5</v>
      </c>
      <c r="AY26" s="60">
        <v>0.5</v>
      </c>
      <c r="AZ26" s="60">
        <v>0.5</v>
      </c>
      <c r="BA26" s="60">
        <v>0.5</v>
      </c>
      <c r="BB26" s="60">
        <v>0.5</v>
      </c>
      <c r="BC26" s="60">
        <v>0.5</v>
      </c>
      <c r="BD26" s="60">
        <v>1</v>
      </c>
      <c r="BE26" s="60">
        <v>1</v>
      </c>
      <c r="BF26" s="60">
        <v>1</v>
      </c>
      <c r="BG26" s="60">
        <v>1</v>
      </c>
      <c r="BH26" s="60">
        <v>1</v>
      </c>
      <c r="BI26" s="60">
        <v>1</v>
      </c>
      <c r="BJ26" s="60">
        <v>1</v>
      </c>
      <c r="BK26" s="60">
        <v>1</v>
      </c>
      <c r="BL26" s="60">
        <v>1</v>
      </c>
      <c r="BM26" s="60">
        <v>1</v>
      </c>
      <c r="BN26" s="60">
        <v>1</v>
      </c>
      <c r="BO26" s="60">
        <v>1</v>
      </c>
      <c r="BP26" s="60">
        <v>1</v>
      </c>
      <c r="BQ26" s="60">
        <v>1</v>
      </c>
      <c r="BR26" s="60">
        <v>1</v>
      </c>
      <c r="BS26" s="60">
        <v>1</v>
      </c>
      <c r="BT26" s="60">
        <v>1</v>
      </c>
      <c r="BU26" s="60">
        <v>1</v>
      </c>
      <c r="BV26" s="60">
        <v>1</v>
      </c>
      <c r="BW26" s="60">
        <v>1</v>
      </c>
      <c r="BX26" s="57">
        <v>0.83</v>
      </c>
      <c r="BY26" s="57">
        <v>0.83</v>
      </c>
      <c r="BZ26" s="57">
        <v>0.83</v>
      </c>
      <c r="CA26" s="57">
        <v>0.83</v>
      </c>
      <c r="CB26" s="57">
        <v>0.83</v>
      </c>
      <c r="CC26" s="57">
        <v>0.83</v>
      </c>
      <c r="CD26" s="57">
        <v>0.83</v>
      </c>
      <c r="CE26" s="57">
        <v>0.83</v>
      </c>
      <c r="CF26" s="57">
        <v>0.83</v>
      </c>
      <c r="CG26" s="57">
        <v>0.83</v>
      </c>
      <c r="CH26">
        <v>20860.61</v>
      </c>
      <c r="CI26">
        <v>16688.490000000002</v>
      </c>
      <c r="CJ26">
        <v>12516.37</v>
      </c>
      <c r="CK26">
        <v>20860.61</v>
      </c>
      <c r="CL26">
        <v>16688.490000000002</v>
      </c>
      <c r="CM26">
        <v>12516.37</v>
      </c>
      <c r="CN26">
        <v>16688.490000000002</v>
      </c>
      <c r="CO26">
        <v>20860.61</v>
      </c>
      <c r="CP26">
        <v>16688.490000000002</v>
      </c>
      <c r="CQ26">
        <v>12516.37</v>
      </c>
      <c r="CR26">
        <v>1698.86</v>
      </c>
      <c r="CS26">
        <v>1448.53</v>
      </c>
      <c r="CT26">
        <v>1198.2</v>
      </c>
      <c r="CU26">
        <v>1698.86</v>
      </c>
      <c r="CV26">
        <v>1448.53</v>
      </c>
      <c r="CW26">
        <v>1198.2</v>
      </c>
      <c r="CX26">
        <v>1448.53</v>
      </c>
      <c r="CY26">
        <v>1698.86</v>
      </c>
      <c r="CZ26">
        <v>1448.53</v>
      </c>
      <c r="DA26">
        <v>1198.2</v>
      </c>
      <c r="DB26">
        <f>12.2828620590846/1000</f>
        <v>1.22828620590846E-2</v>
      </c>
      <c r="DC26">
        <f t="shared" ref="DC26:DK26" si="36">12.2828620590846/1000</f>
        <v>1.22828620590846E-2</v>
      </c>
      <c r="DD26">
        <f t="shared" si="36"/>
        <v>1.22828620590846E-2</v>
      </c>
      <c r="DE26">
        <f t="shared" si="36"/>
        <v>1.22828620590846E-2</v>
      </c>
      <c r="DF26">
        <f t="shared" si="36"/>
        <v>1.22828620590846E-2</v>
      </c>
      <c r="DG26">
        <f t="shared" si="36"/>
        <v>1.22828620590846E-2</v>
      </c>
      <c r="DH26">
        <f t="shared" si="36"/>
        <v>1.22828620590846E-2</v>
      </c>
      <c r="DI26">
        <f t="shared" si="36"/>
        <v>1.22828620590846E-2</v>
      </c>
      <c r="DJ26">
        <f t="shared" si="36"/>
        <v>1.22828620590846E-2</v>
      </c>
      <c r="DK26">
        <f t="shared" si="36"/>
        <v>1.22828620590846E-2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18.474666666666668</v>
      </c>
      <c r="EG26">
        <v>18.474666666666668</v>
      </c>
      <c r="EH26">
        <v>18.474666666666668</v>
      </c>
      <c r="EI26">
        <v>18.474666666666668</v>
      </c>
      <c r="EJ26">
        <v>18.474666666666668</v>
      </c>
      <c r="EK26">
        <v>18.474666666666668</v>
      </c>
      <c r="EL26">
        <v>18.474666666666668</v>
      </c>
      <c r="EM26">
        <v>18.474666666666668</v>
      </c>
      <c r="EN26">
        <v>18.474666666666668</v>
      </c>
      <c r="EO26">
        <v>18.474666666666668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9.3678779051968114E-2</v>
      </c>
      <c r="FK26">
        <v>9.3678779051968114E-2</v>
      </c>
      <c r="FL26">
        <v>9.3678779051968114E-2</v>
      </c>
      <c r="FM26">
        <v>9.3678779051968114E-2</v>
      </c>
      <c r="FN26">
        <v>9.3678779051968114E-2</v>
      </c>
      <c r="FO26">
        <v>9.3678779051968114E-2</v>
      </c>
      <c r="FP26">
        <v>9.3678779051968114E-2</v>
      </c>
      <c r="FQ26">
        <v>9.3678779051968114E-2</v>
      </c>
      <c r="FR26">
        <v>9.3678779051968114E-2</v>
      </c>
      <c r="FS26">
        <v>9.3678779051968114E-2</v>
      </c>
    </row>
    <row r="27" spans="1:175" x14ac:dyDescent="0.3">
      <c r="A27" s="109"/>
      <c r="B27" s="3" t="s">
        <v>135</v>
      </c>
      <c r="C27" s="4" t="s">
        <v>171</v>
      </c>
      <c r="D27" s="2" t="s">
        <v>94</v>
      </c>
      <c r="E27" s="9">
        <f t="shared" si="5"/>
        <v>19</v>
      </c>
      <c r="F27" s="13">
        <v>1</v>
      </c>
      <c r="G27" s="13" t="s">
        <v>90</v>
      </c>
      <c r="H27" s="15">
        <f>(2.2/(18.6/3.6))*10^9</f>
        <v>425806451.61290324</v>
      </c>
      <c r="I27" s="24" t="str">
        <f>B43</f>
        <v>Reactant9</v>
      </c>
      <c r="J27">
        <v>0</v>
      </c>
      <c r="K27">
        <v>1</v>
      </c>
      <c r="L27">
        <v>0</v>
      </c>
      <c r="M27">
        <v>0</v>
      </c>
      <c r="N27">
        <v>0</v>
      </c>
      <c r="O27">
        <v>20000</v>
      </c>
      <c r="P27" s="16">
        <f>1/0.18</f>
        <v>5.5555555555555554</v>
      </c>
      <c r="Q27" s="16">
        <f>1/0.18</f>
        <v>5.5555555555555554</v>
      </c>
      <c r="R27" s="16">
        <f t="shared" ref="R27:Y28" si="37">1/0.18</f>
        <v>5.5555555555555554</v>
      </c>
      <c r="S27" s="16">
        <f t="shared" si="37"/>
        <v>5.5555555555555554</v>
      </c>
      <c r="T27" s="16">
        <f t="shared" si="37"/>
        <v>5.5555555555555554</v>
      </c>
      <c r="U27" s="16">
        <f t="shared" si="37"/>
        <v>5.5555555555555554</v>
      </c>
      <c r="V27" s="16">
        <f t="shared" si="37"/>
        <v>5.5555555555555554</v>
      </c>
      <c r="W27" s="16">
        <f t="shared" si="37"/>
        <v>5.5555555555555554</v>
      </c>
      <c r="X27" s="16">
        <f t="shared" si="37"/>
        <v>5.5555555555555554</v>
      </c>
      <c r="Y27" s="16">
        <f t="shared" si="37"/>
        <v>5.5555555555555554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0.4</v>
      </c>
      <c r="AU27" s="14">
        <v>0.4</v>
      </c>
      <c r="AV27" s="14">
        <v>0.1</v>
      </c>
      <c r="AW27" s="14">
        <v>0.4</v>
      </c>
      <c r="AX27" s="14">
        <v>0.2</v>
      </c>
      <c r="AY27" s="14">
        <v>0.1</v>
      </c>
      <c r="AZ27" s="14">
        <v>0.1</v>
      </c>
      <c r="BA27" s="14">
        <v>0.1</v>
      </c>
      <c r="BB27" s="14">
        <v>0.1</v>
      </c>
      <c r="BC27" s="14">
        <v>0.1</v>
      </c>
      <c r="BD27" s="14">
        <v>0.2</v>
      </c>
      <c r="BE27" s="14">
        <v>0.2</v>
      </c>
      <c r="BF27" s="14">
        <v>0.2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0.2</v>
      </c>
      <c r="BO27" s="14">
        <v>0.2</v>
      </c>
      <c r="BP27" s="14">
        <v>0.2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0.47</v>
      </c>
      <c r="BY27">
        <v>0.47</v>
      </c>
      <c r="BZ27">
        <v>0.47</v>
      </c>
      <c r="CA27">
        <v>0.45</v>
      </c>
      <c r="CB27">
        <v>0.45</v>
      </c>
      <c r="CC27">
        <v>0.45</v>
      </c>
      <c r="CD27">
        <v>0.45</v>
      </c>
      <c r="CE27">
        <v>0.45</v>
      </c>
      <c r="CF27">
        <v>0.45</v>
      </c>
      <c r="CG27">
        <v>0.45</v>
      </c>
      <c r="CH27">
        <v>18057.96</v>
      </c>
      <c r="CI27">
        <v>18057.96</v>
      </c>
      <c r="CJ27">
        <v>18057.96</v>
      </c>
      <c r="CK27">
        <v>6662.16</v>
      </c>
      <c r="CL27">
        <v>6662.16</v>
      </c>
      <c r="CM27">
        <v>6662.16</v>
      </c>
      <c r="CN27">
        <f>(CL27+CP27)/2</f>
        <v>5873.2199999999993</v>
      </c>
      <c r="CO27">
        <v>5084.28</v>
      </c>
      <c r="CP27">
        <v>5084.28</v>
      </c>
      <c r="CQ27">
        <v>5084.28</v>
      </c>
      <c r="CR27">
        <f t="shared" ref="CR27:DA28" si="38">CH27*4%</f>
        <v>722.3184</v>
      </c>
      <c r="CS27">
        <f t="shared" si="38"/>
        <v>722.3184</v>
      </c>
      <c r="CT27">
        <f t="shared" si="38"/>
        <v>722.3184</v>
      </c>
      <c r="CU27">
        <f t="shared" si="38"/>
        <v>266.4864</v>
      </c>
      <c r="CV27">
        <f t="shared" si="38"/>
        <v>266.4864</v>
      </c>
      <c r="CW27">
        <f t="shared" si="38"/>
        <v>266.4864</v>
      </c>
      <c r="CX27">
        <f t="shared" si="38"/>
        <v>234.92879999999997</v>
      </c>
      <c r="CY27">
        <f t="shared" si="38"/>
        <v>203.37119999999999</v>
      </c>
      <c r="CZ27">
        <f t="shared" si="38"/>
        <v>203.37119999999999</v>
      </c>
      <c r="DA27">
        <f t="shared" si="38"/>
        <v>203.37119999999999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22.714018844166667</v>
      </c>
      <c r="EG27">
        <v>22.714018844166667</v>
      </c>
      <c r="EH27">
        <v>22.714018844166667</v>
      </c>
      <c r="EI27">
        <v>0</v>
      </c>
      <c r="EJ27">
        <f t="shared" si="6"/>
        <v>22.714018844166667</v>
      </c>
      <c r="EK27">
        <v>0</v>
      </c>
      <c r="EL27">
        <f t="shared" si="7"/>
        <v>22.714018844166667</v>
      </c>
      <c r="EM27">
        <v>0</v>
      </c>
      <c r="EN27">
        <f t="shared" si="12"/>
        <v>22.714018844166667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f>1/11.3</f>
        <v>8.8495575221238937E-2</v>
      </c>
      <c r="FK27" s="51">
        <f t="shared" ref="FK27:FS28" si="39">1/11.3</f>
        <v>8.8495575221238937E-2</v>
      </c>
      <c r="FL27" s="51">
        <f t="shared" si="39"/>
        <v>8.8495575221238937E-2</v>
      </c>
      <c r="FM27" s="51">
        <f t="shared" si="39"/>
        <v>8.8495575221238937E-2</v>
      </c>
      <c r="FN27" s="51">
        <f t="shared" si="39"/>
        <v>8.8495575221238937E-2</v>
      </c>
      <c r="FO27" s="51">
        <f t="shared" si="39"/>
        <v>8.8495575221238937E-2</v>
      </c>
      <c r="FP27" s="51">
        <f t="shared" si="39"/>
        <v>8.8495575221238937E-2</v>
      </c>
      <c r="FQ27" s="51">
        <f t="shared" si="39"/>
        <v>8.8495575221238937E-2</v>
      </c>
      <c r="FR27" s="51">
        <f t="shared" si="39"/>
        <v>8.8495575221238937E-2</v>
      </c>
      <c r="FS27" s="51">
        <f t="shared" si="39"/>
        <v>8.8495575221238937E-2</v>
      </c>
    </row>
    <row r="28" spans="1:175" x14ac:dyDescent="0.3">
      <c r="A28" s="109"/>
      <c r="B28" s="3" t="s">
        <v>135</v>
      </c>
      <c r="C28" s="4" t="s">
        <v>171</v>
      </c>
      <c r="D28" s="2" t="s">
        <v>95</v>
      </c>
      <c r="E28" s="9">
        <f>ROW(D28)-ROW($E$8)</f>
        <v>20</v>
      </c>
      <c r="F28" s="13">
        <v>1</v>
      </c>
      <c r="G28" s="13" t="s">
        <v>91</v>
      </c>
      <c r="H28" s="15">
        <f>(2.2/(18.6/3.6))*10^9</f>
        <v>425806451.61290324</v>
      </c>
      <c r="I28" s="24" t="str">
        <f>B43</f>
        <v>Reactant9</v>
      </c>
      <c r="J28">
        <v>0</v>
      </c>
      <c r="K28">
        <v>1</v>
      </c>
      <c r="L28">
        <v>0</v>
      </c>
      <c r="M28">
        <v>0</v>
      </c>
      <c r="N28">
        <v>0</v>
      </c>
      <c r="O28">
        <f>O27</f>
        <v>20000</v>
      </c>
      <c r="P28" s="16">
        <f t="shared" ref="P28:Q28" si="40">1/0.18</f>
        <v>5.5555555555555554</v>
      </c>
      <c r="Q28" s="16">
        <f t="shared" si="40"/>
        <v>5.5555555555555554</v>
      </c>
      <c r="R28" s="16">
        <f t="shared" si="37"/>
        <v>5.5555555555555554</v>
      </c>
      <c r="S28" s="16">
        <f t="shared" si="37"/>
        <v>5.5555555555555554</v>
      </c>
      <c r="T28" s="16">
        <f t="shared" si="37"/>
        <v>5.5555555555555554</v>
      </c>
      <c r="U28" s="16">
        <f t="shared" si="37"/>
        <v>5.5555555555555554</v>
      </c>
      <c r="V28" s="16">
        <f t="shared" si="37"/>
        <v>5.5555555555555554</v>
      </c>
      <c r="W28" s="16">
        <f t="shared" si="37"/>
        <v>5.5555555555555554</v>
      </c>
      <c r="X28" s="16">
        <f t="shared" si="37"/>
        <v>5.5555555555555554</v>
      </c>
      <c r="Y28" s="16">
        <f t="shared" si="37"/>
        <v>5.5555555555555554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0.4</v>
      </c>
      <c r="AU28" s="14">
        <v>0.4</v>
      </c>
      <c r="AV28" s="14">
        <v>0.1</v>
      </c>
      <c r="AW28" s="14">
        <v>0.4</v>
      </c>
      <c r="AX28" s="14">
        <v>0.2</v>
      </c>
      <c r="AY28" s="14">
        <v>0.1</v>
      </c>
      <c r="AZ28" s="14">
        <v>0.1</v>
      </c>
      <c r="BA28" s="14">
        <v>0.1</v>
      </c>
      <c r="BB28" s="14">
        <v>0.1</v>
      </c>
      <c r="BC28" s="14">
        <v>0.1</v>
      </c>
      <c r="BD28" s="14">
        <v>0.2</v>
      </c>
      <c r="BE28" s="14">
        <v>0.2</v>
      </c>
      <c r="BF28" s="14">
        <v>0.2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0.2</v>
      </c>
      <c r="BO28" s="14">
        <v>0.2</v>
      </c>
      <c r="BP28" s="14">
        <v>0.2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0.61</v>
      </c>
      <c r="BY28">
        <v>0.61</v>
      </c>
      <c r="BZ28">
        <v>0.61</v>
      </c>
      <c r="CA28">
        <v>0.59</v>
      </c>
      <c r="CB28">
        <v>0.59</v>
      </c>
      <c r="CC28">
        <v>0.59</v>
      </c>
      <c r="CD28">
        <v>0.59</v>
      </c>
      <c r="CE28">
        <v>0.59</v>
      </c>
      <c r="CF28">
        <v>0.59</v>
      </c>
      <c r="CG28">
        <v>0.59</v>
      </c>
      <c r="CH28">
        <v>18057.96</v>
      </c>
      <c r="CI28">
        <v>18057.96</v>
      </c>
      <c r="CJ28">
        <v>18057.96</v>
      </c>
      <c r="CK28">
        <v>6662.16</v>
      </c>
      <c r="CL28">
        <v>6662.16</v>
      </c>
      <c r="CM28">
        <v>6662.16</v>
      </c>
      <c r="CN28">
        <f>(CL28+CP28)/2</f>
        <v>5873.2199999999993</v>
      </c>
      <c r="CO28">
        <v>5084.28</v>
      </c>
      <c r="CP28">
        <v>5084.28</v>
      </c>
      <c r="CQ28">
        <v>5084.28</v>
      </c>
      <c r="CR28">
        <f>CH28*4%</f>
        <v>722.3184</v>
      </c>
      <c r="CS28">
        <f t="shared" si="38"/>
        <v>722.3184</v>
      </c>
      <c r="CT28">
        <f t="shared" si="38"/>
        <v>722.3184</v>
      </c>
      <c r="CU28">
        <f t="shared" si="38"/>
        <v>266.4864</v>
      </c>
      <c r="CV28">
        <f t="shared" si="38"/>
        <v>266.4864</v>
      </c>
      <c r="CW28">
        <f t="shared" si="38"/>
        <v>266.4864</v>
      </c>
      <c r="CX28">
        <f t="shared" si="38"/>
        <v>234.92879999999997</v>
      </c>
      <c r="CY28">
        <f t="shared" si="38"/>
        <v>203.37119999999999</v>
      </c>
      <c r="CZ28">
        <f t="shared" si="38"/>
        <v>203.37119999999999</v>
      </c>
      <c r="DA28">
        <f t="shared" si="38"/>
        <v>203.37119999999999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22.714018844166667</v>
      </c>
      <c r="EG28" s="16">
        <v>22.714018844166667</v>
      </c>
      <c r="EH28" s="16">
        <v>22.714018844166667</v>
      </c>
      <c r="EI28">
        <v>0</v>
      </c>
      <c r="EJ28">
        <f t="shared" si="6"/>
        <v>22.714018844166667</v>
      </c>
      <c r="EK28">
        <v>0</v>
      </c>
      <c r="EL28">
        <f t="shared" si="7"/>
        <v>22.714018844166667</v>
      </c>
      <c r="EM28">
        <v>0</v>
      </c>
      <c r="EN28">
        <f t="shared" si="12"/>
        <v>22.714018844166667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f>1/11.3</f>
        <v>8.8495575221238937E-2</v>
      </c>
      <c r="FK28" s="51">
        <f t="shared" si="39"/>
        <v>8.8495575221238937E-2</v>
      </c>
      <c r="FL28" s="51">
        <f t="shared" si="39"/>
        <v>8.8495575221238937E-2</v>
      </c>
      <c r="FM28" s="51">
        <f t="shared" si="39"/>
        <v>8.8495575221238937E-2</v>
      </c>
      <c r="FN28" s="51">
        <f t="shared" si="39"/>
        <v>8.8495575221238937E-2</v>
      </c>
      <c r="FO28" s="51">
        <f t="shared" si="39"/>
        <v>8.8495575221238937E-2</v>
      </c>
      <c r="FP28" s="51">
        <f t="shared" si="39"/>
        <v>8.8495575221238937E-2</v>
      </c>
      <c r="FQ28" s="51">
        <f t="shared" si="39"/>
        <v>8.8495575221238937E-2</v>
      </c>
      <c r="FR28" s="51">
        <f t="shared" si="39"/>
        <v>8.8495575221238937E-2</v>
      </c>
      <c r="FS28" s="51">
        <f t="shared" si="39"/>
        <v>8.8495575221238937E-2</v>
      </c>
    </row>
    <row r="29" spans="1:175" x14ac:dyDescent="0.3">
      <c r="A29" s="109"/>
      <c r="B29" s="3" t="s">
        <v>135</v>
      </c>
      <c r="C29" s="4" t="s">
        <v>171</v>
      </c>
      <c r="D29" s="2" t="s">
        <v>251</v>
      </c>
      <c r="E29" s="9">
        <f>ROW(D29)-ROW($E$8)</f>
        <v>21</v>
      </c>
      <c r="F29" s="13">
        <v>1</v>
      </c>
      <c r="G29" s="13" t="s">
        <v>252</v>
      </c>
      <c r="H29" s="15">
        <f>(2.2/(120/3.6))*10^9</f>
        <v>66000000</v>
      </c>
      <c r="I29" s="24" t="str">
        <f>B44</f>
        <v>Reactant10</v>
      </c>
      <c r="J29">
        <v>0</v>
      </c>
      <c r="K29">
        <v>1</v>
      </c>
      <c r="L29">
        <v>0</v>
      </c>
      <c r="M29">
        <v>0</v>
      </c>
      <c r="N29">
        <v>0</v>
      </c>
      <c r="O29">
        <f>O28</f>
        <v>20000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1</v>
      </c>
      <c r="BF29" s="60">
        <v>1</v>
      </c>
      <c r="BG29" s="60">
        <v>1</v>
      </c>
      <c r="BH29" s="60">
        <v>1</v>
      </c>
      <c r="BI29" s="60">
        <v>1</v>
      </c>
      <c r="BJ29" s="60">
        <v>1</v>
      </c>
      <c r="BK29" s="60">
        <v>1</v>
      </c>
      <c r="BL29" s="60">
        <v>1</v>
      </c>
      <c r="BM29" s="60">
        <v>1</v>
      </c>
      <c r="BN29" s="60">
        <v>1</v>
      </c>
      <c r="BO29" s="60">
        <v>1</v>
      </c>
      <c r="BP29" s="60">
        <v>1</v>
      </c>
      <c r="BQ29" s="60">
        <v>1</v>
      </c>
      <c r="BR29" s="60">
        <v>1</v>
      </c>
      <c r="BS29" s="60">
        <v>1</v>
      </c>
      <c r="BT29" s="60">
        <v>1</v>
      </c>
      <c r="BU29" s="60">
        <v>1</v>
      </c>
      <c r="BV29" s="60">
        <v>1</v>
      </c>
      <c r="BW29" s="60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09"/>
      <c r="B30" s="25" t="s">
        <v>425</v>
      </c>
      <c r="C30" s="11" t="s">
        <v>277</v>
      </c>
      <c r="D30" s="2" t="s">
        <v>35</v>
      </c>
      <c r="E30" s="9">
        <f t="shared" si="5"/>
        <v>22</v>
      </c>
      <c r="F30" s="13">
        <v>1</v>
      </c>
      <c r="G30" s="13" t="s">
        <v>227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v>8.9999999999999993E-3</v>
      </c>
      <c r="BY30">
        <v>6.7499999999999991E-3</v>
      </c>
      <c r="BZ30">
        <v>4.4999999999999997E-3</v>
      </c>
      <c r="CA30">
        <v>8.9999999999999993E-3</v>
      </c>
      <c r="CB30">
        <v>6.7499999999999991E-3</v>
      </c>
      <c r="CC30">
        <v>4.4999999999999997E-3</v>
      </c>
      <c r="CD30">
        <v>4.4999999999999997E-3</v>
      </c>
      <c r="CE30">
        <v>4.4999999999999997E-3</v>
      </c>
      <c r="CF30">
        <v>4.4999999999999997E-3</v>
      </c>
      <c r="CG30">
        <v>4.4999999999999997E-3</v>
      </c>
      <c r="CH30">
        <v>161.32079999999999</v>
      </c>
      <c r="CI30">
        <v>147.87739999999999</v>
      </c>
      <c r="CJ30">
        <v>134.434</v>
      </c>
      <c r="CK30">
        <v>147.87739999999999</v>
      </c>
      <c r="CL30">
        <v>134.434</v>
      </c>
      <c r="CM30">
        <v>134.434</v>
      </c>
      <c r="CN30">
        <v>134.434</v>
      </c>
      <c r="CO30">
        <v>134.434</v>
      </c>
      <c r="CP30">
        <v>134.434</v>
      </c>
      <c r="CQ30">
        <v>134.434</v>
      </c>
      <c r="CR30">
        <f t="shared" ref="CR30:DA32" si="41">CH30*0.03</f>
        <v>4.8396239999999997</v>
      </c>
      <c r="CS30">
        <f t="shared" si="41"/>
        <v>4.4363219999999997</v>
      </c>
      <c r="CT30">
        <f t="shared" si="41"/>
        <v>4.0330199999999996</v>
      </c>
      <c r="CU30">
        <f t="shared" si="41"/>
        <v>4.4363219999999997</v>
      </c>
      <c r="CV30">
        <f t="shared" si="41"/>
        <v>4.0330199999999996</v>
      </c>
      <c r="CW30">
        <f t="shared" si="41"/>
        <v>4.0330199999999996</v>
      </c>
      <c r="CX30">
        <f t="shared" si="41"/>
        <v>4.0330199999999996</v>
      </c>
      <c r="CY30">
        <f t="shared" si="41"/>
        <v>4.0330199999999996</v>
      </c>
      <c r="CZ30">
        <f t="shared" si="41"/>
        <v>4.0330199999999996</v>
      </c>
      <c r="DA30">
        <f t="shared" si="41"/>
        <v>4.0330199999999996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109"/>
      <c r="B31" s="25" t="str">
        <f>B30</f>
        <v>Reactant11</v>
      </c>
      <c r="C31" s="11" t="s">
        <v>277</v>
      </c>
      <c r="D31" s="2" t="s">
        <v>224</v>
      </c>
      <c r="E31" s="9">
        <f t="shared" si="5"/>
        <v>23</v>
      </c>
      <c r="F31" s="13">
        <v>1</v>
      </c>
      <c r="G31" s="13" t="s">
        <v>226</v>
      </c>
      <c r="H31">
        <v>0</v>
      </c>
      <c r="I31" s="13" t="s">
        <v>12</v>
      </c>
      <c r="J31">
        <v>0</v>
      </c>
      <c r="K31">
        <v>0</v>
      </c>
      <c r="L31">
        <v>0</v>
      </c>
      <c r="M31">
        <v>0</v>
      </c>
      <c r="N31">
        <v>0</v>
      </c>
      <c r="O31">
        <v>400000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0">
        <v>4.0000000000000001E-3</v>
      </c>
      <c r="BY31" s="10">
        <v>2.5000000000000001E-3</v>
      </c>
      <c r="BZ31" s="10">
        <v>1E-3</v>
      </c>
      <c r="CA31" s="10">
        <v>4.0000000000000001E-3</v>
      </c>
      <c r="CB31">
        <v>2.5000000000000001E-3</v>
      </c>
      <c r="CC31" s="10">
        <v>1E-3</v>
      </c>
      <c r="CD31">
        <v>1E-3</v>
      </c>
      <c r="CE31">
        <v>1E-3</v>
      </c>
      <c r="CF31">
        <v>1E-3</v>
      </c>
      <c r="CG31">
        <v>1E-3</v>
      </c>
      <c r="CH31">
        <v>134.434</v>
      </c>
      <c r="CI31">
        <v>120.99315999999999</v>
      </c>
      <c r="CJ31">
        <v>107.55231999999999</v>
      </c>
      <c r="CK31">
        <v>120.99315999999999</v>
      </c>
      <c r="CL31">
        <v>107.55231999999999</v>
      </c>
      <c r="CM31">
        <v>107.55231999999999</v>
      </c>
      <c r="CN31">
        <v>107.55231999999999</v>
      </c>
      <c r="CO31">
        <v>107.55231999999999</v>
      </c>
      <c r="CP31">
        <v>107.55231999999999</v>
      </c>
      <c r="CQ31">
        <v>107.55231999999999</v>
      </c>
      <c r="CR31">
        <f t="shared" si="41"/>
        <v>4.0330199999999996</v>
      </c>
      <c r="CS31">
        <f t="shared" si="41"/>
        <v>3.6297947999999995</v>
      </c>
      <c r="CT31">
        <f t="shared" si="41"/>
        <v>3.2265695999999999</v>
      </c>
      <c r="CU31">
        <f t="shared" si="41"/>
        <v>3.6297947999999995</v>
      </c>
      <c r="CV31">
        <f t="shared" si="41"/>
        <v>3.2265695999999999</v>
      </c>
      <c r="CW31">
        <f t="shared" si="41"/>
        <v>3.2265695999999999</v>
      </c>
      <c r="CX31">
        <f t="shared" si="41"/>
        <v>3.2265695999999999</v>
      </c>
      <c r="CY31">
        <f t="shared" si="41"/>
        <v>3.2265695999999999</v>
      </c>
      <c r="CZ31">
        <f t="shared" si="41"/>
        <v>3.2265695999999999</v>
      </c>
      <c r="DA31">
        <f t="shared" si="41"/>
        <v>3.2265695999999999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1.3000000000000002E-4</v>
      </c>
      <c r="DW31">
        <v>6.5000000000000008E-5</v>
      </c>
      <c r="DX31">
        <v>0</v>
      </c>
      <c r="DY31">
        <v>1.3000000000000002E-4</v>
      </c>
      <c r="DZ31">
        <v>6.5000000000000008E-5</v>
      </c>
      <c r="EA31">
        <v>0</v>
      </c>
      <c r="EB31">
        <v>0</v>
      </c>
      <c r="EC31">
        <v>1.3000000000000002E-4</v>
      </c>
      <c r="ED31">
        <v>6.5000000000000008E-5</v>
      </c>
      <c r="EE31">
        <v>0</v>
      </c>
      <c r="EF31" s="15">
        <v>0</v>
      </c>
      <c r="EG31" s="15">
        <v>0</v>
      </c>
      <c r="EH31" s="15">
        <v>0</v>
      </c>
      <c r="EI31">
        <v>0</v>
      </c>
      <c r="EJ31">
        <f t="shared" si="6"/>
        <v>0</v>
      </c>
      <c r="EK31">
        <v>0</v>
      </c>
      <c r="EL31">
        <f t="shared" si="7"/>
        <v>0</v>
      </c>
      <c r="EM31">
        <v>0</v>
      </c>
      <c r="EN31">
        <f t="shared" si="12"/>
        <v>0</v>
      </c>
      <c r="EO31">
        <v>0</v>
      </c>
      <c r="EP31" s="15">
        <v>0</v>
      </c>
      <c r="EQ31" s="15">
        <v>0</v>
      </c>
      <c r="ER31" s="15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0.11682954493601999</v>
      </c>
      <c r="FK31">
        <v>0.11682954493601999</v>
      </c>
      <c r="FL31">
        <v>0.11682954493601999</v>
      </c>
      <c r="FM31">
        <v>0.11682954493601999</v>
      </c>
      <c r="FN31">
        <v>0.11682954493601999</v>
      </c>
      <c r="FO31">
        <v>0.11682954493601999</v>
      </c>
      <c r="FP31">
        <v>0.10185220882315059</v>
      </c>
      <c r="FQ31">
        <v>0.10185220882315059</v>
      </c>
      <c r="FR31">
        <v>0.10185220882315059</v>
      </c>
      <c r="FS31">
        <v>0.10185220882315059</v>
      </c>
    </row>
    <row r="32" spans="1:175" x14ac:dyDescent="0.3">
      <c r="A32" s="109"/>
      <c r="B32" s="25" t="str">
        <f>B30</f>
        <v>Reactant11</v>
      </c>
      <c r="C32" s="11" t="s">
        <v>277</v>
      </c>
      <c r="D32" s="2" t="s">
        <v>225</v>
      </c>
      <c r="E32" s="9">
        <f t="shared" si="5"/>
        <v>24</v>
      </c>
      <c r="F32" s="13">
        <v>1</v>
      </c>
      <c r="G32" s="13" t="s">
        <v>228</v>
      </c>
      <c r="H32">
        <v>0</v>
      </c>
      <c r="I32" s="13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400000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>
        <f>4.5/1000</f>
        <v>4.4999999999999997E-3</v>
      </c>
      <c r="BY32">
        <f>(BZ32+BX32)/2</f>
        <v>2.7499999999999998E-3</v>
      </c>
      <c r="BZ32">
        <f>1/1000</f>
        <v>1E-3</v>
      </c>
      <c r="CA32">
        <f>4.5/1000</f>
        <v>4.4999999999999997E-3</v>
      </c>
      <c r="CB32">
        <v>2.7499999999999998E-3</v>
      </c>
      <c r="CC32">
        <f>1/1000</f>
        <v>1E-3</v>
      </c>
      <c r="CD32">
        <f>1/1000</f>
        <v>1E-3</v>
      </c>
      <c r="CE32">
        <f>1/1000</f>
        <v>1E-3</v>
      </c>
      <c r="CF32">
        <f>1/1000</f>
        <v>1E-3</v>
      </c>
      <c r="CG32">
        <f>1/1000</f>
        <v>1E-3</v>
      </c>
      <c r="CH32">
        <v>80.664240000000007</v>
      </c>
      <c r="CI32">
        <v>72.597820000000013</v>
      </c>
      <c r="CJ32">
        <v>64.531400000000005</v>
      </c>
      <c r="CK32">
        <v>72.597820000000013</v>
      </c>
      <c r="CL32">
        <v>64.531400000000005</v>
      </c>
      <c r="CM32">
        <v>64.531400000000005</v>
      </c>
      <c r="CN32">
        <v>64.531400000000005</v>
      </c>
      <c r="CO32">
        <v>64.531400000000005</v>
      </c>
      <c r="CP32">
        <v>64.531400000000005</v>
      </c>
      <c r="CQ32">
        <v>64.531400000000005</v>
      </c>
      <c r="CR32">
        <f t="shared" si="41"/>
        <v>2.4199272000000001</v>
      </c>
      <c r="CS32">
        <f t="shared" si="41"/>
        <v>2.1779346000000004</v>
      </c>
      <c r="CT32">
        <f t="shared" si="41"/>
        <v>1.9359420000000001</v>
      </c>
      <c r="CU32">
        <f t="shared" si="41"/>
        <v>2.1779346000000004</v>
      </c>
      <c r="CV32">
        <f t="shared" si="41"/>
        <v>1.9359420000000001</v>
      </c>
      <c r="CW32">
        <f t="shared" si="41"/>
        <v>1.9359420000000001</v>
      </c>
      <c r="CX32">
        <f t="shared" si="41"/>
        <v>1.9359420000000001</v>
      </c>
      <c r="CY32">
        <f t="shared" si="41"/>
        <v>1.9359420000000001</v>
      </c>
      <c r="CZ32">
        <f t="shared" si="41"/>
        <v>1.9359420000000001</v>
      </c>
      <c r="DA32">
        <f t="shared" si="41"/>
        <v>1.9359420000000001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2.7E-4</v>
      </c>
      <c r="DW32">
        <v>2.0000000000000001E-4</v>
      </c>
      <c r="DX32">
        <v>1.3000000000000002E-4</v>
      </c>
      <c r="DY32">
        <v>2.7E-4</v>
      </c>
      <c r="DZ32">
        <v>2.0000000000000001E-4</v>
      </c>
      <c r="EA32">
        <v>1.3000000000000002E-4</v>
      </c>
      <c r="EB32">
        <v>2.0000000000000001E-4</v>
      </c>
      <c r="EC32">
        <v>2.7E-4</v>
      </c>
      <c r="ED32">
        <v>2.0000000000000001E-4</v>
      </c>
      <c r="EE32">
        <v>1.3000000000000002E-4</v>
      </c>
      <c r="EF32" s="15">
        <v>0</v>
      </c>
      <c r="EG32" s="15">
        <v>0</v>
      </c>
      <c r="EH32" s="15">
        <v>0</v>
      </c>
      <c r="EI32">
        <v>0</v>
      </c>
      <c r="EJ32">
        <f t="shared" si="6"/>
        <v>0</v>
      </c>
      <c r="EK32">
        <v>0</v>
      </c>
      <c r="EL32">
        <f t="shared" si="7"/>
        <v>0</v>
      </c>
      <c r="EM32">
        <v>0</v>
      </c>
      <c r="EN32">
        <f t="shared" si="12"/>
        <v>0</v>
      </c>
      <c r="EO32">
        <v>0</v>
      </c>
      <c r="EP32" s="15">
        <v>0</v>
      </c>
      <c r="EQ32" s="15">
        <v>0</v>
      </c>
      <c r="ER32" s="15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0.11682954493601999</v>
      </c>
      <c r="FK32">
        <v>0.11682954493601999</v>
      </c>
      <c r="FL32">
        <v>0.11682954493601999</v>
      </c>
      <c r="FM32">
        <v>0.11682954493601999</v>
      </c>
      <c r="FN32">
        <v>0.11682954493601999</v>
      </c>
      <c r="FO32">
        <v>0.11682954493601999</v>
      </c>
      <c r="FP32">
        <v>0.10185220882315059</v>
      </c>
      <c r="FQ32">
        <v>0.10185220882315059</v>
      </c>
      <c r="FR32">
        <v>0.10185220882315059</v>
      </c>
      <c r="FS32">
        <v>0.10185220882315059</v>
      </c>
    </row>
    <row r="33" spans="1:175" x14ac:dyDescent="0.3">
      <c r="A33" s="109"/>
      <c r="B33" s="3" t="s">
        <v>140</v>
      </c>
      <c r="C33" s="4" t="s">
        <v>13</v>
      </c>
      <c r="D33" s="2" t="s">
        <v>232</v>
      </c>
      <c r="E33" s="9">
        <f t="shared" si="5"/>
        <v>25</v>
      </c>
      <c r="F33" s="13">
        <v>1</v>
      </c>
      <c r="G33" s="13" t="s">
        <v>92</v>
      </c>
      <c r="H33">
        <v>0</v>
      </c>
      <c r="I33" s="24" t="str">
        <f>B30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v>20000</v>
      </c>
      <c r="P33">
        <f t="shared" ref="P33:Y37" si="42">(1/9)*0.8</f>
        <v>8.8888888888888892E-2</v>
      </c>
      <c r="Q33">
        <f t="shared" si="42"/>
        <v>8.8888888888888892E-2</v>
      </c>
      <c r="R33">
        <f t="shared" si="42"/>
        <v>8.8888888888888892E-2</v>
      </c>
      <c r="S33">
        <f t="shared" si="42"/>
        <v>8.8888888888888892E-2</v>
      </c>
      <c r="T33">
        <f t="shared" si="42"/>
        <v>8.8888888888888892E-2</v>
      </c>
      <c r="U33">
        <f t="shared" si="42"/>
        <v>8.8888888888888892E-2</v>
      </c>
      <c r="V33">
        <f t="shared" si="42"/>
        <v>8.8888888888888892E-2</v>
      </c>
      <c r="W33">
        <f t="shared" si="42"/>
        <v>8.8888888888888892E-2</v>
      </c>
      <c r="X33">
        <f t="shared" si="42"/>
        <v>8.8888888888888892E-2</v>
      </c>
      <c r="Y33">
        <f t="shared" si="42"/>
        <v>8.8888888888888892E-2</v>
      </c>
      <c r="Z33">
        <v>7.4620000000000006</v>
      </c>
      <c r="AA33">
        <v>7.07</v>
      </c>
      <c r="AB33">
        <v>6.7200000000000006</v>
      </c>
      <c r="AC33">
        <v>5.6759999999999993</v>
      </c>
      <c r="AD33">
        <v>5.6759999999999993</v>
      </c>
      <c r="AE33">
        <v>5.6759999999999993</v>
      </c>
      <c r="AF33">
        <v>4.6150000000000002</v>
      </c>
      <c r="AG33">
        <v>3.6</v>
      </c>
      <c r="AH33">
        <v>3.6</v>
      </c>
      <c r="AI33">
        <v>3.6</v>
      </c>
      <c r="AJ33">
        <v>7.4620000000000006</v>
      </c>
      <c r="AK33">
        <v>7.07</v>
      </c>
      <c r="AL33">
        <v>6.7200000000000006</v>
      </c>
      <c r="AM33">
        <v>5.6759999999999993</v>
      </c>
      <c r="AN33">
        <v>5.6759999999999993</v>
      </c>
      <c r="AO33">
        <v>5.6759999999999993</v>
      </c>
      <c r="AP33">
        <v>4.6150000000000002</v>
      </c>
      <c r="AQ33">
        <v>3.6</v>
      </c>
      <c r="AR33">
        <v>3.6</v>
      </c>
      <c r="AS33">
        <v>3.6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>
        <v>53.3</v>
      </c>
      <c r="BY33">
        <v>51.5</v>
      </c>
      <c r="BZ33">
        <v>50</v>
      </c>
      <c r="CA33">
        <v>51.7</v>
      </c>
      <c r="CB33">
        <v>49.8</v>
      </c>
      <c r="CC33">
        <v>47.3</v>
      </c>
      <c r="CD33">
        <f>(CB33+CF33)/2</f>
        <v>49.4</v>
      </c>
      <c r="CE33">
        <v>49</v>
      </c>
      <c r="CF33">
        <v>49</v>
      </c>
      <c r="CG33">
        <v>45</v>
      </c>
      <c r="CH33">
        <v>58440.827173081707</v>
      </c>
      <c r="CI33">
        <v>55000</v>
      </c>
      <c r="CJ33">
        <v>52629.637979510735</v>
      </c>
      <c r="CK33">
        <v>39840</v>
      </c>
      <c r="CL33">
        <v>39840</v>
      </c>
      <c r="CM33">
        <v>39840</v>
      </c>
      <c r="CN33">
        <f>(CL33+CP33)/2</f>
        <v>32370</v>
      </c>
      <c r="CO33">
        <v>24900</v>
      </c>
      <c r="CP33">
        <v>24900</v>
      </c>
      <c r="CQ33">
        <v>24900</v>
      </c>
      <c r="CR33">
        <f t="shared" ref="CR33:CX33" si="43">10%*CH33</f>
        <v>5844.0827173081707</v>
      </c>
      <c r="CS33">
        <f t="shared" si="43"/>
        <v>5500</v>
      </c>
      <c r="CT33">
        <f t="shared" si="43"/>
        <v>5262.9637979510735</v>
      </c>
      <c r="CU33">
        <f t="shared" si="43"/>
        <v>3984</v>
      </c>
      <c r="CV33">
        <f t="shared" si="43"/>
        <v>3984</v>
      </c>
      <c r="CW33">
        <f t="shared" si="43"/>
        <v>3984</v>
      </c>
      <c r="CX33">
        <f t="shared" si="43"/>
        <v>3237</v>
      </c>
      <c r="CY33">
        <f t="shared" ref="CY33:DA33" si="44">10%*CO33</f>
        <v>2490</v>
      </c>
      <c r="CZ33">
        <f t="shared" si="44"/>
        <v>2490</v>
      </c>
      <c r="DA33">
        <f t="shared" si="44"/>
        <v>2490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121.81376196100278</v>
      </c>
      <c r="EG33">
        <v>115.4145399442897</v>
      </c>
      <c r="EH33">
        <v>109.70094885793873</v>
      </c>
      <c r="EI33">
        <v>0</v>
      </c>
      <c r="EJ33">
        <f t="shared" si="6"/>
        <v>115.4145399442897</v>
      </c>
      <c r="EK33">
        <v>0</v>
      </c>
      <c r="EL33">
        <f t="shared" si="7"/>
        <v>115.4145399442897</v>
      </c>
      <c r="EM33">
        <v>0</v>
      </c>
      <c r="EN33">
        <f t="shared" si="12"/>
        <v>115.4145399442897</v>
      </c>
      <c r="EO33">
        <v>0</v>
      </c>
      <c r="EP33">
        <v>0</v>
      </c>
      <c r="EQ33">
        <v>0</v>
      </c>
      <c r="ER33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22.409999999999997</v>
      </c>
      <c r="FA33">
        <v>22.409999999999997</v>
      </c>
      <c r="FB33">
        <v>22.409999999999997</v>
      </c>
      <c r="FC33">
        <v>22.409999999999997</v>
      </c>
      <c r="FD33">
        <v>22.409999999999997</v>
      </c>
      <c r="FE33">
        <v>22.409999999999997</v>
      </c>
      <c r="FF33">
        <v>22.409999999999997</v>
      </c>
      <c r="FG33">
        <v>22.409999999999997</v>
      </c>
      <c r="FH33">
        <v>22.409999999999997</v>
      </c>
      <c r="FI33">
        <v>22.409999999999997</v>
      </c>
      <c r="FJ33" s="51">
        <f>1/11.3</f>
        <v>8.8495575221238937E-2</v>
      </c>
      <c r="FK33" s="51">
        <f t="shared" ref="FK33:FS35" si="45">1/11.3</f>
        <v>8.8495575221238937E-2</v>
      </c>
      <c r="FL33" s="51">
        <f t="shared" si="45"/>
        <v>8.8495575221238937E-2</v>
      </c>
      <c r="FM33" s="51">
        <f t="shared" si="45"/>
        <v>8.8495575221238937E-2</v>
      </c>
      <c r="FN33" s="51">
        <f t="shared" si="45"/>
        <v>8.8495575221238937E-2</v>
      </c>
      <c r="FO33" s="51">
        <f t="shared" si="45"/>
        <v>8.8495575221238937E-2</v>
      </c>
      <c r="FP33" s="51">
        <f t="shared" si="45"/>
        <v>8.8495575221238937E-2</v>
      </c>
      <c r="FQ33" s="51">
        <f t="shared" si="45"/>
        <v>8.8495575221238937E-2</v>
      </c>
      <c r="FR33" s="51">
        <f t="shared" si="45"/>
        <v>8.8495575221238937E-2</v>
      </c>
      <c r="FS33" s="51">
        <f t="shared" si="45"/>
        <v>8.8495575221238937E-2</v>
      </c>
    </row>
    <row r="34" spans="1:175" x14ac:dyDescent="0.3">
      <c r="A34" s="109"/>
      <c r="B34" s="3" t="s">
        <v>140</v>
      </c>
      <c r="C34" s="4" t="s">
        <v>13</v>
      </c>
      <c r="D34" s="2" t="s">
        <v>242</v>
      </c>
      <c r="E34" s="9">
        <f t="shared" si="5"/>
        <v>26</v>
      </c>
      <c r="F34" s="13">
        <v>1</v>
      </c>
      <c r="G34" s="13" t="s">
        <v>245</v>
      </c>
      <c r="H34">
        <v>0</v>
      </c>
      <c r="I34" s="24" t="str">
        <f>B30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O33</f>
        <v>20000</v>
      </c>
      <c r="P34">
        <f t="shared" si="42"/>
        <v>8.8888888888888892E-2</v>
      </c>
      <c r="Q34">
        <f t="shared" si="42"/>
        <v>8.8888888888888892E-2</v>
      </c>
      <c r="R34">
        <f t="shared" si="42"/>
        <v>8.8888888888888892E-2</v>
      </c>
      <c r="S34">
        <f t="shared" si="42"/>
        <v>8.8888888888888892E-2</v>
      </c>
      <c r="T34">
        <f t="shared" si="42"/>
        <v>8.8888888888888892E-2</v>
      </c>
      <c r="U34">
        <f t="shared" si="42"/>
        <v>8.8888888888888892E-2</v>
      </c>
      <c r="V34">
        <f t="shared" si="42"/>
        <v>8.8888888888888892E-2</v>
      </c>
      <c r="W34">
        <f t="shared" si="42"/>
        <v>8.8888888888888892E-2</v>
      </c>
      <c r="X34">
        <f t="shared" si="42"/>
        <v>8.8888888888888892E-2</v>
      </c>
      <c r="Y34">
        <f t="shared" si="42"/>
        <v>8.8888888888888892E-2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v>34.200000000000003</v>
      </c>
      <c r="BY34" s="1">
        <v>34.200000000000003</v>
      </c>
      <c r="BZ34" s="1">
        <v>34.200000000000003</v>
      </c>
      <c r="CA34" s="1">
        <v>34.200000000000003</v>
      </c>
      <c r="CB34" s="1">
        <v>34.200000000000003</v>
      </c>
      <c r="CC34" s="1">
        <v>34.200000000000003</v>
      </c>
      <c r="CD34" s="1">
        <v>34.200000000000003</v>
      </c>
      <c r="CE34" s="1">
        <v>34.200000000000003</v>
      </c>
      <c r="CF34" s="1">
        <v>34.200000000000003</v>
      </c>
      <c r="CG34" s="1">
        <v>34.200000000000003</v>
      </c>
      <c r="CH34" s="1">
        <v>105260</v>
      </c>
      <c r="CI34" s="1">
        <v>105260</v>
      </c>
      <c r="CJ34" s="1">
        <v>105260</v>
      </c>
      <c r="CK34">
        <v>39583.978111776618</v>
      </c>
      <c r="CL34">
        <v>39583.978111776618</v>
      </c>
      <c r="CM34">
        <v>39583.978111776618</v>
      </c>
      <c r="CN34">
        <f>(CL34+CP34)/2</f>
        <v>27391.989055888309</v>
      </c>
      <c r="CO34">
        <v>15200</v>
      </c>
      <c r="CP34">
        <v>15200</v>
      </c>
      <c r="CQ34">
        <v>15200</v>
      </c>
      <c r="CR34" s="1">
        <f t="shared" ref="CR34:CX34" si="46">8.55%*CH34</f>
        <v>8999.7300000000014</v>
      </c>
      <c r="CS34" s="1">
        <f t="shared" si="46"/>
        <v>8999.7300000000014</v>
      </c>
      <c r="CT34" s="1">
        <f t="shared" si="46"/>
        <v>8999.7300000000014</v>
      </c>
      <c r="CU34" s="1">
        <f t="shared" si="46"/>
        <v>3384.4301285569013</v>
      </c>
      <c r="CV34" s="1">
        <f t="shared" si="46"/>
        <v>3384.4301285569013</v>
      </c>
      <c r="CW34" s="1">
        <f t="shared" si="46"/>
        <v>3384.4301285569013</v>
      </c>
      <c r="CX34" s="1">
        <f t="shared" si="46"/>
        <v>2342.0150642784506</v>
      </c>
      <c r="CY34" s="1">
        <f t="shared" ref="CY34:DA35" si="47">8.55%*CO34</f>
        <v>1299.6000000000001</v>
      </c>
      <c r="CZ34" s="1">
        <f t="shared" si="47"/>
        <v>1299.6000000000001</v>
      </c>
      <c r="DA34" s="1">
        <f t="shared" si="47"/>
        <v>1299.6000000000001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 s="16">
        <v>127.29937324137931</v>
      </c>
      <c r="EG34" s="16">
        <v>120.74318234482759</v>
      </c>
      <c r="EH34" s="16">
        <v>114.73334068965517</v>
      </c>
      <c r="EI34">
        <v>0</v>
      </c>
      <c r="EJ34">
        <f t="shared" si="6"/>
        <v>120.74318234482759</v>
      </c>
      <c r="EK34">
        <v>0</v>
      </c>
      <c r="EL34">
        <f t="shared" si="7"/>
        <v>120.74318234482759</v>
      </c>
      <c r="EM34">
        <v>0</v>
      </c>
      <c r="EN34">
        <f t="shared" si="12"/>
        <v>120.74318234482759</v>
      </c>
      <c r="EO34">
        <v>0</v>
      </c>
      <c r="EP34" s="16">
        <v>0</v>
      </c>
      <c r="EQ34" s="16">
        <v>0</v>
      </c>
      <c r="ER34" s="16">
        <v>0</v>
      </c>
      <c r="ES34">
        <v>0</v>
      </c>
      <c r="ET34">
        <f t="shared" si="9"/>
        <v>0</v>
      </c>
      <c r="EU34">
        <v>0</v>
      </c>
      <c r="EV34">
        <f t="shared" si="10"/>
        <v>0</v>
      </c>
      <c r="EW34">
        <v>0</v>
      </c>
      <c r="EX34">
        <f t="shared" si="11"/>
        <v>0</v>
      </c>
      <c r="EY34">
        <v>0</v>
      </c>
      <c r="EZ34">
        <v>15.936</v>
      </c>
      <c r="FA34">
        <v>15.936</v>
      </c>
      <c r="FB34">
        <v>15.936</v>
      </c>
      <c r="FC34">
        <v>15.936</v>
      </c>
      <c r="FD34">
        <v>15.936</v>
      </c>
      <c r="FE34">
        <v>15.936</v>
      </c>
      <c r="FF34">
        <v>15.936</v>
      </c>
      <c r="FG34">
        <v>15.936</v>
      </c>
      <c r="FH34">
        <v>15.936</v>
      </c>
      <c r="FI34">
        <v>15.936</v>
      </c>
      <c r="FJ34" s="51">
        <f>1/11.3</f>
        <v>8.8495575221238937E-2</v>
      </c>
      <c r="FK34" s="51">
        <f t="shared" si="45"/>
        <v>8.8495575221238937E-2</v>
      </c>
      <c r="FL34" s="51">
        <f t="shared" si="45"/>
        <v>8.8495575221238937E-2</v>
      </c>
      <c r="FM34" s="51">
        <f t="shared" si="45"/>
        <v>8.8495575221238937E-2</v>
      </c>
      <c r="FN34" s="51">
        <f t="shared" si="45"/>
        <v>8.8495575221238937E-2</v>
      </c>
      <c r="FO34" s="51">
        <f t="shared" si="45"/>
        <v>8.8495575221238937E-2</v>
      </c>
      <c r="FP34" s="51">
        <f t="shared" si="45"/>
        <v>8.8495575221238937E-2</v>
      </c>
      <c r="FQ34" s="51">
        <f t="shared" si="45"/>
        <v>8.8495575221238937E-2</v>
      </c>
      <c r="FR34" s="51">
        <f t="shared" si="45"/>
        <v>8.8495575221238937E-2</v>
      </c>
      <c r="FS34" s="51">
        <f t="shared" si="45"/>
        <v>8.8495575221238937E-2</v>
      </c>
    </row>
    <row r="35" spans="1:175" x14ac:dyDescent="0.3">
      <c r="A35" s="109"/>
      <c r="B35" s="3" t="s">
        <v>140</v>
      </c>
      <c r="C35" s="4" t="s">
        <v>13</v>
      </c>
      <c r="D35" s="2" t="s">
        <v>241</v>
      </c>
      <c r="E35" s="9">
        <f t="shared" si="5"/>
        <v>27</v>
      </c>
      <c r="F35" s="13">
        <v>1</v>
      </c>
      <c r="G35" s="13" t="s">
        <v>246</v>
      </c>
      <c r="H35">
        <v>0</v>
      </c>
      <c r="I35" s="24" t="str">
        <f>B30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O34</f>
        <v>20000</v>
      </c>
      <c r="P35">
        <f t="shared" si="42"/>
        <v>8.8888888888888892E-2</v>
      </c>
      <c r="Q35">
        <f t="shared" si="42"/>
        <v>8.8888888888888892E-2</v>
      </c>
      <c r="R35">
        <f t="shared" si="42"/>
        <v>8.8888888888888892E-2</v>
      </c>
      <c r="S35">
        <f t="shared" si="42"/>
        <v>8.8888888888888892E-2</v>
      </c>
      <c r="T35">
        <f t="shared" si="42"/>
        <v>8.8888888888888892E-2</v>
      </c>
      <c r="U35">
        <f t="shared" si="42"/>
        <v>8.8888888888888892E-2</v>
      </c>
      <c r="V35">
        <f t="shared" si="42"/>
        <v>8.8888888888888892E-2</v>
      </c>
      <c r="W35">
        <f t="shared" si="42"/>
        <v>8.8888888888888892E-2</v>
      </c>
      <c r="X35">
        <f t="shared" si="42"/>
        <v>8.8888888888888892E-2</v>
      </c>
      <c r="Y35">
        <f t="shared" si="42"/>
        <v>8.8888888888888892E-2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v>44</v>
      </c>
      <c r="BY35" s="1">
        <v>44</v>
      </c>
      <c r="BZ35" s="1">
        <v>44</v>
      </c>
      <c r="CA35" s="24">
        <v>43.2</v>
      </c>
      <c r="CB35" s="24">
        <v>43.2</v>
      </c>
      <c r="CC35" s="24">
        <v>43.2</v>
      </c>
      <c r="CD35" s="1">
        <f>(CB35+CF35)/2</f>
        <v>41.6</v>
      </c>
      <c r="CE35">
        <v>40</v>
      </c>
      <c r="CF35">
        <v>40</v>
      </c>
      <c r="CG35">
        <v>40</v>
      </c>
      <c r="CH35" s="1">
        <v>105260</v>
      </c>
      <c r="CI35" s="1">
        <v>105260</v>
      </c>
      <c r="CJ35" s="1">
        <v>105260</v>
      </c>
      <c r="CK35">
        <v>39583.978111776618</v>
      </c>
      <c r="CL35">
        <v>39583.978111776618</v>
      </c>
      <c r="CM35">
        <v>39583.978111776618</v>
      </c>
      <c r="CN35">
        <f>(CL35+CP35)/2</f>
        <v>27391.989055888309</v>
      </c>
      <c r="CO35">
        <v>15200</v>
      </c>
      <c r="CP35">
        <v>15200</v>
      </c>
      <c r="CQ35">
        <v>15200</v>
      </c>
      <c r="CR35" s="1">
        <f>8.55%*CH35</f>
        <v>8999.7300000000014</v>
      </c>
      <c r="CS35" s="1">
        <f t="shared" ref="CS35:CT35" si="48">8.55%*CI35</f>
        <v>8999.7300000000014</v>
      </c>
      <c r="CT35" s="1">
        <f t="shared" si="48"/>
        <v>8999.7300000000014</v>
      </c>
      <c r="CU35" s="1">
        <f t="shared" ref="CU35:CW35" si="49">8.55%*CK35</f>
        <v>3384.4301285569013</v>
      </c>
      <c r="CV35" s="1">
        <f t="shared" si="49"/>
        <v>3384.4301285569013</v>
      </c>
      <c r="CW35" s="1">
        <f t="shared" si="49"/>
        <v>3384.4301285569013</v>
      </c>
      <c r="CX35" s="1">
        <f t="shared" ref="CX35" si="50">8.55%*CN35</f>
        <v>2342.0150642784506</v>
      </c>
      <c r="CY35" s="1">
        <f t="shared" si="47"/>
        <v>1299.6000000000001</v>
      </c>
      <c r="CZ35" s="1">
        <f t="shared" si="47"/>
        <v>1299.6000000000001</v>
      </c>
      <c r="DA35" s="1">
        <f t="shared" si="47"/>
        <v>1299.6000000000001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 s="16">
        <v>127.29937324137931</v>
      </c>
      <c r="EG35" s="16">
        <v>120.74318234482759</v>
      </c>
      <c r="EH35" s="16">
        <v>114.73334068965517</v>
      </c>
      <c r="EI35">
        <v>0</v>
      </c>
      <c r="EJ35">
        <f t="shared" si="6"/>
        <v>120.74318234482759</v>
      </c>
      <c r="EK35">
        <v>0</v>
      </c>
      <c r="EL35">
        <f t="shared" si="7"/>
        <v>120.74318234482759</v>
      </c>
      <c r="EM35">
        <v>0</v>
      </c>
      <c r="EN35">
        <f t="shared" si="12"/>
        <v>120.74318234482759</v>
      </c>
      <c r="EO35">
        <v>0</v>
      </c>
      <c r="EP35" s="16">
        <v>0</v>
      </c>
      <c r="EQ35" s="16">
        <v>0</v>
      </c>
      <c r="ER35" s="16">
        <v>0</v>
      </c>
      <c r="ES35">
        <v>0</v>
      </c>
      <c r="ET35">
        <f t="shared" si="9"/>
        <v>0</v>
      </c>
      <c r="EU35">
        <v>0</v>
      </c>
      <c r="EV35">
        <f t="shared" si="10"/>
        <v>0</v>
      </c>
      <c r="EW35">
        <v>0</v>
      </c>
      <c r="EX35">
        <f t="shared" si="11"/>
        <v>0</v>
      </c>
      <c r="EY35">
        <v>0</v>
      </c>
      <c r="EZ35">
        <v>15.936</v>
      </c>
      <c r="FA35">
        <v>15.936</v>
      </c>
      <c r="FB35">
        <v>15.936</v>
      </c>
      <c r="FC35">
        <v>15.936</v>
      </c>
      <c r="FD35">
        <v>15.936</v>
      </c>
      <c r="FE35">
        <v>15.936</v>
      </c>
      <c r="FF35">
        <v>15.936</v>
      </c>
      <c r="FG35">
        <v>15.936</v>
      </c>
      <c r="FH35">
        <v>15.936</v>
      </c>
      <c r="FI35">
        <v>15.936</v>
      </c>
      <c r="FJ35" s="51">
        <f>1/11.3</f>
        <v>8.8495575221238937E-2</v>
      </c>
      <c r="FK35" s="51">
        <f t="shared" si="45"/>
        <v>8.8495575221238937E-2</v>
      </c>
      <c r="FL35" s="51">
        <f t="shared" si="45"/>
        <v>8.8495575221238937E-2</v>
      </c>
      <c r="FM35" s="51">
        <f t="shared" si="45"/>
        <v>8.8495575221238937E-2</v>
      </c>
      <c r="FN35" s="51">
        <f t="shared" si="45"/>
        <v>8.8495575221238937E-2</v>
      </c>
      <c r="FO35" s="51">
        <f t="shared" si="45"/>
        <v>8.8495575221238937E-2</v>
      </c>
      <c r="FP35" s="51">
        <f t="shared" si="45"/>
        <v>8.8495575221238937E-2</v>
      </c>
      <c r="FQ35" s="51">
        <f t="shared" si="45"/>
        <v>8.8495575221238937E-2</v>
      </c>
      <c r="FR35" s="51">
        <f t="shared" si="45"/>
        <v>8.8495575221238937E-2</v>
      </c>
      <c r="FS35" s="51">
        <f t="shared" si="45"/>
        <v>8.8495575221238937E-2</v>
      </c>
    </row>
    <row r="36" spans="1:175" x14ac:dyDescent="0.3">
      <c r="A36" s="109"/>
      <c r="B36" s="3" t="s">
        <v>140</v>
      </c>
      <c r="C36" s="4" t="s">
        <v>13</v>
      </c>
      <c r="D36" s="2" t="s">
        <v>243</v>
      </c>
      <c r="E36" s="9">
        <f t="shared" si="5"/>
        <v>28</v>
      </c>
      <c r="F36" s="13">
        <v>1</v>
      </c>
      <c r="G36" s="13" t="s">
        <v>247</v>
      </c>
      <c r="H36">
        <v>0</v>
      </c>
      <c r="I36" s="24" t="str">
        <f>B30</f>
        <v>Reactant11</v>
      </c>
      <c r="J36">
        <v>0</v>
      </c>
      <c r="K36">
        <v>1</v>
      </c>
      <c r="L36">
        <v>0</v>
      </c>
      <c r="M36">
        <v>1</v>
      </c>
      <c r="N36">
        <v>0</v>
      </c>
      <c r="O36">
        <f>O34</f>
        <v>20000</v>
      </c>
      <c r="P36">
        <f t="shared" si="42"/>
        <v>8.8888888888888892E-2</v>
      </c>
      <c r="Q36">
        <f t="shared" si="42"/>
        <v>8.8888888888888892E-2</v>
      </c>
      <c r="R36">
        <f t="shared" si="42"/>
        <v>8.8888888888888892E-2</v>
      </c>
      <c r="S36">
        <f t="shared" si="42"/>
        <v>8.8888888888888892E-2</v>
      </c>
      <c r="T36">
        <f t="shared" si="42"/>
        <v>8.8888888888888892E-2</v>
      </c>
      <c r="U36">
        <f t="shared" si="42"/>
        <v>8.8888888888888892E-2</v>
      </c>
      <c r="V36">
        <f t="shared" si="42"/>
        <v>8.8888888888888892E-2</v>
      </c>
      <c r="W36">
        <f t="shared" si="42"/>
        <v>8.8888888888888892E-2</v>
      </c>
      <c r="X36">
        <f t="shared" si="42"/>
        <v>8.8888888888888892E-2</v>
      </c>
      <c r="Y36">
        <f t="shared" si="42"/>
        <v>8.8888888888888892E-2</v>
      </c>
      <c r="Z36">
        <f>Z33*0.75</f>
        <v>5.5965000000000007</v>
      </c>
      <c r="AA36">
        <f t="shared" ref="AA36:AI36" si="51">AA33*0.75</f>
        <v>5.3025000000000002</v>
      </c>
      <c r="AB36">
        <f t="shared" si="51"/>
        <v>5.0400000000000009</v>
      </c>
      <c r="AC36">
        <f t="shared" si="51"/>
        <v>4.2569999999999997</v>
      </c>
      <c r="AD36">
        <f t="shared" si="51"/>
        <v>4.2569999999999997</v>
      </c>
      <c r="AE36">
        <f t="shared" si="51"/>
        <v>4.2569999999999997</v>
      </c>
      <c r="AF36">
        <f t="shared" si="51"/>
        <v>3.4612500000000002</v>
      </c>
      <c r="AG36">
        <f t="shared" si="51"/>
        <v>2.7</v>
      </c>
      <c r="AH36">
        <f t="shared" si="51"/>
        <v>2.7</v>
      </c>
      <c r="AI36">
        <f t="shared" si="51"/>
        <v>2.7</v>
      </c>
      <c r="AJ36">
        <f>AJ33*0.75</f>
        <v>5.5965000000000007</v>
      </c>
      <c r="AK36">
        <f t="shared" ref="AK36:AS36" si="52">AK33*0.75</f>
        <v>5.3025000000000002</v>
      </c>
      <c r="AL36">
        <f t="shared" si="52"/>
        <v>5.0400000000000009</v>
      </c>
      <c r="AM36">
        <f t="shared" si="52"/>
        <v>4.2569999999999997</v>
      </c>
      <c r="AN36">
        <f t="shared" si="52"/>
        <v>4.2569999999999997</v>
      </c>
      <c r="AO36">
        <f t="shared" si="52"/>
        <v>4.2569999999999997</v>
      </c>
      <c r="AP36">
        <f t="shared" si="52"/>
        <v>3.4612500000000002</v>
      </c>
      <c r="AQ36">
        <f t="shared" si="52"/>
        <v>2.7</v>
      </c>
      <c r="AR36">
        <f t="shared" si="52"/>
        <v>2.7</v>
      </c>
      <c r="AS36">
        <f t="shared" si="52"/>
        <v>2.7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">
        <f>BX33*0.75+BX34*0.25</f>
        <v>48.524999999999991</v>
      </c>
      <c r="BY36" s="1">
        <f t="shared" ref="BY36:CG36" si="53">BY33*0.75+BY34*0.25</f>
        <v>47.174999999999997</v>
      </c>
      <c r="BZ36" s="1">
        <f t="shared" si="53"/>
        <v>46.05</v>
      </c>
      <c r="CA36" s="1">
        <f t="shared" si="53"/>
        <v>47.325000000000003</v>
      </c>
      <c r="CB36" s="1">
        <f t="shared" si="53"/>
        <v>45.899999999999991</v>
      </c>
      <c r="CC36" s="1">
        <f t="shared" si="53"/>
        <v>44.024999999999991</v>
      </c>
      <c r="CD36" s="1">
        <f t="shared" si="53"/>
        <v>45.599999999999994</v>
      </c>
      <c r="CE36" s="1">
        <f t="shared" si="53"/>
        <v>45.3</v>
      </c>
      <c r="CF36" s="1">
        <f t="shared" si="53"/>
        <v>45.3</v>
      </c>
      <c r="CG36" s="1">
        <f t="shared" si="53"/>
        <v>42.3</v>
      </c>
      <c r="CH36" s="1">
        <f>CH33*0.75+CH34*0.25</f>
        <v>70145.620379811284</v>
      </c>
      <c r="CI36" s="1">
        <f t="shared" ref="CI36:CK36" si="54">CI33*0.75+CI34*0.25</f>
        <v>67565</v>
      </c>
      <c r="CJ36" s="1">
        <f t="shared" si="54"/>
        <v>65787.228484633059</v>
      </c>
      <c r="CK36" s="1">
        <f t="shared" si="54"/>
        <v>39775.994527944153</v>
      </c>
      <c r="CL36" s="1">
        <f t="shared" ref="CL36:CM36" si="55">CL33*0.75+CL34*0.25</f>
        <v>39775.994527944153</v>
      </c>
      <c r="CM36" s="1">
        <f t="shared" si="55"/>
        <v>39775.994527944153</v>
      </c>
      <c r="CN36" s="1">
        <f t="shared" ref="CN36" si="56">CN33*0.75+CN34*0.25</f>
        <v>31125.497263972076</v>
      </c>
      <c r="CO36" s="1">
        <f t="shared" ref="CO36:CP36" si="57">CO33*0.75+CO34*0.25</f>
        <v>22475</v>
      </c>
      <c r="CP36" s="1">
        <f t="shared" si="57"/>
        <v>22475</v>
      </c>
      <c r="CQ36" s="1">
        <f t="shared" ref="CQ36" si="58">CQ33*0.75+CQ34*0.25</f>
        <v>22475</v>
      </c>
      <c r="CR36" s="1">
        <f>CR33*0.75+CR34*0.25</f>
        <v>6632.9945379811288</v>
      </c>
      <c r="CS36" s="1">
        <f t="shared" ref="CS36:CT36" si="59">CS33*0.75+CS34*0.25</f>
        <v>6374.9325000000008</v>
      </c>
      <c r="CT36" s="1">
        <f t="shared" si="59"/>
        <v>6197.1553484633059</v>
      </c>
      <c r="CU36" s="1">
        <f t="shared" ref="CU36:CV36" si="60">CU33*0.75+CU34*0.25</f>
        <v>3834.1075321392254</v>
      </c>
      <c r="CV36" s="1">
        <f t="shared" si="60"/>
        <v>3834.1075321392254</v>
      </c>
      <c r="CW36" s="1">
        <f t="shared" ref="CW36" si="61">CW33*0.75+CW34*0.25</f>
        <v>3834.1075321392254</v>
      </c>
      <c r="CX36" s="1">
        <f t="shared" ref="CX36" si="62">CX33*0.75+CX34*0.25</f>
        <v>3013.2537660696125</v>
      </c>
      <c r="CY36" s="1">
        <f t="shared" ref="CY36:CZ36" si="63">CY33*0.75+CY34*0.25</f>
        <v>2192.4</v>
      </c>
      <c r="CZ36" s="1">
        <f t="shared" si="63"/>
        <v>2192.4</v>
      </c>
      <c r="DA36" s="1">
        <f t="shared" ref="DA36" si="64">DA33*0.75+DA34*0.25</f>
        <v>2192.4</v>
      </c>
      <c r="DB36" s="1">
        <f t="shared" ref="DB36:DD36" si="65">DB33*0.75+DB34*0.25</f>
        <v>0</v>
      </c>
      <c r="DC36" s="1">
        <f t="shared" si="65"/>
        <v>0</v>
      </c>
      <c r="DD36" s="1">
        <f t="shared" si="65"/>
        <v>0</v>
      </c>
      <c r="DE36">
        <v>0</v>
      </c>
      <c r="DF36" s="1">
        <f t="shared" ref="DF36" si="66">DF33*0.75+DF34*0.25</f>
        <v>0</v>
      </c>
      <c r="DG36">
        <v>0</v>
      </c>
      <c r="DH36" s="1">
        <f t="shared" ref="DH36" si="67">DH33*0.75+DH34*0.25</f>
        <v>0</v>
      </c>
      <c r="DI36">
        <v>0</v>
      </c>
      <c r="DJ36" s="1">
        <f t="shared" ref="DJ36" si="68">DJ33*0.75+DJ34*0.25</f>
        <v>0</v>
      </c>
      <c r="DK36">
        <v>0</v>
      </c>
      <c r="DL36" s="1">
        <f t="shared" ref="DL36:DN36" si="69">DL33*0.75+DL34*0.25</f>
        <v>0</v>
      </c>
      <c r="DM36" s="1">
        <f t="shared" si="69"/>
        <v>0</v>
      </c>
      <c r="DN36" s="1">
        <f t="shared" si="69"/>
        <v>0</v>
      </c>
      <c r="DO36">
        <v>0</v>
      </c>
      <c r="DP36" s="1">
        <f t="shared" ref="DP36" si="70">DP33*0.75+DP34*0.25</f>
        <v>0</v>
      </c>
      <c r="DQ36">
        <v>0</v>
      </c>
      <c r="DR36" s="1">
        <f t="shared" ref="DR36" si="71">DR33*0.75+DR34*0.25</f>
        <v>0</v>
      </c>
      <c r="DS36">
        <v>0</v>
      </c>
      <c r="DT36" s="1">
        <f t="shared" ref="DT36" si="72">DT33*0.75+DT34*0.25</f>
        <v>0</v>
      </c>
      <c r="DU36">
        <v>0</v>
      </c>
      <c r="DV36" s="1">
        <f t="shared" ref="DV36:DX36" si="73">DV33*0.75+DV34*0.25</f>
        <v>0</v>
      </c>
      <c r="DW36" s="1">
        <f t="shared" si="73"/>
        <v>0</v>
      </c>
      <c r="DX36" s="1">
        <f t="shared" si="73"/>
        <v>0</v>
      </c>
      <c r="DY36">
        <v>0</v>
      </c>
      <c r="DZ36" s="1">
        <f t="shared" ref="DZ36" si="74">DZ33*0.75+DZ34*0.25</f>
        <v>0</v>
      </c>
      <c r="EA36">
        <v>0</v>
      </c>
      <c r="EB36" s="1">
        <f t="shared" ref="EB36" si="75">EB33*0.75+EB34*0.25</f>
        <v>0</v>
      </c>
      <c r="EC36">
        <v>0</v>
      </c>
      <c r="ED36" s="1">
        <f t="shared" ref="ED36" si="76">ED33*0.75+ED34*0.25</f>
        <v>0</v>
      </c>
      <c r="EE36">
        <v>0</v>
      </c>
      <c r="EF36" s="1">
        <f t="shared" ref="EF36:EH36" si="77">EF33*0.75+EF34*0.25</f>
        <v>123.18516478109692</v>
      </c>
      <c r="EG36" s="1">
        <f t="shared" si="77"/>
        <v>116.74670054442417</v>
      </c>
      <c r="EH36" s="1">
        <f t="shared" si="77"/>
        <v>110.95904681586784</v>
      </c>
      <c r="EI36">
        <v>0</v>
      </c>
      <c r="EJ36" s="1">
        <f t="shared" ref="EJ36" si="78">EJ33*0.75+EJ34*0.25</f>
        <v>116.74670054442417</v>
      </c>
      <c r="EK36">
        <v>0</v>
      </c>
      <c r="EL36" s="1">
        <f t="shared" ref="EL36" si="79">EL33*0.75+EL34*0.25</f>
        <v>116.74670054442417</v>
      </c>
      <c r="EM36">
        <v>0</v>
      </c>
      <c r="EN36" s="1">
        <f t="shared" ref="EN36" si="80">EN33*0.75+EN34*0.25</f>
        <v>116.74670054442417</v>
      </c>
      <c r="EO36">
        <v>0</v>
      </c>
      <c r="EP36" s="1">
        <f t="shared" ref="EP36:ER36" si="81">EP33*0.75+EP34*0.25</f>
        <v>0</v>
      </c>
      <c r="EQ36" s="1">
        <f t="shared" si="81"/>
        <v>0</v>
      </c>
      <c r="ER36" s="1">
        <f t="shared" si="81"/>
        <v>0</v>
      </c>
      <c r="ES36">
        <v>0</v>
      </c>
      <c r="ET36" s="1">
        <f t="shared" ref="ET36" si="82">ET33*0.75+ET34*0.25</f>
        <v>0</v>
      </c>
      <c r="EU36">
        <v>0</v>
      </c>
      <c r="EV36" s="1">
        <f t="shared" ref="EV36" si="83">EV33*0.75+EV34*0.25</f>
        <v>0</v>
      </c>
      <c r="EW36">
        <v>0</v>
      </c>
      <c r="EX36" s="1">
        <f t="shared" ref="EX36" si="84">EX33*0.75+EX34*0.25</f>
        <v>0</v>
      </c>
      <c r="EY36">
        <v>0</v>
      </c>
      <c r="EZ36" s="1">
        <f t="shared" ref="EZ36:FM36" si="85">EZ33*0.75+EZ34*0.25</f>
        <v>20.791499999999999</v>
      </c>
      <c r="FA36" s="1">
        <f t="shared" si="85"/>
        <v>20.791499999999999</v>
      </c>
      <c r="FB36" s="1">
        <f t="shared" si="85"/>
        <v>20.791499999999999</v>
      </c>
      <c r="FC36" s="1">
        <f t="shared" si="85"/>
        <v>20.791499999999999</v>
      </c>
      <c r="FD36" s="1">
        <f t="shared" si="85"/>
        <v>20.791499999999999</v>
      </c>
      <c r="FE36" s="1">
        <f t="shared" si="85"/>
        <v>20.791499999999999</v>
      </c>
      <c r="FF36" s="1">
        <f t="shared" si="85"/>
        <v>20.791499999999999</v>
      </c>
      <c r="FG36" s="1">
        <f t="shared" si="85"/>
        <v>20.791499999999999</v>
      </c>
      <c r="FH36" s="1">
        <f t="shared" si="85"/>
        <v>20.791499999999999</v>
      </c>
      <c r="FI36" s="1">
        <f t="shared" si="85"/>
        <v>20.791499999999999</v>
      </c>
      <c r="FJ36" s="1">
        <f t="shared" si="85"/>
        <v>8.8495575221238937E-2</v>
      </c>
      <c r="FK36" s="1">
        <f t="shared" si="85"/>
        <v>8.8495575221238937E-2</v>
      </c>
      <c r="FL36" s="1">
        <f t="shared" si="85"/>
        <v>8.8495575221238937E-2</v>
      </c>
      <c r="FM36" s="1">
        <f t="shared" si="85"/>
        <v>8.8495575221238937E-2</v>
      </c>
      <c r="FN36" s="1">
        <f t="shared" ref="FN36:FO36" si="86">FN33*0.75+FN34*0.25</f>
        <v>8.8495575221238937E-2</v>
      </c>
      <c r="FO36" s="1">
        <f t="shared" si="86"/>
        <v>8.8495575221238937E-2</v>
      </c>
      <c r="FP36" s="1">
        <f t="shared" ref="FP36:FQ36" si="87">FP33*0.75+FP34*0.25</f>
        <v>8.8495575221238937E-2</v>
      </c>
      <c r="FQ36" s="1">
        <f t="shared" si="87"/>
        <v>8.8495575221238937E-2</v>
      </c>
      <c r="FR36" s="1">
        <f t="shared" ref="FR36:FS36" si="88">FR33*0.75+FR34*0.25</f>
        <v>8.8495575221238937E-2</v>
      </c>
      <c r="FS36" s="1">
        <f t="shared" si="88"/>
        <v>8.8495575221238937E-2</v>
      </c>
    </row>
    <row r="37" spans="1:175" x14ac:dyDescent="0.3">
      <c r="A37" s="109"/>
      <c r="B37" s="3" t="s">
        <v>140</v>
      </c>
      <c r="C37" s="4" t="s">
        <v>13</v>
      </c>
      <c r="D37" s="2" t="s">
        <v>244</v>
      </c>
      <c r="E37" s="9">
        <f t="shared" si="5"/>
        <v>29</v>
      </c>
      <c r="F37" s="13">
        <v>1</v>
      </c>
      <c r="G37" s="13" t="s">
        <v>248</v>
      </c>
      <c r="H37">
        <v>0</v>
      </c>
      <c r="I37" s="24" t="str">
        <f>B30</f>
        <v>Reactant11</v>
      </c>
      <c r="J37">
        <v>0</v>
      </c>
      <c r="K37">
        <v>1</v>
      </c>
      <c r="L37">
        <v>0</v>
      </c>
      <c r="M37">
        <v>1</v>
      </c>
      <c r="N37">
        <v>0</v>
      </c>
      <c r="O37">
        <f>O35</f>
        <v>20000</v>
      </c>
      <c r="P37">
        <f t="shared" si="42"/>
        <v>8.8888888888888892E-2</v>
      </c>
      <c r="Q37">
        <f t="shared" si="42"/>
        <v>8.8888888888888892E-2</v>
      </c>
      <c r="R37">
        <f t="shared" si="42"/>
        <v>8.8888888888888892E-2</v>
      </c>
      <c r="S37">
        <f t="shared" si="42"/>
        <v>8.8888888888888892E-2</v>
      </c>
      <c r="T37">
        <f t="shared" si="42"/>
        <v>8.8888888888888892E-2</v>
      </c>
      <c r="U37">
        <f t="shared" si="42"/>
        <v>8.8888888888888892E-2</v>
      </c>
      <c r="V37">
        <f t="shared" si="42"/>
        <v>8.8888888888888892E-2</v>
      </c>
      <c r="W37">
        <f t="shared" si="42"/>
        <v>8.8888888888888892E-2</v>
      </c>
      <c r="X37">
        <f t="shared" si="42"/>
        <v>8.8888888888888892E-2</v>
      </c>
      <c r="Y37">
        <f t="shared" si="42"/>
        <v>8.8888888888888892E-2</v>
      </c>
      <c r="Z37">
        <f>Z33*0.75</f>
        <v>5.5965000000000007</v>
      </c>
      <c r="AA37">
        <f t="shared" ref="AA37:AF37" si="89">AA33*0.75</f>
        <v>5.3025000000000002</v>
      </c>
      <c r="AB37">
        <f t="shared" si="89"/>
        <v>5.0400000000000009</v>
      </c>
      <c r="AC37">
        <f t="shared" si="89"/>
        <v>4.2569999999999997</v>
      </c>
      <c r="AD37">
        <f t="shared" si="89"/>
        <v>4.2569999999999997</v>
      </c>
      <c r="AE37">
        <f t="shared" si="89"/>
        <v>4.2569999999999997</v>
      </c>
      <c r="AF37">
        <f t="shared" si="89"/>
        <v>3.4612500000000002</v>
      </c>
      <c r="AG37">
        <f>AG33*0.75</f>
        <v>2.7</v>
      </c>
      <c r="AH37">
        <f>AH33*0.75</f>
        <v>2.7</v>
      </c>
      <c r="AI37">
        <f>AI33*0.75</f>
        <v>2.7</v>
      </c>
      <c r="AJ37">
        <f>AJ33*0.75</f>
        <v>5.5965000000000007</v>
      </c>
      <c r="AK37">
        <f t="shared" ref="AK37:AP37" si="90">AK33*0.75</f>
        <v>5.3025000000000002</v>
      </c>
      <c r="AL37">
        <f t="shared" si="90"/>
        <v>5.0400000000000009</v>
      </c>
      <c r="AM37">
        <f t="shared" si="90"/>
        <v>4.2569999999999997</v>
      </c>
      <c r="AN37">
        <f t="shared" si="90"/>
        <v>4.2569999999999997</v>
      </c>
      <c r="AO37">
        <f t="shared" si="90"/>
        <v>4.2569999999999997</v>
      </c>
      <c r="AP37">
        <f t="shared" si="90"/>
        <v>3.4612500000000002</v>
      </c>
      <c r="AQ37">
        <f>AQ33*0.75</f>
        <v>2.7</v>
      </c>
      <c r="AR37">
        <f>AR33*0.75</f>
        <v>2.7</v>
      </c>
      <c r="AS37">
        <f>AS33*0.75</f>
        <v>2.7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">
        <f>BX33*0.75+0.25*BX35</f>
        <v>50.974999999999994</v>
      </c>
      <c r="BY37" s="1">
        <f t="shared" ref="BY37:CG37" si="91">BY33*0.75+0.25*BY35</f>
        <v>49.625</v>
      </c>
      <c r="BZ37" s="1">
        <f t="shared" si="91"/>
        <v>48.5</v>
      </c>
      <c r="CA37" s="1">
        <f t="shared" si="91"/>
        <v>49.575000000000003</v>
      </c>
      <c r="CB37" s="1">
        <f t="shared" si="91"/>
        <v>48.149999999999991</v>
      </c>
      <c r="CC37" s="1">
        <f t="shared" si="91"/>
        <v>46.274999999999991</v>
      </c>
      <c r="CD37" s="1">
        <f t="shared" si="91"/>
        <v>47.449999999999996</v>
      </c>
      <c r="CE37" s="1">
        <f t="shared" si="91"/>
        <v>46.75</v>
      </c>
      <c r="CF37" s="1">
        <f t="shared" si="91"/>
        <v>46.75</v>
      </c>
      <c r="CG37" s="1">
        <f t="shared" si="91"/>
        <v>43.75</v>
      </c>
      <c r="CH37" s="1">
        <f>CH33*0.75+CH35*0.25</f>
        <v>70145.620379811284</v>
      </c>
      <c r="CI37" s="1">
        <f t="shared" ref="CI37:CP37" si="92">CI33*0.75+CI35*0.25</f>
        <v>67565</v>
      </c>
      <c r="CJ37" s="1">
        <f t="shared" si="92"/>
        <v>65787.228484633059</v>
      </c>
      <c r="CK37" s="1">
        <f t="shared" ref="CK37" si="93">CK33*0.75+CK35*0.25</f>
        <v>39775.994527944153</v>
      </c>
      <c r="CL37" s="1">
        <f t="shared" si="92"/>
        <v>39775.994527944153</v>
      </c>
      <c r="CM37" s="1">
        <f t="shared" ref="CM37" si="94">CM33*0.75+CM35*0.25</f>
        <v>39775.994527944153</v>
      </c>
      <c r="CN37" s="1">
        <f t="shared" si="92"/>
        <v>31125.497263972076</v>
      </c>
      <c r="CO37" s="1">
        <f t="shared" ref="CO37" si="95">CO33*0.75+CO35*0.25</f>
        <v>22475</v>
      </c>
      <c r="CP37" s="1">
        <f t="shared" si="92"/>
        <v>22475</v>
      </c>
      <c r="CQ37" s="1">
        <f t="shared" ref="CQ37" si="96">CQ33*0.75+CQ35*0.25</f>
        <v>22475</v>
      </c>
      <c r="CR37" s="1">
        <f>CR33*0.75+CR35*0.25</f>
        <v>6632.9945379811288</v>
      </c>
      <c r="CS37" s="1">
        <f t="shared" ref="CS37:FP37" si="97">CS33*0.75+CS35*0.25</f>
        <v>6374.9325000000008</v>
      </c>
      <c r="CT37" s="1">
        <f t="shared" si="97"/>
        <v>6197.1553484633059</v>
      </c>
      <c r="CU37" s="1">
        <f t="shared" ref="CU37" si="98">CU33*0.75+CU35*0.25</f>
        <v>3834.1075321392254</v>
      </c>
      <c r="CV37" s="1">
        <f t="shared" si="97"/>
        <v>3834.1075321392254</v>
      </c>
      <c r="CW37" s="1">
        <f t="shared" ref="CW37" si="99">CW33*0.75+CW35*0.25</f>
        <v>3834.1075321392254</v>
      </c>
      <c r="CX37" s="1">
        <f t="shared" si="97"/>
        <v>3013.2537660696125</v>
      </c>
      <c r="CY37" s="1">
        <f t="shared" ref="CY37" si="100">CY33*0.75+CY35*0.25</f>
        <v>2192.4</v>
      </c>
      <c r="CZ37" s="1">
        <f t="shared" si="97"/>
        <v>2192.4</v>
      </c>
      <c r="DA37" s="1">
        <f t="shared" ref="DA37" si="101">DA33*0.75+DA35*0.25</f>
        <v>2192.4</v>
      </c>
      <c r="DB37" s="1">
        <f t="shared" si="97"/>
        <v>0</v>
      </c>
      <c r="DC37" s="1">
        <f t="shared" si="97"/>
        <v>0</v>
      </c>
      <c r="DD37" s="1">
        <f t="shared" si="97"/>
        <v>0</v>
      </c>
      <c r="DE37">
        <v>0</v>
      </c>
      <c r="DF37" s="1">
        <f t="shared" si="97"/>
        <v>0</v>
      </c>
      <c r="DG37">
        <v>0</v>
      </c>
      <c r="DH37" s="1">
        <f t="shared" si="97"/>
        <v>0</v>
      </c>
      <c r="DI37">
        <v>0</v>
      </c>
      <c r="DJ37" s="1">
        <f t="shared" si="97"/>
        <v>0</v>
      </c>
      <c r="DK37">
        <v>0</v>
      </c>
      <c r="DL37" s="1">
        <f t="shared" si="97"/>
        <v>0</v>
      </c>
      <c r="DM37" s="1">
        <f t="shared" si="97"/>
        <v>0</v>
      </c>
      <c r="DN37" s="1">
        <f t="shared" si="97"/>
        <v>0</v>
      </c>
      <c r="DO37">
        <v>0</v>
      </c>
      <c r="DP37" s="1">
        <f t="shared" si="97"/>
        <v>0</v>
      </c>
      <c r="DQ37">
        <v>0</v>
      </c>
      <c r="DR37" s="1">
        <f t="shared" si="97"/>
        <v>0</v>
      </c>
      <c r="DS37">
        <v>0</v>
      </c>
      <c r="DT37" s="1">
        <f t="shared" si="97"/>
        <v>0</v>
      </c>
      <c r="DU37">
        <v>0</v>
      </c>
      <c r="DV37" s="1">
        <f t="shared" si="97"/>
        <v>0</v>
      </c>
      <c r="DW37" s="1">
        <f t="shared" si="97"/>
        <v>0</v>
      </c>
      <c r="DX37" s="1">
        <f t="shared" si="97"/>
        <v>0</v>
      </c>
      <c r="DY37">
        <v>0</v>
      </c>
      <c r="DZ37" s="1">
        <f t="shared" si="97"/>
        <v>0</v>
      </c>
      <c r="EA37">
        <v>0</v>
      </c>
      <c r="EB37" s="1">
        <f t="shared" si="97"/>
        <v>0</v>
      </c>
      <c r="EC37">
        <v>0</v>
      </c>
      <c r="ED37" s="1">
        <f t="shared" si="97"/>
        <v>0</v>
      </c>
      <c r="EE37">
        <v>0</v>
      </c>
      <c r="EF37" s="1">
        <f t="shared" si="97"/>
        <v>123.18516478109692</v>
      </c>
      <c r="EG37" s="1">
        <f t="shared" si="97"/>
        <v>116.74670054442417</v>
      </c>
      <c r="EH37" s="1">
        <f t="shared" si="97"/>
        <v>110.95904681586784</v>
      </c>
      <c r="EI37">
        <v>0</v>
      </c>
      <c r="EJ37" s="1">
        <f t="shared" si="97"/>
        <v>116.74670054442417</v>
      </c>
      <c r="EK37">
        <v>0</v>
      </c>
      <c r="EL37" s="1">
        <f t="shared" si="97"/>
        <v>116.74670054442417</v>
      </c>
      <c r="EM37">
        <v>0</v>
      </c>
      <c r="EN37" s="1">
        <f t="shared" si="97"/>
        <v>116.74670054442417</v>
      </c>
      <c r="EO37">
        <v>0</v>
      </c>
      <c r="EP37" s="1">
        <f t="shared" si="97"/>
        <v>0</v>
      </c>
      <c r="EQ37" s="1">
        <f t="shared" si="97"/>
        <v>0</v>
      </c>
      <c r="ER37" s="1">
        <f t="shared" si="97"/>
        <v>0</v>
      </c>
      <c r="ES37">
        <v>0</v>
      </c>
      <c r="ET37" s="1">
        <f t="shared" si="97"/>
        <v>0</v>
      </c>
      <c r="EU37">
        <v>0</v>
      </c>
      <c r="EV37" s="1">
        <f t="shared" si="97"/>
        <v>0</v>
      </c>
      <c r="EW37">
        <v>0</v>
      </c>
      <c r="EX37" s="1">
        <f t="shared" si="97"/>
        <v>0</v>
      </c>
      <c r="EY37">
        <v>0</v>
      </c>
      <c r="EZ37" s="1">
        <f t="shared" si="97"/>
        <v>20.791499999999999</v>
      </c>
      <c r="FA37" s="1">
        <f t="shared" si="97"/>
        <v>20.791499999999999</v>
      </c>
      <c r="FB37" s="1">
        <f t="shared" si="97"/>
        <v>20.791499999999999</v>
      </c>
      <c r="FC37" s="1">
        <f t="shared" si="97"/>
        <v>20.791499999999999</v>
      </c>
      <c r="FD37" s="1">
        <f t="shared" si="97"/>
        <v>20.791499999999999</v>
      </c>
      <c r="FE37" s="1">
        <f t="shared" si="97"/>
        <v>20.791499999999999</v>
      </c>
      <c r="FF37" s="1">
        <f t="shared" si="97"/>
        <v>20.791499999999999</v>
      </c>
      <c r="FG37" s="1">
        <f t="shared" si="97"/>
        <v>20.791499999999999</v>
      </c>
      <c r="FH37" s="1">
        <f t="shared" si="97"/>
        <v>20.791499999999999</v>
      </c>
      <c r="FI37" s="1">
        <f t="shared" si="97"/>
        <v>20.791499999999999</v>
      </c>
      <c r="FJ37" s="1">
        <f t="shared" si="97"/>
        <v>8.8495575221238937E-2</v>
      </c>
      <c r="FK37" s="1">
        <f t="shared" si="97"/>
        <v>8.8495575221238937E-2</v>
      </c>
      <c r="FL37" s="1">
        <f t="shared" si="97"/>
        <v>8.8495575221238937E-2</v>
      </c>
      <c r="FM37" s="1">
        <f t="shared" ref="FM37" si="102">FM33*0.75+FM35*0.25</f>
        <v>8.8495575221238937E-2</v>
      </c>
      <c r="FN37" s="1">
        <f t="shared" si="97"/>
        <v>8.8495575221238937E-2</v>
      </c>
      <c r="FO37" s="1">
        <f t="shared" ref="FO37" si="103">FO33*0.75+FO35*0.25</f>
        <v>8.8495575221238937E-2</v>
      </c>
      <c r="FP37" s="1">
        <f t="shared" si="97"/>
        <v>8.8495575221238937E-2</v>
      </c>
      <c r="FQ37" s="1">
        <f t="shared" ref="FQ37" si="104">FQ33*0.75+FQ35*0.25</f>
        <v>8.8495575221238937E-2</v>
      </c>
      <c r="FR37" s="1">
        <f t="shared" ref="FR37:FS37" si="105">FR33*0.75+FR35*0.25</f>
        <v>8.8495575221238937E-2</v>
      </c>
      <c r="FS37" s="1">
        <f t="shared" si="105"/>
        <v>8.8495575221238937E-2</v>
      </c>
    </row>
    <row r="38" spans="1:175" x14ac:dyDescent="0.3">
      <c r="A38" s="109"/>
      <c r="B38" s="25" t="s">
        <v>136</v>
      </c>
      <c r="C38" s="11" t="s">
        <v>277</v>
      </c>
      <c r="D38" s="2" t="s">
        <v>75</v>
      </c>
      <c r="E38" s="9">
        <f t="shared" si="5"/>
        <v>30</v>
      </c>
      <c r="F38" s="13">
        <v>1</v>
      </c>
      <c r="G38" s="13" t="s">
        <v>76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O33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ref="EJ38:EJ43" si="106">$EG38*B$3</f>
        <v>0</v>
      </c>
      <c r="EK38">
        <v>0</v>
      </c>
      <c r="EL38">
        <f t="shared" ref="EL38:EL43" si="107">$EG38*C$3</f>
        <v>0</v>
      </c>
      <c r="EM38">
        <v>0</v>
      </c>
      <c r="EN38">
        <f t="shared" ref="EN38:EN43" si="108">$EG38*D$3</f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ref="ET38:ET43" si="109">$EQ38*B$3</f>
        <v>0</v>
      </c>
      <c r="EU38">
        <v>0</v>
      </c>
      <c r="EV38">
        <f t="shared" ref="EV38:EV43" si="110">$EQ38*C$3</f>
        <v>0</v>
      </c>
      <c r="EW38">
        <v>0</v>
      </c>
      <c r="EX38">
        <f t="shared" ref="EX38:EX43" si="111">$EQ38*D$3</f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09"/>
      <c r="B39" s="25" t="s">
        <v>137</v>
      </c>
      <c r="C39" s="11" t="s">
        <v>277</v>
      </c>
      <c r="D39" s="2" t="s">
        <v>408</v>
      </c>
      <c r="E39" s="9">
        <f t="shared" si="5"/>
        <v>31</v>
      </c>
      <c r="F39" s="13">
        <v>1</v>
      </c>
      <c r="G39" s="13" t="s">
        <v>412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6"/>
        <v>0</v>
      </c>
      <c r="EK39">
        <v>0</v>
      </c>
      <c r="EL39">
        <f t="shared" si="107"/>
        <v>0</v>
      </c>
      <c r="EM39">
        <v>0</v>
      </c>
      <c r="EN39">
        <f t="shared" si="108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9"/>
        <v>0</v>
      </c>
      <c r="EU39">
        <v>0</v>
      </c>
      <c r="EV39">
        <f t="shared" si="110"/>
        <v>0</v>
      </c>
      <c r="EW39">
        <v>0</v>
      </c>
      <c r="EX39">
        <f t="shared" si="111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9"/>
      <c r="B40" s="25" t="s">
        <v>138</v>
      </c>
      <c r="C40" s="11" t="s">
        <v>277</v>
      </c>
      <c r="D40" s="2" t="s">
        <v>409</v>
      </c>
      <c r="E40" s="9">
        <f t="shared" si="5"/>
        <v>32</v>
      </c>
      <c r="F40" s="13">
        <v>1</v>
      </c>
      <c r="G40" s="13" t="s">
        <v>413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6"/>
        <v>0</v>
      </c>
      <c r="EK40">
        <v>0</v>
      </c>
      <c r="EL40">
        <f t="shared" si="107"/>
        <v>0</v>
      </c>
      <c r="EM40">
        <v>0</v>
      </c>
      <c r="EN40">
        <f t="shared" si="108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9"/>
        <v>0</v>
      </c>
      <c r="EU40">
        <v>0</v>
      </c>
      <c r="EV40">
        <f t="shared" si="110"/>
        <v>0</v>
      </c>
      <c r="EW40">
        <v>0</v>
      </c>
      <c r="EX40">
        <f t="shared" si="111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9"/>
      <c r="B41" s="25" t="s">
        <v>139</v>
      </c>
      <c r="C41" s="11" t="s">
        <v>277</v>
      </c>
      <c r="D41" s="2" t="s">
        <v>410</v>
      </c>
      <c r="E41" s="9">
        <f t="shared" si="5"/>
        <v>33</v>
      </c>
      <c r="F41" s="13">
        <v>1</v>
      </c>
      <c r="G41" s="13" t="s">
        <v>414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O40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6"/>
        <v>0</v>
      </c>
      <c r="EK41">
        <v>0</v>
      </c>
      <c r="EL41">
        <f t="shared" si="107"/>
        <v>0</v>
      </c>
      <c r="EM41">
        <v>0</v>
      </c>
      <c r="EN41">
        <f t="shared" si="108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9"/>
        <v>0</v>
      </c>
      <c r="EU41">
        <v>0</v>
      </c>
      <c r="EV41">
        <f t="shared" si="110"/>
        <v>0</v>
      </c>
      <c r="EW41">
        <v>0</v>
      </c>
      <c r="EX41">
        <f t="shared" si="111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9"/>
      <c r="B42" s="25" t="s">
        <v>250</v>
      </c>
      <c r="C42" s="11" t="s">
        <v>277</v>
      </c>
      <c r="D42" s="2" t="s">
        <v>411</v>
      </c>
      <c r="E42" s="9">
        <f t="shared" si="5"/>
        <v>34</v>
      </c>
      <c r="F42" s="13">
        <v>1</v>
      </c>
      <c r="G42" s="13" t="s">
        <v>415</v>
      </c>
      <c r="H42" s="10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O41</f>
        <v>20000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>
        <v>0</v>
      </c>
      <c r="CL42" s="10">
        <v>0</v>
      </c>
      <c r="CM42">
        <v>0</v>
      </c>
      <c r="CN42" s="10">
        <v>0</v>
      </c>
      <c r="CO42">
        <v>0</v>
      </c>
      <c r="CP42" s="10">
        <v>0</v>
      </c>
      <c r="CQ42">
        <v>0</v>
      </c>
      <c r="CR42" s="10">
        <v>0</v>
      </c>
      <c r="CS42" s="10">
        <v>0</v>
      </c>
      <c r="CT42" s="10">
        <v>0</v>
      </c>
      <c r="CU42">
        <v>0</v>
      </c>
      <c r="CV42" s="10">
        <v>0</v>
      </c>
      <c r="CW42">
        <v>0</v>
      </c>
      <c r="CX42" s="10">
        <v>0</v>
      </c>
      <c r="CY42">
        <v>0</v>
      </c>
      <c r="CZ42" s="10">
        <v>0</v>
      </c>
      <c r="DA42">
        <v>0</v>
      </c>
      <c r="DB42" s="10">
        <v>0</v>
      </c>
      <c r="DC42" s="10">
        <v>0</v>
      </c>
      <c r="DD42" s="10">
        <v>0</v>
      </c>
      <c r="DE42">
        <v>0</v>
      </c>
      <c r="DF42" s="10">
        <v>0</v>
      </c>
      <c r="DG42">
        <v>0</v>
      </c>
      <c r="DH42" s="10">
        <v>0</v>
      </c>
      <c r="DI42">
        <v>0</v>
      </c>
      <c r="DJ42" s="10">
        <v>0</v>
      </c>
      <c r="DK42">
        <v>0</v>
      </c>
      <c r="DL42" s="10">
        <v>0</v>
      </c>
      <c r="DM42" s="10">
        <v>0</v>
      </c>
      <c r="DN42" s="10">
        <v>0</v>
      </c>
      <c r="DO42">
        <v>0</v>
      </c>
      <c r="DP42" s="10">
        <v>0</v>
      </c>
      <c r="DQ42">
        <v>0</v>
      </c>
      <c r="DR42" s="10">
        <v>0</v>
      </c>
      <c r="DS42">
        <v>0</v>
      </c>
      <c r="DT42" s="10">
        <v>0</v>
      </c>
      <c r="DU42">
        <v>0</v>
      </c>
      <c r="DV42" s="10">
        <v>0</v>
      </c>
      <c r="DW42" s="10">
        <v>0</v>
      </c>
      <c r="DX42" s="10">
        <v>0</v>
      </c>
      <c r="DY42">
        <v>0</v>
      </c>
      <c r="DZ42" s="10">
        <v>0</v>
      </c>
      <c r="EA42">
        <v>0</v>
      </c>
      <c r="EB42" s="10">
        <v>0</v>
      </c>
      <c r="EC42">
        <v>0</v>
      </c>
      <c r="ED42" s="10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06"/>
        <v>0</v>
      </c>
      <c r="EK42">
        <v>0</v>
      </c>
      <c r="EL42">
        <f t="shared" si="107"/>
        <v>0</v>
      </c>
      <c r="EM42">
        <v>0</v>
      </c>
      <c r="EN42">
        <f t="shared" si="108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09"/>
        <v>0</v>
      </c>
      <c r="EU42">
        <v>0</v>
      </c>
      <c r="EV42">
        <f t="shared" si="110"/>
        <v>0</v>
      </c>
      <c r="EW42">
        <v>0</v>
      </c>
      <c r="EX42">
        <f t="shared" si="111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 s="10">
        <v>0</v>
      </c>
      <c r="FK42" s="10">
        <v>0</v>
      </c>
      <c r="FL42" s="10">
        <v>0</v>
      </c>
      <c r="FM42">
        <v>0</v>
      </c>
      <c r="FN42" s="10">
        <v>0</v>
      </c>
      <c r="FO42">
        <v>0</v>
      </c>
      <c r="FP42" s="10">
        <v>0</v>
      </c>
      <c r="FQ42">
        <v>0</v>
      </c>
      <c r="FR42" s="10">
        <v>0</v>
      </c>
      <c r="FS42">
        <v>0</v>
      </c>
    </row>
    <row r="43" spans="1:175" x14ac:dyDescent="0.3">
      <c r="A43" s="109"/>
      <c r="B43" s="25" t="s">
        <v>416</v>
      </c>
      <c r="C43" s="11" t="s">
        <v>277</v>
      </c>
      <c r="D43" s="2" t="s">
        <v>36</v>
      </c>
      <c r="E43" s="9">
        <f t="shared" si="5"/>
        <v>35</v>
      </c>
      <c r="F43" s="13">
        <v>1</v>
      </c>
      <c r="G43" s="13" t="s">
        <v>19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-1</v>
      </c>
      <c r="N43">
        <v>0</v>
      </c>
      <c r="O43">
        <f>O33</f>
        <v>20000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 t="shared" si="106"/>
        <v>0</v>
      </c>
      <c r="EK43">
        <v>0</v>
      </c>
      <c r="EL43">
        <f t="shared" si="107"/>
        <v>0</v>
      </c>
      <c r="EM43">
        <v>0</v>
      </c>
      <c r="EN43">
        <f t="shared" si="108"/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si="109"/>
        <v>0</v>
      </c>
      <c r="EU43">
        <v>0</v>
      </c>
      <c r="EV43">
        <f t="shared" si="110"/>
        <v>0</v>
      </c>
      <c r="EW43">
        <v>0</v>
      </c>
      <c r="EX43">
        <f t="shared" si="111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09"/>
      <c r="B44" s="25" t="s">
        <v>417</v>
      </c>
      <c r="C44" s="11" t="s">
        <v>277</v>
      </c>
      <c r="D44" s="2" t="s">
        <v>253</v>
      </c>
      <c r="E44" s="9">
        <f t="shared" si="5"/>
        <v>36</v>
      </c>
      <c r="F44" s="13">
        <v>1</v>
      </c>
      <c r="G44" s="13" t="s">
        <v>254</v>
      </c>
      <c r="H44" s="57">
        <v>0</v>
      </c>
      <c r="I44" t="s">
        <v>12</v>
      </c>
      <c r="J44">
        <v>0</v>
      </c>
      <c r="K44">
        <v>0</v>
      </c>
      <c r="L44">
        <v>0</v>
      </c>
      <c r="M44">
        <v>-1</v>
      </c>
      <c r="N44">
        <v>0</v>
      </c>
      <c r="O44">
        <f>O34</f>
        <v>20000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0">
        <v>0</v>
      </c>
      <c r="BD44" s="60">
        <v>1</v>
      </c>
      <c r="BE44" s="60">
        <v>1</v>
      </c>
      <c r="BF44" s="60">
        <v>1</v>
      </c>
      <c r="BG44" s="60">
        <v>1</v>
      </c>
      <c r="BH44" s="60">
        <v>1</v>
      </c>
      <c r="BI44" s="60">
        <v>1</v>
      </c>
      <c r="BJ44" s="60">
        <v>1</v>
      </c>
      <c r="BK44" s="60">
        <v>1</v>
      </c>
      <c r="BL44" s="60">
        <v>1</v>
      </c>
      <c r="BM44" s="60">
        <v>1</v>
      </c>
      <c r="BN44" s="60">
        <v>1</v>
      </c>
      <c r="BO44" s="60">
        <v>1</v>
      </c>
      <c r="BP44" s="60">
        <v>1</v>
      </c>
      <c r="BQ44" s="60">
        <v>1</v>
      </c>
      <c r="BR44" s="60">
        <v>1</v>
      </c>
      <c r="BS44" s="60">
        <v>1</v>
      </c>
      <c r="BT44" s="60">
        <v>1</v>
      </c>
      <c r="BU44" s="60">
        <v>1</v>
      </c>
      <c r="BV44" s="60">
        <v>1</v>
      </c>
      <c r="BW44" s="60">
        <v>1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7">
        <v>0</v>
      </c>
      <c r="CE44" s="57">
        <v>0</v>
      </c>
      <c r="CF44" s="57">
        <v>0</v>
      </c>
      <c r="CG44" s="57">
        <v>0</v>
      </c>
      <c r="CH44" s="57">
        <v>0</v>
      </c>
      <c r="CI44" s="57">
        <v>0</v>
      </c>
      <c r="CJ44" s="57">
        <v>0</v>
      </c>
      <c r="CK44">
        <v>0</v>
      </c>
      <c r="CL44" s="57">
        <v>0</v>
      </c>
      <c r="CM44">
        <v>0</v>
      </c>
      <c r="CN44" s="57">
        <v>0</v>
      </c>
      <c r="CO44">
        <v>0</v>
      </c>
      <c r="CP44" s="57">
        <v>0</v>
      </c>
      <c r="CQ44">
        <v>0</v>
      </c>
      <c r="CR44" s="57">
        <v>0</v>
      </c>
      <c r="CS44" s="57">
        <v>0</v>
      </c>
      <c r="CT44" s="57">
        <v>0</v>
      </c>
      <c r="CU44">
        <v>0</v>
      </c>
      <c r="CV44" s="57">
        <v>0</v>
      </c>
      <c r="CW44">
        <v>0</v>
      </c>
      <c r="CX44" s="57">
        <v>0</v>
      </c>
      <c r="CY44">
        <v>0</v>
      </c>
      <c r="CZ44" s="57">
        <v>0</v>
      </c>
      <c r="DA44">
        <v>0</v>
      </c>
      <c r="DB44" s="57">
        <v>0</v>
      </c>
      <c r="DC44" s="57">
        <v>0</v>
      </c>
      <c r="DD44" s="57">
        <v>0</v>
      </c>
      <c r="DE44">
        <v>0</v>
      </c>
      <c r="DF44" s="57">
        <v>0</v>
      </c>
      <c r="DG44">
        <v>0</v>
      </c>
      <c r="DH44" s="57">
        <v>0</v>
      </c>
      <c r="DI44">
        <v>0</v>
      </c>
      <c r="DJ44" s="57">
        <v>0</v>
      </c>
      <c r="DK44">
        <v>0</v>
      </c>
      <c r="DL44" s="57">
        <v>0</v>
      </c>
      <c r="DM44" s="57">
        <v>0</v>
      </c>
      <c r="DN44" s="57">
        <v>0</v>
      </c>
      <c r="DO44">
        <v>0</v>
      </c>
      <c r="DP44" s="57">
        <v>0</v>
      </c>
      <c r="DQ44">
        <v>0</v>
      </c>
      <c r="DR44" s="57">
        <v>0</v>
      </c>
      <c r="DS44">
        <v>0</v>
      </c>
      <c r="DT44" s="57">
        <v>0</v>
      </c>
      <c r="DU44">
        <v>0</v>
      </c>
      <c r="DV44" s="57">
        <v>0</v>
      </c>
      <c r="DW44" s="57">
        <v>0</v>
      </c>
      <c r="DX44" s="57">
        <v>0</v>
      </c>
      <c r="DY44">
        <v>0</v>
      </c>
      <c r="DZ44" s="57">
        <v>0</v>
      </c>
      <c r="EA44">
        <v>0</v>
      </c>
      <c r="EB44" s="57">
        <v>0</v>
      </c>
      <c r="EC44">
        <v>0</v>
      </c>
      <c r="ED44" s="57">
        <v>0</v>
      </c>
      <c r="EE44">
        <v>0</v>
      </c>
      <c r="EF44" s="57">
        <v>0</v>
      </c>
      <c r="EG44" s="57">
        <v>0</v>
      </c>
      <c r="EH44" s="57">
        <v>0</v>
      </c>
      <c r="EI44">
        <v>0</v>
      </c>
      <c r="EJ44" s="57">
        <v>0</v>
      </c>
      <c r="EK44">
        <v>0</v>
      </c>
      <c r="EL44" s="57">
        <v>0</v>
      </c>
      <c r="EM44">
        <v>0</v>
      </c>
      <c r="EN44" s="57">
        <v>0</v>
      </c>
      <c r="EO44">
        <v>0</v>
      </c>
      <c r="EP44" s="57">
        <v>0</v>
      </c>
      <c r="EQ44" s="57">
        <v>0</v>
      </c>
      <c r="ER44" s="57">
        <v>0</v>
      </c>
      <c r="ES44">
        <v>0</v>
      </c>
      <c r="ET44" s="57">
        <v>0</v>
      </c>
      <c r="EU44">
        <v>0</v>
      </c>
      <c r="EV44" s="57">
        <v>0</v>
      </c>
      <c r="EW44">
        <v>0</v>
      </c>
      <c r="EX44" s="57">
        <v>0</v>
      </c>
      <c r="EY44">
        <v>0</v>
      </c>
      <c r="EZ44" s="57">
        <v>0</v>
      </c>
      <c r="FA44" s="57">
        <v>0</v>
      </c>
      <c r="FB44" s="57">
        <v>0</v>
      </c>
      <c r="FC44">
        <v>0</v>
      </c>
      <c r="FD44" s="57">
        <v>0</v>
      </c>
      <c r="FE44">
        <v>0</v>
      </c>
      <c r="FF44" s="57">
        <v>0</v>
      </c>
      <c r="FG44">
        <v>0</v>
      </c>
      <c r="FH44" s="57">
        <v>0</v>
      </c>
      <c r="FI44">
        <v>0</v>
      </c>
      <c r="FJ44" s="57">
        <v>0</v>
      </c>
      <c r="FK44" s="57">
        <v>0</v>
      </c>
      <c r="FL44" s="57">
        <v>0</v>
      </c>
      <c r="FM44">
        <v>0</v>
      </c>
      <c r="FN44" s="57">
        <v>0</v>
      </c>
      <c r="FO44">
        <v>0</v>
      </c>
      <c r="FP44" s="57">
        <v>0</v>
      </c>
      <c r="FQ44">
        <v>0</v>
      </c>
      <c r="FR44" s="57">
        <v>0</v>
      </c>
      <c r="FS44">
        <v>0</v>
      </c>
    </row>
    <row r="45" spans="1:175" x14ac:dyDescent="0.3">
      <c r="A45" s="109"/>
      <c r="B45" s="3" t="s">
        <v>29</v>
      </c>
      <c r="C45" s="4" t="s">
        <v>31</v>
      </c>
      <c r="D45" s="2" t="s">
        <v>37</v>
      </c>
      <c r="E45" s="9">
        <f t="shared" si="5"/>
        <v>37</v>
      </c>
      <c r="F45" s="13">
        <v>1</v>
      </c>
      <c r="G45" s="13" t="s">
        <v>20</v>
      </c>
      <c r="H45" s="10">
        <v>0</v>
      </c>
      <c r="I45" t="s">
        <v>12</v>
      </c>
      <c r="J45">
        <v>0</v>
      </c>
      <c r="K45">
        <v>1</v>
      </c>
      <c r="L45">
        <v>0</v>
      </c>
      <c r="M45">
        <v>0</v>
      </c>
      <c r="N45">
        <v>0</v>
      </c>
      <c r="O45">
        <f>O55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10">
        <v>0</v>
      </c>
      <c r="DM45" s="10">
        <v>0</v>
      </c>
      <c r="DN45" s="10">
        <v>0</v>
      </c>
      <c r="DO45">
        <v>0</v>
      </c>
      <c r="DP45" s="10">
        <v>0</v>
      </c>
      <c r="DQ45">
        <v>0</v>
      </c>
      <c r="DR45" s="10">
        <v>0</v>
      </c>
      <c r="DS45">
        <v>0</v>
      </c>
      <c r="DT45" s="10">
        <v>0</v>
      </c>
      <c r="DU45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>$EG45*B$3</f>
        <v>0</v>
      </c>
      <c r="EK45">
        <v>0</v>
      </c>
      <c r="EL45">
        <f t="shared" ref="EL45:EL51" si="112">$EG45*C$3</f>
        <v>0</v>
      </c>
      <c r="EM45">
        <v>0</v>
      </c>
      <c r="EN45">
        <f t="shared" ref="EN45:EN51" si="113">$EG45*D$3</f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ref="ET45:ET51" si="114">$EQ45*B$3</f>
        <v>0</v>
      </c>
      <c r="EU45">
        <v>0</v>
      </c>
      <c r="EV45">
        <f t="shared" ref="EV45:EV51" si="115">$EQ45*C$3</f>
        <v>0</v>
      </c>
      <c r="EW45">
        <v>0</v>
      </c>
      <c r="EX45">
        <f t="shared" ref="EX45:EX51" si="116">$EQ45*D$3</f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09"/>
      <c r="B46" s="3" t="s">
        <v>30</v>
      </c>
      <c r="C46" s="4" t="s">
        <v>32</v>
      </c>
      <c r="D46" s="2" t="s">
        <v>38</v>
      </c>
      <c r="E46" s="9">
        <f t="shared" si="5"/>
        <v>38</v>
      </c>
      <c r="F46" s="13">
        <v>1</v>
      </c>
      <c r="G46" s="13" t="s">
        <v>21</v>
      </c>
      <c r="H46" s="10">
        <v>0</v>
      </c>
      <c r="I46" t="s">
        <v>12</v>
      </c>
      <c r="J46" s="10">
        <v>0</v>
      </c>
      <c r="K46">
        <v>-1</v>
      </c>
      <c r="L46">
        <v>0</v>
      </c>
      <c r="M46" s="10">
        <v>0</v>
      </c>
      <c r="N46">
        <v>0</v>
      </c>
      <c r="O46">
        <f>O55</f>
        <v>2000000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>
        <v>0</v>
      </c>
      <c r="CL46" s="10">
        <v>0</v>
      </c>
      <c r="CM46">
        <v>0</v>
      </c>
      <c r="CN46" s="10">
        <v>0</v>
      </c>
      <c r="CO46">
        <v>0</v>
      </c>
      <c r="CP46" s="10">
        <v>0</v>
      </c>
      <c r="CQ46">
        <v>0</v>
      </c>
      <c r="CR46" s="10">
        <v>0</v>
      </c>
      <c r="CS46" s="10">
        <v>0</v>
      </c>
      <c r="CT46" s="10">
        <v>0</v>
      </c>
      <c r="CU46">
        <v>0</v>
      </c>
      <c r="CV46" s="10">
        <v>0</v>
      </c>
      <c r="CW46">
        <v>0</v>
      </c>
      <c r="CX46" s="10">
        <v>0</v>
      </c>
      <c r="CY46">
        <v>0</v>
      </c>
      <c r="CZ46" s="10">
        <v>0</v>
      </c>
      <c r="DA46">
        <v>0</v>
      </c>
      <c r="DB46" s="10">
        <v>0</v>
      </c>
      <c r="DC46" s="10">
        <v>0</v>
      </c>
      <c r="DD46" s="10">
        <v>0</v>
      </c>
      <c r="DE46">
        <v>0</v>
      </c>
      <c r="DF46" s="10">
        <v>0</v>
      </c>
      <c r="DG46">
        <v>0</v>
      </c>
      <c r="DH46" s="10">
        <v>0</v>
      </c>
      <c r="DI46">
        <v>0</v>
      </c>
      <c r="DJ46" s="10">
        <v>0</v>
      </c>
      <c r="DK46">
        <v>0</v>
      </c>
      <c r="DL46" s="28">
        <v>0</v>
      </c>
      <c r="DM46" s="28">
        <v>0.02</v>
      </c>
      <c r="DN46" s="10">
        <v>3.3500000000000002E-2</v>
      </c>
      <c r="DO46" s="28">
        <v>0</v>
      </c>
      <c r="DP46" s="28">
        <v>0.02</v>
      </c>
      <c r="DQ46" s="10">
        <v>3.3500000000000002E-2</v>
      </c>
      <c r="DR46" s="10">
        <v>0.02</v>
      </c>
      <c r="DS46" s="28">
        <v>0</v>
      </c>
      <c r="DT46" s="28">
        <v>0.02</v>
      </c>
      <c r="DU46" s="10">
        <v>3.3500000000000002E-2</v>
      </c>
      <c r="DV46" s="10">
        <v>0</v>
      </c>
      <c r="DW46" s="10">
        <v>0</v>
      </c>
      <c r="DX46" s="10">
        <v>0</v>
      </c>
      <c r="DY46">
        <v>0</v>
      </c>
      <c r="DZ46" s="10">
        <v>0</v>
      </c>
      <c r="EA46">
        <v>0</v>
      </c>
      <c r="EB46" s="10">
        <v>0</v>
      </c>
      <c r="EC46">
        <v>0</v>
      </c>
      <c r="ED46" s="10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ref="EJ46:EJ51" si="117">$EG46*B$3</f>
        <v>0</v>
      </c>
      <c r="EK46">
        <v>0</v>
      </c>
      <c r="EL46">
        <f t="shared" si="112"/>
        <v>0</v>
      </c>
      <c r="EM46">
        <v>0</v>
      </c>
      <c r="EN46">
        <f t="shared" si="113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4"/>
        <v>0</v>
      </c>
      <c r="EU46">
        <v>0</v>
      </c>
      <c r="EV46">
        <f t="shared" si="115"/>
        <v>0</v>
      </c>
      <c r="EW46">
        <v>0</v>
      </c>
      <c r="EX46">
        <f t="shared" si="116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 s="10">
        <v>0</v>
      </c>
      <c r="FK46" s="10">
        <v>0</v>
      </c>
      <c r="FL46" s="10">
        <v>0</v>
      </c>
      <c r="FM46">
        <v>0</v>
      </c>
      <c r="FN46" s="10">
        <v>0</v>
      </c>
      <c r="FO46">
        <v>0</v>
      </c>
      <c r="FP46" s="10">
        <v>0</v>
      </c>
      <c r="FQ46">
        <v>0</v>
      </c>
      <c r="FR46" s="10">
        <v>0</v>
      </c>
      <c r="FS46">
        <v>0</v>
      </c>
    </row>
    <row r="47" spans="1:175" x14ac:dyDescent="0.3">
      <c r="A47" s="109"/>
      <c r="B47" t="s">
        <v>277</v>
      </c>
      <c r="C47" s="4" t="s">
        <v>438</v>
      </c>
      <c r="D47" s="2" t="s">
        <v>426</v>
      </c>
      <c r="E47" s="9">
        <f t="shared" si="5"/>
        <v>39</v>
      </c>
      <c r="F47" s="13">
        <v>1</v>
      </c>
      <c r="G47" s="13" t="s">
        <v>427</v>
      </c>
      <c r="H47" s="10">
        <v>0</v>
      </c>
      <c r="I47" t="s">
        <v>12</v>
      </c>
      <c r="J47" s="10">
        <v>0</v>
      </c>
      <c r="K47" s="10">
        <v>0</v>
      </c>
      <c r="L47" s="10">
        <v>-1</v>
      </c>
      <c r="M47" s="10">
        <v>0</v>
      </c>
      <c r="N47" s="10">
        <v>0</v>
      </c>
      <c r="O47">
        <f>O56</f>
        <v>2000000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1</v>
      </c>
      <c r="AR47" s="10">
        <v>1</v>
      </c>
      <c r="AS47" s="10">
        <v>1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>
        <v>0</v>
      </c>
      <c r="CL47" s="10">
        <v>0</v>
      </c>
      <c r="CM47">
        <v>0</v>
      </c>
      <c r="CN47" s="10">
        <v>0</v>
      </c>
      <c r="CO47">
        <v>0</v>
      </c>
      <c r="CP47" s="10">
        <v>0</v>
      </c>
      <c r="CQ47">
        <v>0</v>
      </c>
      <c r="CR47" s="10">
        <v>0</v>
      </c>
      <c r="CS47" s="10">
        <v>0</v>
      </c>
      <c r="CT47" s="10">
        <v>0</v>
      </c>
      <c r="CU47">
        <v>0</v>
      </c>
      <c r="CV47" s="10">
        <v>0</v>
      </c>
      <c r="CW47">
        <v>0</v>
      </c>
      <c r="CX47" s="10">
        <v>0</v>
      </c>
      <c r="CY47">
        <v>0</v>
      </c>
      <c r="CZ47" s="10">
        <v>0</v>
      </c>
      <c r="DA47">
        <v>0</v>
      </c>
      <c r="DB47" s="10">
        <v>0</v>
      </c>
      <c r="DC47" s="10">
        <v>0</v>
      </c>
      <c r="DD47" s="10">
        <v>0</v>
      </c>
      <c r="DE47">
        <v>0</v>
      </c>
      <c r="DF47" s="10">
        <v>0</v>
      </c>
      <c r="DG47">
        <v>0</v>
      </c>
      <c r="DH47" s="10">
        <v>0</v>
      </c>
      <c r="DI47">
        <v>0</v>
      </c>
      <c r="DJ47" s="10">
        <v>0</v>
      </c>
      <c r="DK47">
        <v>0</v>
      </c>
      <c r="DL47" s="28">
        <v>0.02</v>
      </c>
      <c r="DM47" s="28">
        <v>3.3500000000000002E-2</v>
      </c>
      <c r="DN47" s="28">
        <v>6.7000000000000004E-2</v>
      </c>
      <c r="DO47" s="28">
        <v>0.02</v>
      </c>
      <c r="DP47" s="28">
        <v>3.3500000000000002E-2</v>
      </c>
      <c r="DQ47" s="28">
        <v>6.7000000000000004E-2</v>
      </c>
      <c r="DR47" s="28">
        <v>3.3500000000000002E-2</v>
      </c>
      <c r="DS47" s="28">
        <v>0.02</v>
      </c>
      <c r="DT47" s="28">
        <v>3.3500000000000002E-2</v>
      </c>
      <c r="DU47" s="28">
        <v>6.7000000000000004E-2</v>
      </c>
      <c r="DV47" s="10">
        <v>0</v>
      </c>
      <c r="DW47" s="10">
        <v>0</v>
      </c>
      <c r="DX47" s="10">
        <v>0</v>
      </c>
      <c r="DY47">
        <v>0</v>
      </c>
      <c r="DZ47" s="10">
        <v>0</v>
      </c>
      <c r="EA47">
        <v>0</v>
      </c>
      <c r="EB47" s="10">
        <v>0</v>
      </c>
      <c r="EC47">
        <v>0</v>
      </c>
      <c r="ED47" s="10">
        <v>0</v>
      </c>
      <c r="EE47">
        <v>0</v>
      </c>
      <c r="EF47" s="10">
        <v>0</v>
      </c>
      <c r="EG47" s="10">
        <v>0</v>
      </c>
      <c r="EH47" s="10">
        <v>0</v>
      </c>
      <c r="EI47">
        <v>0</v>
      </c>
      <c r="EJ47">
        <f t="shared" si="117"/>
        <v>0</v>
      </c>
      <c r="EK47">
        <v>1</v>
      </c>
      <c r="EL47">
        <f t="shared" si="112"/>
        <v>0</v>
      </c>
      <c r="EM47">
        <v>1</v>
      </c>
      <c r="EN47">
        <f t="shared" si="113"/>
        <v>0</v>
      </c>
      <c r="EO47">
        <v>0</v>
      </c>
      <c r="EP47" s="10">
        <v>0</v>
      </c>
      <c r="EQ47" s="10">
        <v>0</v>
      </c>
      <c r="ER47" s="10">
        <v>0</v>
      </c>
      <c r="ES47">
        <v>0</v>
      </c>
      <c r="ET47">
        <f t="shared" si="114"/>
        <v>0</v>
      </c>
      <c r="EU47">
        <v>1</v>
      </c>
      <c r="EV47">
        <f t="shared" si="115"/>
        <v>0</v>
      </c>
      <c r="EW47">
        <v>1</v>
      </c>
      <c r="EX47">
        <f t="shared" si="116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 s="10">
        <v>0</v>
      </c>
      <c r="FK47" s="10">
        <v>0</v>
      </c>
      <c r="FL47" s="10">
        <v>0</v>
      </c>
      <c r="FM47">
        <v>0</v>
      </c>
      <c r="FN47" s="10">
        <v>0</v>
      </c>
      <c r="FO47">
        <v>0</v>
      </c>
      <c r="FP47" s="10">
        <v>0</v>
      </c>
      <c r="FQ47">
        <v>0</v>
      </c>
      <c r="FR47" s="10">
        <v>0</v>
      </c>
      <c r="FS47">
        <v>0</v>
      </c>
    </row>
    <row r="48" spans="1:175" x14ac:dyDescent="0.3">
      <c r="A48" s="109"/>
      <c r="B48" s="3" t="s">
        <v>135</v>
      </c>
      <c r="C48" s="4" t="s">
        <v>130</v>
      </c>
      <c r="D48" s="2" t="s">
        <v>39</v>
      </c>
      <c r="E48" s="9">
        <f t="shared" si="5"/>
        <v>40</v>
      </c>
      <c r="F48" s="13">
        <v>1</v>
      </c>
      <c r="G48" s="13" t="s">
        <v>14</v>
      </c>
      <c r="H48">
        <v>0</v>
      </c>
      <c r="I48" s="24" t="str">
        <f>B33</f>
        <v>Product/Reactant3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f>9*O33</f>
        <v>180000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2.7E-2</v>
      </c>
      <c r="DM48">
        <v>0.05</v>
      </c>
      <c r="DN48">
        <v>0.15</v>
      </c>
      <c r="DO48">
        <v>2.7E-2</v>
      </c>
      <c r="DP48">
        <v>0.05</v>
      </c>
      <c r="DQ48">
        <v>0.15</v>
      </c>
      <c r="DR48">
        <v>0.05</v>
      </c>
      <c r="DS48">
        <v>2.7E-2</v>
      </c>
      <c r="DT48">
        <v>0.05</v>
      </c>
      <c r="DU48">
        <v>0.15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s="10">
        <v>0</v>
      </c>
      <c r="EG48" s="10">
        <v>0</v>
      </c>
      <c r="EH48" s="10">
        <v>0</v>
      </c>
      <c r="EI48">
        <v>0</v>
      </c>
      <c r="EJ48">
        <f t="shared" si="117"/>
        <v>0</v>
      </c>
      <c r="EK48">
        <v>0</v>
      </c>
      <c r="EL48">
        <f t="shared" si="112"/>
        <v>0</v>
      </c>
      <c r="EM48">
        <v>0</v>
      </c>
      <c r="EN48">
        <f t="shared" si="113"/>
        <v>0</v>
      </c>
      <c r="EO48">
        <v>0</v>
      </c>
      <c r="EP48" s="10">
        <v>0</v>
      </c>
      <c r="EQ48" s="10">
        <v>0</v>
      </c>
      <c r="ER48" s="10">
        <v>0</v>
      </c>
      <c r="ES48">
        <v>0</v>
      </c>
      <c r="ET48">
        <f t="shared" si="114"/>
        <v>0</v>
      </c>
      <c r="EU48">
        <v>0</v>
      </c>
      <c r="EV48">
        <f t="shared" si="115"/>
        <v>0</v>
      </c>
      <c r="EW48">
        <v>0</v>
      </c>
      <c r="EX48">
        <f t="shared" si="116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09"/>
      <c r="B49" s="3" t="s">
        <v>15</v>
      </c>
      <c r="C49" s="11" t="s">
        <v>277</v>
      </c>
      <c r="D49" s="2" t="s">
        <v>40</v>
      </c>
      <c r="E49" s="9">
        <f t="shared" si="5"/>
        <v>41</v>
      </c>
      <c r="F49" s="13">
        <v>1</v>
      </c>
      <c r="G49" s="13" t="s">
        <v>22</v>
      </c>
      <c r="H49">
        <v>0</v>
      </c>
      <c r="I49" t="s">
        <v>12</v>
      </c>
      <c r="J49">
        <v>0</v>
      </c>
      <c r="K49">
        <v>0</v>
      </c>
      <c r="L49" s="10">
        <v>0</v>
      </c>
      <c r="M49" s="10">
        <v>-1</v>
      </c>
      <c r="N49">
        <v>0</v>
      </c>
      <c r="O49">
        <v>20000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4</v>
      </c>
      <c r="BY49">
        <v>3.5</v>
      </c>
      <c r="BZ49">
        <v>3.5</v>
      </c>
      <c r="CA49">
        <v>3.5</v>
      </c>
      <c r="CB49">
        <v>3.5</v>
      </c>
      <c r="CC49">
        <v>3.5</v>
      </c>
      <c r="CD49">
        <v>3.5</v>
      </c>
      <c r="CE49">
        <v>3.5</v>
      </c>
      <c r="CF49">
        <v>3.5</v>
      </c>
      <c r="CG49">
        <v>3.5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f t="shared" si="117"/>
        <v>0</v>
      </c>
      <c r="EK49">
        <v>0</v>
      </c>
      <c r="EL49">
        <f t="shared" si="112"/>
        <v>0</v>
      </c>
      <c r="EM49">
        <v>0</v>
      </c>
      <c r="EN49">
        <f t="shared" si="113"/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4"/>
        <v>0</v>
      </c>
      <c r="EU49">
        <v>0</v>
      </c>
      <c r="EV49">
        <f t="shared" si="115"/>
        <v>0</v>
      </c>
      <c r="EW49">
        <v>0</v>
      </c>
      <c r="EX49">
        <f t="shared" si="116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09"/>
      <c r="B50" s="3" t="s">
        <v>16</v>
      </c>
      <c r="C50" s="11" t="s">
        <v>277</v>
      </c>
      <c r="D50" s="2" t="s">
        <v>41</v>
      </c>
      <c r="E50" s="9">
        <f t="shared" si="5"/>
        <v>42</v>
      </c>
      <c r="F50" s="13">
        <v>1</v>
      </c>
      <c r="G50" s="13" t="s">
        <v>23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1</v>
      </c>
      <c r="N50">
        <v>0</v>
      </c>
      <c r="O50">
        <f>O49</f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f t="shared" si="117"/>
        <v>0</v>
      </c>
      <c r="EK50">
        <v>0</v>
      </c>
      <c r="EL50">
        <f t="shared" si="112"/>
        <v>0</v>
      </c>
      <c r="EM50">
        <v>0</v>
      </c>
      <c r="EN50">
        <f t="shared" si="113"/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14"/>
        <v>0</v>
      </c>
      <c r="EU50">
        <v>0</v>
      </c>
      <c r="EV50">
        <f t="shared" si="115"/>
        <v>0</v>
      </c>
      <c r="EW50">
        <v>0</v>
      </c>
      <c r="EX50">
        <f t="shared" si="116"/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9"/>
      <c r="B51" s="3" t="s">
        <v>17</v>
      </c>
      <c r="C51" s="11" t="s">
        <v>277</v>
      </c>
      <c r="D51" s="6" t="s">
        <v>42</v>
      </c>
      <c r="E51" s="9">
        <f t="shared" si="5"/>
        <v>43</v>
      </c>
      <c r="F51" s="13">
        <v>1</v>
      </c>
      <c r="G51" s="13" t="s">
        <v>157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20000000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0.03</v>
      </c>
      <c r="AU51" s="14">
        <v>0.03</v>
      </c>
      <c r="AV51" s="14">
        <v>0.03</v>
      </c>
      <c r="AW51" s="14">
        <v>0.03</v>
      </c>
      <c r="AX51" s="14">
        <v>0.03</v>
      </c>
      <c r="AY51" s="14">
        <v>0.03</v>
      </c>
      <c r="AZ51" s="14">
        <v>0.03</v>
      </c>
      <c r="BA51" s="14">
        <v>0.03</v>
      </c>
      <c r="BB51" s="14">
        <v>0.03</v>
      </c>
      <c r="BC51" s="14">
        <v>0.03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1000</v>
      </c>
      <c r="CI51">
        <v>900</v>
      </c>
      <c r="CJ51">
        <v>900</v>
      </c>
      <c r="CK51">
        <v>800</v>
      </c>
      <c r="CL51">
        <v>800</v>
      </c>
      <c r="CM51">
        <v>800</v>
      </c>
      <c r="CN51">
        <f>(CP51+CL51)/2</f>
        <v>650</v>
      </c>
      <c r="CO51">
        <v>500</v>
      </c>
      <c r="CP51">
        <v>500</v>
      </c>
      <c r="CQ51">
        <v>500</v>
      </c>
      <c r="CR51">
        <f>CH51*0.04</f>
        <v>40</v>
      </c>
      <c r="CS51">
        <f>CI51*0.03</f>
        <v>27</v>
      </c>
      <c r="CT51">
        <f>CJ51*0.03</f>
        <v>27</v>
      </c>
      <c r="CU51">
        <v>0</v>
      </c>
      <c r="CV51">
        <f>CL51*0.03</f>
        <v>24</v>
      </c>
      <c r="CW51">
        <v>0</v>
      </c>
      <c r="CX51">
        <f>CN51*0.03</f>
        <v>19.5</v>
      </c>
      <c r="CY51">
        <v>0</v>
      </c>
      <c r="CZ51">
        <f t="shared" ref="CZ51" si="118">CP51*0.03</f>
        <v>15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6.2260740740740748E-3</v>
      </c>
      <c r="EG51">
        <v>6.2260740740740748E-3</v>
      </c>
      <c r="EH51">
        <v>6.2260740740740748E-3</v>
      </c>
      <c r="EI51">
        <v>0</v>
      </c>
      <c r="EJ51">
        <f t="shared" si="117"/>
        <v>6.2260740740740748E-3</v>
      </c>
      <c r="EK51">
        <v>0</v>
      </c>
      <c r="EL51">
        <f t="shared" si="112"/>
        <v>6.2260740740740748E-3</v>
      </c>
      <c r="EM51">
        <v>0</v>
      </c>
      <c r="EN51">
        <f t="shared" si="113"/>
        <v>6.2260740740740748E-3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14"/>
        <v>0</v>
      </c>
      <c r="EU51">
        <v>0</v>
      </c>
      <c r="EV51">
        <f t="shared" si="115"/>
        <v>0</v>
      </c>
      <c r="EW51">
        <v>0</v>
      </c>
      <c r="EX51">
        <f t="shared" si="116"/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0.14902948869707539</v>
      </c>
      <c r="FK51">
        <v>0.14902948869707539</v>
      </c>
      <c r="FL51">
        <v>0.14902948869707539</v>
      </c>
      <c r="FM51">
        <v>0.14902948869707539</v>
      </c>
      <c r="FN51">
        <v>0.14902948869707539</v>
      </c>
      <c r="FO51">
        <v>0.14902948869707539</v>
      </c>
      <c r="FP51">
        <v>0.14902948869707539</v>
      </c>
      <c r="FQ51">
        <v>0.14902948869707539</v>
      </c>
      <c r="FR51">
        <v>0.14902948869707539</v>
      </c>
      <c r="FS51">
        <v>0.14902948869707539</v>
      </c>
    </row>
    <row r="52" spans="1:175" x14ac:dyDescent="0.3">
      <c r="A52" s="109"/>
      <c r="B52" s="3" t="s">
        <v>15</v>
      </c>
      <c r="C52" s="11" t="s">
        <v>277</v>
      </c>
      <c r="D52" s="6" t="s">
        <v>158</v>
      </c>
      <c r="E52" s="9">
        <f t="shared" si="5"/>
        <v>44</v>
      </c>
      <c r="F52" s="13">
        <v>1</v>
      </c>
      <c r="G52" s="13" t="s">
        <v>159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-1</v>
      </c>
      <c r="N52">
        <v>0</v>
      </c>
      <c r="O52">
        <v>20000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0.94</v>
      </c>
      <c r="BY52">
        <v>0.94</v>
      </c>
      <c r="BZ52">
        <v>0.94</v>
      </c>
      <c r="CA52">
        <v>0.94</v>
      </c>
      <c r="CB52">
        <v>0.94</v>
      </c>
      <c r="CC52">
        <v>0.94</v>
      </c>
      <c r="CD52">
        <v>0.94</v>
      </c>
      <c r="CE52">
        <v>0.94</v>
      </c>
      <c r="CF52">
        <v>0.94</v>
      </c>
      <c r="CG52">
        <v>0.94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9.3678779051968114E-2</v>
      </c>
      <c r="FK52">
        <v>9.3678779051968114E-2</v>
      </c>
      <c r="FL52">
        <v>9.3678779051968114E-2</v>
      </c>
      <c r="FM52">
        <v>9.3678779051968114E-2</v>
      </c>
      <c r="FN52">
        <v>9.3678779051968114E-2</v>
      </c>
      <c r="FO52">
        <v>9.3678779051968114E-2</v>
      </c>
      <c r="FP52">
        <v>9.3678779051968114E-2</v>
      </c>
      <c r="FQ52">
        <v>9.3678779051968114E-2</v>
      </c>
      <c r="FR52">
        <v>9.3678779051968114E-2</v>
      </c>
      <c r="FS52">
        <v>9.3678779051968114E-2</v>
      </c>
    </row>
    <row r="53" spans="1:175" x14ac:dyDescent="0.3">
      <c r="A53" s="109"/>
      <c r="B53" s="3" t="s">
        <v>16</v>
      </c>
      <c r="C53" s="11" t="s">
        <v>277</v>
      </c>
      <c r="D53" s="6" t="s">
        <v>160</v>
      </c>
      <c r="E53" s="9">
        <f t="shared" si="5"/>
        <v>45</v>
      </c>
      <c r="F53" s="13">
        <v>1</v>
      </c>
      <c r="G53" s="13" t="s">
        <v>161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1</v>
      </c>
      <c r="N53">
        <v>0</v>
      </c>
      <c r="O53">
        <f>O49</f>
        <v>20000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09"/>
      <c r="B54" s="3" t="s">
        <v>17</v>
      </c>
      <c r="C54" s="11" t="s">
        <v>277</v>
      </c>
      <c r="D54" s="6" t="s">
        <v>162</v>
      </c>
      <c r="E54" s="9">
        <f t="shared" si="5"/>
        <v>46</v>
      </c>
      <c r="F54" s="13">
        <v>1</v>
      </c>
      <c r="G54" s="13" t="s">
        <v>163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20000000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0.09</v>
      </c>
      <c r="AU54" s="14">
        <v>0.09</v>
      </c>
      <c r="AV54" s="14">
        <v>0.09</v>
      </c>
      <c r="AW54" s="14">
        <v>0.09</v>
      </c>
      <c r="AX54" s="14">
        <v>0.09</v>
      </c>
      <c r="AY54" s="14">
        <v>0.09</v>
      </c>
      <c r="AZ54" s="14">
        <v>0.09</v>
      </c>
      <c r="BA54" s="14">
        <v>0.09</v>
      </c>
      <c r="BB54" s="14">
        <v>0.09</v>
      </c>
      <c r="BC54" s="14">
        <v>0.09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460.75542459148141</v>
      </c>
      <c r="CI54">
        <v>250</v>
      </c>
      <c r="CJ54">
        <v>250</v>
      </c>
      <c r="CK54">
        <v>250</v>
      </c>
      <c r="CL54">
        <v>250</v>
      </c>
      <c r="CM54">
        <v>250</v>
      </c>
      <c r="CN54">
        <v>250</v>
      </c>
      <c r="CO54">
        <v>250</v>
      </c>
      <c r="CP54">
        <v>250</v>
      </c>
      <c r="CQ54">
        <v>250</v>
      </c>
      <c r="CR54">
        <f>0.04*CH54</f>
        <v>18.430216983659257</v>
      </c>
      <c r="CS54">
        <f>0.03*CI54</f>
        <v>7.5</v>
      </c>
      <c r="CT54">
        <f>0.03*CJ54</f>
        <v>7.5</v>
      </c>
      <c r="CU54">
        <f t="shared" ref="CU54:DA54" si="119">0.03*CK54</f>
        <v>7.5</v>
      </c>
      <c r="CV54">
        <f t="shared" si="119"/>
        <v>7.5</v>
      </c>
      <c r="CW54">
        <f t="shared" si="119"/>
        <v>7.5</v>
      </c>
      <c r="CX54">
        <f t="shared" si="119"/>
        <v>7.5</v>
      </c>
      <c r="CY54">
        <f t="shared" si="119"/>
        <v>7.5</v>
      </c>
      <c r="CZ54">
        <f t="shared" si="119"/>
        <v>7.5</v>
      </c>
      <c r="DA54">
        <f t="shared" si="119"/>
        <v>7.5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6.2260740740740748E-3</v>
      </c>
      <c r="EG54">
        <v>6.2260740740740748E-3</v>
      </c>
      <c r="EH54">
        <v>6.2260740740740748E-3</v>
      </c>
      <c r="EI54">
        <v>0</v>
      </c>
      <c r="EJ54">
        <f t="shared" ref="EJ54:EJ68" si="120">$EG54*B$3</f>
        <v>6.2260740740740748E-3</v>
      </c>
      <c r="EK54">
        <v>0</v>
      </c>
      <c r="EL54">
        <f t="shared" ref="EL54:EL68" si="121">$EG54*C$3</f>
        <v>6.2260740740740748E-3</v>
      </c>
      <c r="EM54">
        <v>0</v>
      </c>
      <c r="EN54">
        <f t="shared" ref="EN54:EN68" si="122">$EG54*D$3</f>
        <v>6.2260740740740748E-3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51">
        <v>1</v>
      </c>
      <c r="FA54" s="51">
        <v>1</v>
      </c>
      <c r="FB54" s="51">
        <v>1</v>
      </c>
      <c r="FC54">
        <v>0</v>
      </c>
      <c r="FD54" s="51">
        <v>1</v>
      </c>
      <c r="FE54">
        <v>0</v>
      </c>
      <c r="FF54" s="51">
        <v>1</v>
      </c>
      <c r="FG54">
        <v>0</v>
      </c>
      <c r="FH54" s="51">
        <v>1</v>
      </c>
      <c r="FI54">
        <v>0</v>
      </c>
      <c r="FJ54">
        <v>8.174285816161557E-2</v>
      </c>
      <c r="FK54">
        <v>8.174285816161557E-2</v>
      </c>
      <c r="FL54">
        <v>8.174285816161557E-2</v>
      </c>
      <c r="FM54">
        <v>8.174285816161557E-2</v>
      </c>
      <c r="FN54">
        <v>8.174285816161557E-2</v>
      </c>
      <c r="FO54">
        <v>8.174285816161557E-2</v>
      </c>
      <c r="FP54">
        <v>8.174285816161557E-2</v>
      </c>
      <c r="FQ54">
        <v>8.174285816161557E-2</v>
      </c>
      <c r="FR54">
        <v>8.174285816161557E-2</v>
      </c>
      <c r="FS54">
        <v>8.174285816161557E-2</v>
      </c>
    </row>
    <row r="55" spans="1:175" ht="14.55" customHeight="1" x14ac:dyDescent="0.3">
      <c r="A55" s="109" t="s">
        <v>18</v>
      </c>
      <c r="B55" s="12" t="s">
        <v>52</v>
      </c>
      <c r="C55" s="11" t="s">
        <v>277</v>
      </c>
      <c r="D55" s="6" t="s">
        <v>47</v>
      </c>
      <c r="E55" s="9">
        <f t="shared" si="5"/>
        <v>47</v>
      </c>
      <c r="F55" s="13">
        <v>1</v>
      </c>
      <c r="G55" s="13" t="s">
        <v>48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552.67870000000005</v>
      </c>
      <c r="CI55">
        <v>552.67870000000005</v>
      </c>
      <c r="CJ55">
        <v>552.67870000000005</v>
      </c>
      <c r="CK55">
        <v>396.26020000000005</v>
      </c>
      <c r="CL55">
        <v>396.26020000000005</v>
      </c>
      <c r="CM55">
        <v>396.26020000000005</v>
      </c>
      <c r="CN55">
        <v>344.12070000000006</v>
      </c>
      <c r="CO55">
        <v>312.83700000000005</v>
      </c>
      <c r="CP55">
        <v>312.83700000000005</v>
      </c>
      <c r="CQ55">
        <v>312.83700000000005</v>
      </c>
      <c r="CR55">
        <v>9.1244125000000018</v>
      </c>
      <c r="CS55">
        <v>9.1244125000000018</v>
      </c>
      <c r="CT55">
        <v>9.1244125000000018</v>
      </c>
      <c r="CU55">
        <v>7.5602274999999999</v>
      </c>
      <c r="CV55">
        <v>7.5602275000000008</v>
      </c>
      <c r="CW55">
        <v>7.5602275000000008</v>
      </c>
      <c r="CX55">
        <v>6.9084837500000003</v>
      </c>
      <c r="CY55">
        <v>6.5174375000000007</v>
      </c>
      <c r="CZ55">
        <v>6.5174375000000007</v>
      </c>
      <c r="DA55">
        <v>6.5174374999999998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90.584795321637415</v>
      </c>
      <c r="EG55">
        <v>90.584795321637415</v>
      </c>
      <c r="EH55">
        <v>90.584795321637415</v>
      </c>
      <c r="EI55">
        <v>0</v>
      </c>
      <c r="EJ55">
        <f t="shared" si="120"/>
        <v>90.584795321637415</v>
      </c>
      <c r="EK55">
        <v>0</v>
      </c>
      <c r="EL55">
        <f t="shared" si="121"/>
        <v>90.584795321637415</v>
      </c>
      <c r="EM55">
        <v>0</v>
      </c>
      <c r="EN55">
        <f t="shared" si="122"/>
        <v>90.584795321637415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ref="ET55:ET68" si="123">$EQ55*B$3</f>
        <v>0</v>
      </c>
      <c r="EU55">
        <v>0</v>
      </c>
      <c r="EV55">
        <f t="shared" ref="EV55:EV68" si="124">$EQ55*C$3</f>
        <v>0</v>
      </c>
      <c r="EW55">
        <v>0</v>
      </c>
      <c r="EX55">
        <f t="shared" ref="EX55:EX68" si="125">$EQ55*D$3</f>
        <v>0</v>
      </c>
      <c r="EY55">
        <v>0</v>
      </c>
      <c r="EZ55">
        <v>13.75</v>
      </c>
      <c r="FA55">
        <v>13.75</v>
      </c>
      <c r="FB55">
        <v>13.75</v>
      </c>
      <c r="FC55">
        <v>0</v>
      </c>
      <c r="FD55">
        <v>12.26</v>
      </c>
      <c r="FE55">
        <v>0</v>
      </c>
      <c r="FF55">
        <v>11.51</v>
      </c>
      <c r="FG55">
        <v>0</v>
      </c>
      <c r="FH55">
        <v>10.84</v>
      </c>
      <c r="FI55">
        <v>0</v>
      </c>
      <c r="FJ55">
        <v>8.5803264560679798E-2</v>
      </c>
      <c r="FK55">
        <v>8.5803264560679798E-2</v>
      </c>
      <c r="FL55">
        <v>8.5803264560679798E-2</v>
      </c>
      <c r="FM55">
        <v>8.3860161500585326E-2</v>
      </c>
      <c r="FN55">
        <v>8.3860161500585326E-2</v>
      </c>
      <c r="FO55">
        <v>8.3860161500585326E-2</v>
      </c>
      <c r="FP55">
        <v>8.3860161500585326E-2</v>
      </c>
      <c r="FQ55">
        <v>8.3860161500585326E-2</v>
      </c>
      <c r="FR55">
        <v>8.3860161500585326E-2</v>
      </c>
      <c r="FS55">
        <v>8.3860161500585326E-2</v>
      </c>
    </row>
    <row r="56" spans="1:175" ht="14.55" customHeight="1" x14ac:dyDescent="0.3">
      <c r="A56" s="109"/>
      <c r="B56" s="12" t="s">
        <v>51</v>
      </c>
      <c r="C56" s="11" t="s">
        <v>277</v>
      </c>
      <c r="D56" s="6" t="s">
        <v>49</v>
      </c>
      <c r="E56" s="9">
        <f>ROW(D56)-ROW($E$8)</f>
        <v>48</v>
      </c>
      <c r="F56" s="13">
        <v>1</v>
      </c>
      <c r="G56" s="13" t="s">
        <v>50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ref="O56:O74" si="126">$O$55</f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761.23670000000004</v>
      </c>
      <c r="CI56">
        <v>646.52980000000002</v>
      </c>
      <c r="CJ56">
        <v>583.96240000000012</v>
      </c>
      <c r="CK56">
        <v>458.82760000000007</v>
      </c>
      <c r="CL56">
        <v>458.82760000000007</v>
      </c>
      <c r="CM56">
        <v>458.82760000000007</v>
      </c>
      <c r="CN56">
        <v>406.68810000000002</v>
      </c>
      <c r="CO56">
        <v>375.40440000000001</v>
      </c>
      <c r="CP56">
        <v>375.40440000000001</v>
      </c>
      <c r="CQ56">
        <v>375.40440000000001</v>
      </c>
      <c r="CR56">
        <v>11.601038750000001</v>
      </c>
      <c r="CS56">
        <v>11.157853000000001</v>
      </c>
      <c r="CT56">
        <v>7.6905762500000012</v>
      </c>
      <c r="CU56">
        <v>9.2808309999999992</v>
      </c>
      <c r="CV56">
        <v>9.2808310000000009</v>
      </c>
      <c r="CW56">
        <v>9.2808310000000009</v>
      </c>
      <c r="CX56">
        <v>8.5508780000000009</v>
      </c>
      <c r="CY56">
        <v>8.1337620000000008</v>
      </c>
      <c r="CZ56">
        <v>8.1337620000000008</v>
      </c>
      <c r="DA56">
        <v>8.1337620000000008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90.584795321637415</v>
      </c>
      <c r="EG56">
        <v>90.584795321637415</v>
      </c>
      <c r="EH56">
        <v>90.584795321637415</v>
      </c>
      <c r="EI56">
        <v>0</v>
      </c>
      <c r="EJ56">
        <f t="shared" si="120"/>
        <v>90.584795321637415</v>
      </c>
      <c r="EK56">
        <v>0</v>
      </c>
      <c r="EL56">
        <f t="shared" si="121"/>
        <v>90.584795321637415</v>
      </c>
      <c r="EM56">
        <v>0</v>
      </c>
      <c r="EN56">
        <f t="shared" si="122"/>
        <v>90.584795321637415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3"/>
        <v>0</v>
      </c>
      <c r="EU56">
        <v>0</v>
      </c>
      <c r="EV56">
        <f t="shared" si="124"/>
        <v>0</v>
      </c>
      <c r="EW56">
        <v>0</v>
      </c>
      <c r="EX56">
        <f t="shared" si="125"/>
        <v>0</v>
      </c>
      <c r="EY56">
        <v>0</v>
      </c>
      <c r="EZ56">
        <v>17.88</v>
      </c>
      <c r="FA56">
        <v>17.88</v>
      </c>
      <c r="FB56">
        <v>17.88</v>
      </c>
      <c r="FC56">
        <v>0</v>
      </c>
      <c r="FD56">
        <v>15.93</v>
      </c>
      <c r="FE56">
        <v>0</v>
      </c>
      <c r="FF56">
        <v>14.96</v>
      </c>
      <c r="FG56">
        <v>0</v>
      </c>
      <c r="FH56">
        <v>14.09</v>
      </c>
      <c r="FI56">
        <v>0</v>
      </c>
      <c r="FJ56">
        <v>8.5803264560679798E-2</v>
      </c>
      <c r="FK56">
        <v>8.5803264560679798E-2</v>
      </c>
      <c r="FL56">
        <v>8.5803264560679798E-2</v>
      </c>
      <c r="FM56">
        <v>8.3860161500585326E-2</v>
      </c>
      <c r="FN56">
        <v>8.3860161500585326E-2</v>
      </c>
      <c r="FO56">
        <v>8.3860161500585326E-2</v>
      </c>
      <c r="FP56">
        <v>8.3860161500585326E-2</v>
      </c>
      <c r="FQ56">
        <v>8.3860161500585326E-2</v>
      </c>
      <c r="FR56">
        <v>8.3860161500585326E-2</v>
      </c>
      <c r="FS56">
        <v>8.3860161500585326E-2</v>
      </c>
    </row>
    <row r="57" spans="1:175" x14ac:dyDescent="0.3">
      <c r="A57" s="109"/>
      <c r="B57" s="12" t="str">
        <f>CONCATENATE("RPU_"&amp;D57)</f>
        <v>RPU_ON_SP198-HH100</v>
      </c>
      <c r="C57" s="11" t="s">
        <v>277</v>
      </c>
      <c r="D57" s="2" t="s">
        <v>164</v>
      </c>
      <c r="E57" s="9">
        <f t="shared" si="5"/>
        <v>49</v>
      </c>
      <c r="F57" s="13">
        <v>1</v>
      </c>
      <c r="G57" s="13" t="s">
        <v>53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6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1758.6807528485745</v>
      </c>
      <c r="CI57">
        <v>1758.6807528485745</v>
      </c>
      <c r="CJ57">
        <v>1758.6807528485745</v>
      </c>
      <c r="CK57">
        <v>1633.060699073676</v>
      </c>
      <c r="CL57">
        <v>1633.060699073676</v>
      </c>
      <c r="CM57">
        <v>1633.060699073676</v>
      </c>
      <c r="CN57">
        <v>1538.8456587425023</v>
      </c>
      <c r="CO57">
        <v>1507.4406452987776</v>
      </c>
      <c r="CP57">
        <v>1507.4406452987776</v>
      </c>
      <c r="CQ57">
        <v>1507.4406452987776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20"/>
        <v>55.12222222222222</v>
      </c>
      <c r="EK57">
        <v>0</v>
      </c>
      <c r="EL57">
        <f t="shared" si="121"/>
        <v>55.12222222222222</v>
      </c>
      <c r="EM57">
        <v>0</v>
      </c>
      <c r="EN57">
        <f t="shared" si="122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3"/>
        <v>0</v>
      </c>
      <c r="EU57">
        <v>0</v>
      </c>
      <c r="EV57">
        <f t="shared" si="124"/>
        <v>0</v>
      </c>
      <c r="EW57">
        <v>0</v>
      </c>
      <c r="EX57">
        <f t="shared" si="125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09"/>
      <c r="B58" s="12" t="str">
        <f t="shared" ref="B58:B68" si="127">CONCATENATE("RPU_"&amp;D58)</f>
        <v>RPU_ON_SP198-HH150</v>
      </c>
      <c r="C58" s="11" t="s">
        <v>277</v>
      </c>
      <c r="D58" s="2" t="s">
        <v>54</v>
      </c>
      <c r="E58" s="9">
        <f t="shared" si="5"/>
        <v>50</v>
      </c>
      <c r="F58" s="13">
        <v>1</v>
      </c>
      <c r="G58" s="13" t="s">
        <v>55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6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2188.7934195531479</v>
      </c>
      <c r="CI58">
        <v>2188.7934195531479</v>
      </c>
      <c r="CJ58">
        <v>2188.7934195531479</v>
      </c>
      <c r="CK58">
        <v>2032.4510324422088</v>
      </c>
      <c r="CL58">
        <v>2032.4510324422088</v>
      </c>
      <c r="CM58">
        <v>2032.4510324422088</v>
      </c>
      <c r="CN58">
        <v>1915.1942421090046</v>
      </c>
      <c r="CO58">
        <v>1876.1086453312696</v>
      </c>
      <c r="CP58">
        <v>1876.1086453312696</v>
      </c>
      <c r="CQ58">
        <v>1876.1086453312696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20"/>
        <v>55.12222222222222</v>
      </c>
      <c r="EK58">
        <v>0</v>
      </c>
      <c r="EL58">
        <f t="shared" si="121"/>
        <v>55.12222222222222</v>
      </c>
      <c r="EM58">
        <v>0</v>
      </c>
      <c r="EN58">
        <f t="shared" si="122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3"/>
        <v>0</v>
      </c>
      <c r="EU58">
        <v>0</v>
      </c>
      <c r="EV58">
        <f t="shared" si="124"/>
        <v>0</v>
      </c>
      <c r="EW58">
        <v>0</v>
      </c>
      <c r="EX58">
        <f t="shared" si="125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09"/>
      <c r="B59" s="12" t="str">
        <f t="shared" si="127"/>
        <v>RPU_ON_SP237-HH100</v>
      </c>
      <c r="C59" s="11" t="s">
        <v>277</v>
      </c>
      <c r="D59" s="2" t="s">
        <v>56</v>
      </c>
      <c r="E59" s="9">
        <f t="shared" si="5"/>
        <v>51</v>
      </c>
      <c r="F59" s="13">
        <v>1</v>
      </c>
      <c r="G59" s="13" t="s">
        <v>57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6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1554.7627916706663</v>
      </c>
      <c r="CI59">
        <v>1554.7627916706663</v>
      </c>
      <c r="CJ59">
        <v>1554.7627916706663</v>
      </c>
      <c r="CK59">
        <v>1443.7083065513327</v>
      </c>
      <c r="CL59">
        <v>1443.7083065513327</v>
      </c>
      <c r="CM59">
        <v>1443.7083065513327</v>
      </c>
      <c r="CN59">
        <v>1360.4174427118328</v>
      </c>
      <c r="CO59">
        <v>1332.6538214319989</v>
      </c>
      <c r="CP59">
        <v>1332.6538214319989</v>
      </c>
      <c r="CQ59">
        <v>1332.6538214319989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20"/>
        <v>55.12222222222222</v>
      </c>
      <c r="EK59">
        <v>0</v>
      </c>
      <c r="EL59">
        <f t="shared" si="121"/>
        <v>55.12222222222222</v>
      </c>
      <c r="EM59">
        <v>0</v>
      </c>
      <c r="EN59">
        <f t="shared" si="122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3"/>
        <v>0</v>
      </c>
      <c r="EU59">
        <v>0</v>
      </c>
      <c r="EV59">
        <f t="shared" si="124"/>
        <v>0</v>
      </c>
      <c r="EW59">
        <v>0</v>
      </c>
      <c r="EX59">
        <f t="shared" si="125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09"/>
      <c r="B60" s="12" t="str">
        <f t="shared" si="127"/>
        <v>RPU_ON_SP237-HH150</v>
      </c>
      <c r="C60" s="11" t="s">
        <v>277</v>
      </c>
      <c r="D60" s="2" t="s">
        <v>58</v>
      </c>
      <c r="E60" s="9">
        <f t="shared" si="5"/>
        <v>52</v>
      </c>
      <c r="F60" s="13">
        <v>1</v>
      </c>
      <c r="G60" s="13" t="s">
        <v>59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6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1947.4738868244795</v>
      </c>
      <c r="CI60">
        <v>1947.4738868244795</v>
      </c>
      <c r="CJ60">
        <v>1947.4738868244795</v>
      </c>
      <c r="CK60">
        <v>1808.3686091941595</v>
      </c>
      <c r="CL60">
        <v>1808.3686091941595</v>
      </c>
      <c r="CM60">
        <v>1808.3686091941595</v>
      </c>
      <c r="CN60">
        <v>1704.0396509714192</v>
      </c>
      <c r="CO60">
        <v>1669.2633315638391</v>
      </c>
      <c r="CP60">
        <v>1669.2633315638391</v>
      </c>
      <c r="CQ60">
        <v>1669.2633315638391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20"/>
        <v>55.12222222222222</v>
      </c>
      <c r="EK60">
        <v>0</v>
      </c>
      <c r="EL60">
        <f t="shared" si="121"/>
        <v>55.12222222222222</v>
      </c>
      <c r="EM60">
        <v>0</v>
      </c>
      <c r="EN60">
        <f t="shared" si="122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3"/>
        <v>0</v>
      </c>
      <c r="EU60">
        <v>0</v>
      </c>
      <c r="EV60">
        <f t="shared" si="124"/>
        <v>0</v>
      </c>
      <c r="EW60">
        <v>0</v>
      </c>
      <c r="EX60">
        <f t="shared" si="125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09"/>
      <c r="B61" s="12" t="str">
        <f t="shared" si="127"/>
        <v>RPU_ON_SP277-HH100</v>
      </c>
      <c r="C61" s="11" t="s">
        <v>277</v>
      </c>
      <c r="D61" s="2" t="s">
        <v>60</v>
      </c>
      <c r="E61" s="9">
        <f t="shared" si="5"/>
        <v>53</v>
      </c>
      <c r="F61" s="13">
        <v>1</v>
      </c>
      <c r="G61" s="13" t="s">
        <v>61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6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1414.9828559823698</v>
      </c>
      <c r="CI61">
        <v>1414.9828559823698</v>
      </c>
      <c r="CJ61">
        <v>1414.9828559823698</v>
      </c>
      <c r="CK61">
        <v>1313.9126519836288</v>
      </c>
      <c r="CL61">
        <v>1313.9126519836288</v>
      </c>
      <c r="CM61">
        <v>1313.9126519836288</v>
      </c>
      <c r="CN61">
        <v>1238.1099989845734</v>
      </c>
      <c r="CO61">
        <v>1212.8424479848879</v>
      </c>
      <c r="CP61">
        <v>1212.8424479848879</v>
      </c>
      <c r="CQ61">
        <v>1212.8424479848879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20"/>
        <v>55.12222222222222</v>
      </c>
      <c r="EK61">
        <v>0</v>
      </c>
      <c r="EL61">
        <f t="shared" si="121"/>
        <v>55.12222222222222</v>
      </c>
      <c r="EM61">
        <v>0</v>
      </c>
      <c r="EN61">
        <f t="shared" si="122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3"/>
        <v>0</v>
      </c>
      <c r="EU61">
        <v>0</v>
      </c>
      <c r="EV61">
        <f t="shared" si="124"/>
        <v>0</v>
      </c>
      <c r="EW61">
        <v>0</v>
      </c>
      <c r="EX61">
        <f t="shared" si="125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09"/>
      <c r="B62" s="12" t="str">
        <f t="shared" si="127"/>
        <v>RPU_ON_SP277-HH150</v>
      </c>
      <c r="C62" s="11" t="s">
        <v>277</v>
      </c>
      <c r="D62" s="2" t="s">
        <v>62</v>
      </c>
      <c r="E62" s="9">
        <f t="shared" si="5"/>
        <v>54</v>
      </c>
      <c r="F62" s="13">
        <v>1</v>
      </c>
      <c r="G62" s="13" t="s">
        <v>63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6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1807.6939511361822</v>
      </c>
      <c r="CI62">
        <v>1807.6939511361822</v>
      </c>
      <c r="CJ62">
        <v>1807.6939511361822</v>
      </c>
      <c r="CK62">
        <v>1678.5729546264547</v>
      </c>
      <c r="CL62">
        <v>1678.5729546264547</v>
      </c>
      <c r="CM62">
        <v>1678.5729546264547</v>
      </c>
      <c r="CN62">
        <v>1581.7322072441593</v>
      </c>
      <c r="CO62">
        <v>1549.4519581167272</v>
      </c>
      <c r="CP62">
        <v>1549.4519581167272</v>
      </c>
      <c r="CQ62">
        <v>1549.4519581167272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20"/>
        <v>55.12222222222222</v>
      </c>
      <c r="EK62">
        <v>0</v>
      </c>
      <c r="EL62">
        <f t="shared" si="121"/>
        <v>55.12222222222222</v>
      </c>
      <c r="EM62">
        <v>0</v>
      </c>
      <c r="EN62">
        <f t="shared" si="122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3"/>
        <v>0</v>
      </c>
      <c r="EU62">
        <v>0</v>
      </c>
      <c r="EV62">
        <f t="shared" si="124"/>
        <v>0</v>
      </c>
      <c r="EW62">
        <v>0</v>
      </c>
      <c r="EX62">
        <f t="shared" si="125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09"/>
      <c r="B63" s="12" t="str">
        <f t="shared" si="127"/>
        <v>RPU_ON_SP321-HH100</v>
      </c>
      <c r="C63" s="11" t="s">
        <v>277</v>
      </c>
      <c r="D63" s="2" t="s">
        <v>64</v>
      </c>
      <c r="E63" s="9">
        <f t="shared" si="5"/>
        <v>55</v>
      </c>
      <c r="F63" s="13">
        <v>1</v>
      </c>
      <c r="G63" s="13" t="s">
        <v>65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6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1301.2947800734096</v>
      </c>
      <c r="CI63">
        <v>1301.2947800734096</v>
      </c>
      <c r="CJ63">
        <v>1301.2947800734096</v>
      </c>
      <c r="CK63">
        <v>1208.3451529253089</v>
      </c>
      <c r="CL63">
        <v>1208.3451529253089</v>
      </c>
      <c r="CM63">
        <v>1208.3451529253089</v>
      </c>
      <c r="CN63">
        <v>1138.6329325642334</v>
      </c>
      <c r="CO63">
        <v>1115.3955257772077</v>
      </c>
      <c r="CP63">
        <v>1115.3955257772077</v>
      </c>
      <c r="CQ63">
        <v>1115.3955257772077</v>
      </c>
      <c r="CR63">
        <v>14.599060000000001</v>
      </c>
      <c r="CS63">
        <v>14.599060000000001</v>
      </c>
      <c r="CT63">
        <v>14.599060000000001</v>
      </c>
      <c r="CU63">
        <v>13.139154</v>
      </c>
      <c r="CV63">
        <v>13.139154000000001</v>
      </c>
      <c r="CW63">
        <v>13.139154000000001</v>
      </c>
      <c r="CX63">
        <v>12.088021680000002</v>
      </c>
      <c r="CY63">
        <v>11.8252386</v>
      </c>
      <c r="CZ63">
        <v>11.8252386</v>
      </c>
      <c r="DA63">
        <v>11.8252386</v>
      </c>
      <c r="DB63">
        <v>1.5641850000000001E-3</v>
      </c>
      <c r="DC63">
        <v>1.5641850000000001E-3</v>
      </c>
      <c r="DD63">
        <v>1.5641850000000001E-3</v>
      </c>
      <c r="DE63">
        <v>1.4077665000000001E-3</v>
      </c>
      <c r="DF63">
        <v>1.4077665000000001E-3</v>
      </c>
      <c r="DG63">
        <v>1.4077664999999999E-3</v>
      </c>
      <c r="DH63">
        <v>1.2930596E-3</v>
      </c>
      <c r="DI63">
        <v>1.2722038E-3</v>
      </c>
      <c r="DJ63">
        <v>1.2722038E-3</v>
      </c>
      <c r="DK63">
        <v>1.2722038E-3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s="16">
        <v>55.12222222222222</v>
      </c>
      <c r="EG63" s="16">
        <v>55.12222222222222</v>
      </c>
      <c r="EH63" s="16">
        <v>55.12222222222222</v>
      </c>
      <c r="EI63">
        <v>0</v>
      </c>
      <c r="EJ63">
        <f t="shared" si="120"/>
        <v>55.12222222222222</v>
      </c>
      <c r="EK63">
        <v>0</v>
      </c>
      <c r="EL63">
        <f t="shared" si="121"/>
        <v>55.12222222222222</v>
      </c>
      <c r="EM63">
        <v>0</v>
      </c>
      <c r="EN63">
        <f t="shared" si="122"/>
        <v>55.12222222222222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3"/>
        <v>0</v>
      </c>
      <c r="EU63">
        <v>0</v>
      </c>
      <c r="EV63">
        <f t="shared" si="124"/>
        <v>0</v>
      </c>
      <c r="EW63">
        <v>0</v>
      </c>
      <c r="EX63">
        <f t="shared" si="125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109"/>
      <c r="B64" s="12" t="str">
        <f t="shared" si="127"/>
        <v>RPU_ON_SP321-HH150</v>
      </c>
      <c r="C64" s="11" t="s">
        <v>277</v>
      </c>
      <c r="D64" s="2" t="s">
        <v>66</v>
      </c>
      <c r="E64" s="9">
        <f t="shared" si="5"/>
        <v>56</v>
      </c>
      <c r="F64" s="13">
        <v>1</v>
      </c>
      <c r="G64" s="13" t="s">
        <v>67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6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1694.0063453254108</v>
      </c>
      <c r="CI64">
        <v>1694.0063453254108</v>
      </c>
      <c r="CJ64">
        <v>1694.0063453254108</v>
      </c>
      <c r="CK64">
        <v>1573.0058920878812</v>
      </c>
      <c r="CL64">
        <v>1573.0058920878812</v>
      </c>
      <c r="CM64">
        <v>1573.0058920878812</v>
      </c>
      <c r="CN64">
        <v>1482.2555521597342</v>
      </c>
      <c r="CO64">
        <v>1452.0054388503518</v>
      </c>
      <c r="CP64">
        <v>1452.0054388503518</v>
      </c>
      <c r="CQ64">
        <v>1452.0054388503518</v>
      </c>
      <c r="CR64">
        <v>14.599060000000001</v>
      </c>
      <c r="CS64">
        <v>14.599060000000001</v>
      </c>
      <c r="CT64">
        <v>14.599060000000001</v>
      </c>
      <c r="CU64">
        <v>13.139154</v>
      </c>
      <c r="CV64">
        <v>13.139154000000001</v>
      </c>
      <c r="CW64">
        <v>13.139154000000001</v>
      </c>
      <c r="CX64">
        <v>12.088021680000002</v>
      </c>
      <c r="CY64">
        <v>11.8252386</v>
      </c>
      <c r="CZ64">
        <v>11.8252386</v>
      </c>
      <c r="DA64">
        <v>11.8252386</v>
      </c>
      <c r="DB64">
        <v>1.5641850000000001E-3</v>
      </c>
      <c r="DC64">
        <v>1.5641850000000001E-3</v>
      </c>
      <c r="DD64">
        <v>1.5641850000000001E-3</v>
      </c>
      <c r="DE64">
        <v>1.4077665000000001E-3</v>
      </c>
      <c r="DF64">
        <v>1.4077665000000001E-3</v>
      </c>
      <c r="DG64">
        <v>1.4077664999999999E-3</v>
      </c>
      <c r="DH64">
        <v>1.2930596E-3</v>
      </c>
      <c r="DI64">
        <v>1.2722038E-3</v>
      </c>
      <c r="DJ64">
        <v>1.2722038E-3</v>
      </c>
      <c r="DK64">
        <v>1.2722038E-3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 s="16">
        <v>55.12222222222222</v>
      </c>
      <c r="EG64" s="16">
        <v>55.12222222222222</v>
      </c>
      <c r="EH64" s="16">
        <v>55.12222222222222</v>
      </c>
      <c r="EI64">
        <v>0</v>
      </c>
      <c r="EJ64">
        <f t="shared" si="120"/>
        <v>55.12222222222222</v>
      </c>
      <c r="EK64">
        <v>0</v>
      </c>
      <c r="EL64">
        <f t="shared" si="121"/>
        <v>55.12222222222222</v>
      </c>
      <c r="EM64">
        <v>0</v>
      </c>
      <c r="EN64">
        <f t="shared" si="122"/>
        <v>55.12222222222222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3"/>
        <v>0</v>
      </c>
      <c r="EU64">
        <v>0</v>
      </c>
      <c r="EV64">
        <f t="shared" si="124"/>
        <v>0</v>
      </c>
      <c r="EW64">
        <v>0</v>
      </c>
      <c r="EX64">
        <f t="shared" si="125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109"/>
      <c r="B65" s="12" t="str">
        <f t="shared" si="127"/>
        <v>RPU_OFF_SP379-HH100</v>
      </c>
      <c r="C65" s="11" t="s">
        <v>277</v>
      </c>
      <c r="D65" s="2" t="s">
        <v>68</v>
      </c>
      <c r="E65" s="9">
        <f t="shared" si="5"/>
        <v>57</v>
      </c>
      <c r="F65" s="13">
        <v>1</v>
      </c>
      <c r="G65" s="13" t="s">
        <v>69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6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2205.1904479084506</v>
      </c>
      <c r="CI65">
        <v>2205.1904479084506</v>
      </c>
      <c r="CJ65">
        <v>2205.1904479084506</v>
      </c>
      <c r="CK65">
        <v>1998.1303119546053</v>
      </c>
      <c r="CL65">
        <v>1998.1303119546053</v>
      </c>
      <c r="CM65">
        <v>1998.1303119546053</v>
      </c>
      <c r="CN65">
        <v>1873.8942303822985</v>
      </c>
      <c r="CO65">
        <v>1842.8352099892215</v>
      </c>
      <c r="CP65">
        <v>1842.8352099892215</v>
      </c>
      <c r="CQ65">
        <v>1842.8352099892215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53.53</v>
      </c>
      <c r="EH65">
        <v>53.529999999999994</v>
      </c>
      <c r="EI65">
        <v>0</v>
      </c>
      <c r="EJ65">
        <f t="shared" si="120"/>
        <v>53.53</v>
      </c>
      <c r="EK65">
        <v>0</v>
      </c>
      <c r="EL65">
        <f t="shared" si="121"/>
        <v>53.53</v>
      </c>
      <c r="EM65">
        <v>0</v>
      </c>
      <c r="EN65">
        <f t="shared" si="122"/>
        <v>53.53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3"/>
        <v>0</v>
      </c>
      <c r="EU65">
        <v>0</v>
      </c>
      <c r="EV65">
        <f t="shared" si="124"/>
        <v>0</v>
      </c>
      <c r="EW65">
        <v>0</v>
      </c>
      <c r="EX65">
        <f t="shared" si="125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109"/>
      <c r="B66" s="12" t="str">
        <f t="shared" si="127"/>
        <v>RPU_OFF_SP379-HH150</v>
      </c>
      <c r="C66" s="11" t="s">
        <v>277</v>
      </c>
      <c r="D66" s="2" t="s">
        <v>70</v>
      </c>
      <c r="E66" s="9">
        <f t="shared" si="5"/>
        <v>58</v>
      </c>
      <c r="F66" s="13">
        <v>1</v>
      </c>
      <c r="G66" s="13" t="s">
        <v>71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6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2534.6071744804217</v>
      </c>
      <c r="CI66">
        <v>2534.6071744804217</v>
      </c>
      <c r="CJ66">
        <v>2534.6071744804217</v>
      </c>
      <c r="CK66">
        <v>2296.6158904916497</v>
      </c>
      <c r="CL66">
        <v>2296.6158904916497</v>
      </c>
      <c r="CM66">
        <v>2296.6158904916497</v>
      </c>
      <c r="CN66">
        <v>2153.8211200983869</v>
      </c>
      <c r="CO66">
        <v>2118.1224275000709</v>
      </c>
      <c r="CP66">
        <v>2118.1224275000709</v>
      </c>
      <c r="CQ66">
        <v>2118.1224275000709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20"/>
        <v>53.529999999999994</v>
      </c>
      <c r="EK66">
        <v>0</v>
      </c>
      <c r="EL66">
        <f t="shared" si="121"/>
        <v>53.529999999999994</v>
      </c>
      <c r="EM66">
        <v>0</v>
      </c>
      <c r="EN66">
        <f t="shared" si="122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3"/>
        <v>0</v>
      </c>
      <c r="EU66">
        <v>0</v>
      </c>
      <c r="EV66">
        <f t="shared" si="124"/>
        <v>0</v>
      </c>
      <c r="EW66">
        <v>0</v>
      </c>
      <c r="EX66">
        <f t="shared" si="125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109"/>
      <c r="B67" s="12" t="str">
        <f t="shared" si="127"/>
        <v>RPU_OFF_SP450-HH100</v>
      </c>
      <c r="C67" s="11" t="s">
        <v>277</v>
      </c>
      <c r="D67" s="2" t="s">
        <v>72</v>
      </c>
      <c r="E67" s="9">
        <f t="shared" si="5"/>
        <v>59</v>
      </c>
      <c r="F67" s="13">
        <v>1</v>
      </c>
      <c r="G67" s="13" t="s">
        <v>73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0</v>
      </c>
      <c r="O67">
        <f t="shared" si="126"/>
        <v>2000000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1</v>
      </c>
      <c r="BE67" s="14">
        <v>1</v>
      </c>
      <c r="BF67" s="14">
        <v>1</v>
      </c>
      <c r="BG67" s="14">
        <v>1</v>
      </c>
      <c r="BH67" s="14">
        <v>1</v>
      </c>
      <c r="BI67" s="14">
        <v>1</v>
      </c>
      <c r="BJ67" s="14">
        <v>1</v>
      </c>
      <c r="BK67" s="14">
        <v>1</v>
      </c>
      <c r="BL67" s="14">
        <v>1</v>
      </c>
      <c r="BM67" s="14">
        <v>1</v>
      </c>
      <c r="BN67" s="14">
        <v>1</v>
      </c>
      <c r="BO67" s="14">
        <v>1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14">
        <v>1</v>
      </c>
      <c r="BV67" s="14">
        <v>1</v>
      </c>
      <c r="BW67" s="14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1988.1234836201065</v>
      </c>
      <c r="CI67">
        <v>1988.1234836201065</v>
      </c>
      <c r="CJ67">
        <v>1988.1234836201065</v>
      </c>
      <c r="CK67">
        <v>1801.4452222473265</v>
      </c>
      <c r="CL67">
        <v>1801.4452222473265</v>
      </c>
      <c r="CM67">
        <v>1801.4452222473265</v>
      </c>
      <c r="CN67">
        <v>1689.4382654236588</v>
      </c>
      <c r="CO67">
        <v>1661.4365262177421</v>
      </c>
      <c r="CP67">
        <v>1661.4365262177421</v>
      </c>
      <c r="CQ67">
        <v>1661.4365262177421</v>
      </c>
      <c r="CR67">
        <v>41.773124610000004</v>
      </c>
      <c r="CS67">
        <v>41.773124610000004</v>
      </c>
      <c r="CT67">
        <v>41.773124610000004</v>
      </c>
      <c r="CU67">
        <v>37.595707869999998</v>
      </c>
      <c r="CV67">
        <v>37.595707870000005</v>
      </c>
      <c r="CW67">
        <v>37.595707870000005</v>
      </c>
      <c r="CX67">
        <v>34.588301510000008</v>
      </c>
      <c r="CY67">
        <v>33.836449920000007</v>
      </c>
      <c r="CZ67">
        <v>33.836449920000007</v>
      </c>
      <c r="DA67">
        <v>33.83644992</v>
      </c>
      <c r="DB67">
        <v>3.1283700000000001E-3</v>
      </c>
      <c r="DC67">
        <v>3.1283700000000001E-3</v>
      </c>
      <c r="DD67">
        <v>3.1283700000000001E-3</v>
      </c>
      <c r="DE67">
        <v>2.8155330000000003E-3</v>
      </c>
      <c r="DF67">
        <v>2.8155330000000003E-3</v>
      </c>
      <c r="DG67">
        <v>2.8155329999999998E-3</v>
      </c>
      <c r="DH67">
        <v>2.6069750000000001E-3</v>
      </c>
      <c r="DI67">
        <v>2.5026960000000004E-3</v>
      </c>
      <c r="DJ67">
        <v>2.5026960000000004E-3</v>
      </c>
      <c r="DK67">
        <v>2.502696E-3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53.529999999999994</v>
      </c>
      <c r="EG67">
        <v>53.529999999999994</v>
      </c>
      <c r="EH67">
        <v>53.529999999999994</v>
      </c>
      <c r="EI67">
        <v>0</v>
      </c>
      <c r="EJ67">
        <f t="shared" si="120"/>
        <v>53.529999999999994</v>
      </c>
      <c r="EK67">
        <v>0</v>
      </c>
      <c r="EL67">
        <f t="shared" si="121"/>
        <v>53.529999999999994</v>
      </c>
      <c r="EM67">
        <v>0</v>
      </c>
      <c r="EN67">
        <f t="shared" si="122"/>
        <v>53.529999999999994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 t="shared" si="123"/>
        <v>0</v>
      </c>
      <c r="EU67">
        <v>0</v>
      </c>
      <c r="EV67">
        <f t="shared" si="124"/>
        <v>0</v>
      </c>
      <c r="EW67">
        <v>0</v>
      </c>
      <c r="EX67">
        <f t="shared" si="125"/>
        <v>0</v>
      </c>
      <c r="EY67">
        <v>0</v>
      </c>
      <c r="EZ67">
        <v>203.96</v>
      </c>
      <c r="FA67">
        <v>177.36</v>
      </c>
      <c r="FB67">
        <v>150.76</v>
      </c>
      <c r="FC67">
        <v>0</v>
      </c>
      <c r="FD67">
        <v>171.96</v>
      </c>
      <c r="FE67">
        <v>0</v>
      </c>
      <c r="FF67">
        <v>169.84</v>
      </c>
      <c r="FG67">
        <v>0</v>
      </c>
      <c r="FH67">
        <v>171.26</v>
      </c>
      <c r="FI67">
        <v>0</v>
      </c>
      <c r="FJ67">
        <v>9.1448096207564403E-2</v>
      </c>
      <c r="FK67">
        <v>9.1448096207564403E-2</v>
      </c>
      <c r="FL67">
        <v>9.1448096207564403E-2</v>
      </c>
      <c r="FM67">
        <v>8.8827433387272267E-2</v>
      </c>
      <c r="FN67">
        <v>8.8827433387272267E-2</v>
      </c>
      <c r="FO67">
        <v>8.8827433387272267E-2</v>
      </c>
      <c r="FP67">
        <v>8.8827433387272267E-2</v>
      </c>
      <c r="FQ67">
        <v>8.8827433387272267E-2</v>
      </c>
      <c r="FR67">
        <v>8.8827433387272267E-2</v>
      </c>
      <c r="FS67">
        <v>8.8827433387272267E-2</v>
      </c>
    </row>
    <row r="68" spans="1:175" x14ac:dyDescent="0.3">
      <c r="A68" s="109"/>
      <c r="B68" s="12" t="str">
        <f t="shared" si="127"/>
        <v>RPU_OFF_SP450-HH150</v>
      </c>
      <c r="C68" s="11" t="s">
        <v>277</v>
      </c>
      <c r="D68" s="2" t="s">
        <v>165</v>
      </c>
      <c r="E68" s="9">
        <f t="shared" si="5"/>
        <v>60</v>
      </c>
      <c r="F68" s="13">
        <v>1</v>
      </c>
      <c r="G68" s="13" t="s">
        <v>74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6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2265.5270428386079</v>
      </c>
      <c r="CI68">
        <v>2265.5270428386079</v>
      </c>
      <c r="CJ68">
        <v>2265.5270428386079</v>
      </c>
      <c r="CK68">
        <v>2052.8014989101002</v>
      </c>
      <c r="CL68">
        <v>2052.8014989101002</v>
      </c>
      <c r="CM68">
        <v>2052.8014989101002</v>
      </c>
      <c r="CN68">
        <v>1925.1661725529959</v>
      </c>
      <c r="CO68">
        <v>1893.2573409637196</v>
      </c>
      <c r="CP68">
        <v>1893.2573409637196</v>
      </c>
      <c r="CQ68">
        <v>1893.2573409637196</v>
      </c>
      <c r="CR68">
        <v>41.773124610000004</v>
      </c>
      <c r="CS68">
        <v>41.773124610000004</v>
      </c>
      <c r="CT68">
        <v>41.773124610000004</v>
      </c>
      <c r="CU68">
        <v>37.595707869999998</v>
      </c>
      <c r="CV68">
        <v>37.595707870000005</v>
      </c>
      <c r="CW68">
        <v>37.595707870000005</v>
      </c>
      <c r="CX68">
        <v>34.588301510000008</v>
      </c>
      <c r="CY68">
        <v>33.836449920000007</v>
      </c>
      <c r="CZ68">
        <v>33.836449920000007</v>
      </c>
      <c r="DA68">
        <v>33.83644992</v>
      </c>
      <c r="DB68">
        <v>3.1283700000000001E-3</v>
      </c>
      <c r="DC68">
        <v>3.1283700000000001E-3</v>
      </c>
      <c r="DD68">
        <v>3.1283700000000001E-3</v>
      </c>
      <c r="DE68">
        <v>2.8155330000000003E-3</v>
      </c>
      <c r="DF68">
        <v>2.8155330000000003E-3</v>
      </c>
      <c r="DG68">
        <v>2.8155329999999998E-3</v>
      </c>
      <c r="DH68">
        <v>2.6069750000000001E-3</v>
      </c>
      <c r="DI68">
        <v>2.5026960000000004E-3</v>
      </c>
      <c r="DJ68">
        <v>2.5026960000000004E-3</v>
      </c>
      <c r="DK68">
        <v>2.502696E-3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53.529999999999994</v>
      </c>
      <c r="EG68">
        <v>53.529999999999994</v>
      </c>
      <c r="EH68">
        <v>53.529999999999994</v>
      </c>
      <c r="EI68">
        <v>0</v>
      </c>
      <c r="EJ68">
        <f t="shared" si="120"/>
        <v>53.529999999999994</v>
      </c>
      <c r="EK68">
        <v>0</v>
      </c>
      <c r="EL68">
        <f t="shared" si="121"/>
        <v>53.529999999999994</v>
      </c>
      <c r="EM68">
        <v>0</v>
      </c>
      <c r="EN68">
        <f t="shared" si="122"/>
        <v>53.529999999999994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 t="shared" si="123"/>
        <v>0</v>
      </c>
      <c r="EU68">
        <v>0</v>
      </c>
      <c r="EV68">
        <f t="shared" si="124"/>
        <v>0</v>
      </c>
      <c r="EW68">
        <v>0</v>
      </c>
      <c r="EX68">
        <f t="shared" si="125"/>
        <v>0</v>
      </c>
      <c r="EY68">
        <v>0</v>
      </c>
      <c r="EZ68">
        <v>203.96</v>
      </c>
      <c r="FA68">
        <v>177.36</v>
      </c>
      <c r="FB68">
        <v>150.76</v>
      </c>
      <c r="FC68">
        <v>0</v>
      </c>
      <c r="FD68">
        <v>171.96</v>
      </c>
      <c r="FE68">
        <v>0</v>
      </c>
      <c r="FF68">
        <v>169.84</v>
      </c>
      <c r="FG68">
        <v>0</v>
      </c>
      <c r="FH68">
        <v>171.26</v>
      </c>
      <c r="FI68">
        <v>0</v>
      </c>
      <c r="FJ68">
        <v>9.1448096207564403E-2</v>
      </c>
      <c r="FK68">
        <v>9.1448096207564403E-2</v>
      </c>
      <c r="FL68">
        <v>9.1448096207564403E-2</v>
      </c>
      <c r="FM68">
        <v>8.8827433387272267E-2</v>
      </c>
      <c r="FN68">
        <v>8.8827433387272267E-2</v>
      </c>
      <c r="FO68">
        <v>8.8827433387272267E-2</v>
      </c>
      <c r="FP68">
        <v>8.8827433387272267E-2</v>
      </c>
      <c r="FQ68">
        <v>8.8827433387272267E-2</v>
      </c>
      <c r="FR68">
        <v>8.8827433387272267E-2</v>
      </c>
      <c r="FS68">
        <v>8.8827433387272267E-2</v>
      </c>
    </row>
    <row r="69" spans="1:175" x14ac:dyDescent="0.3">
      <c r="A69" s="109"/>
      <c r="B69" s="12" t="s">
        <v>236</v>
      </c>
      <c r="C69" s="11" t="s">
        <v>277</v>
      </c>
      <c r="D69" s="2" t="s">
        <v>237</v>
      </c>
      <c r="E69" s="9">
        <f t="shared" si="5"/>
        <v>61</v>
      </c>
      <c r="F69" s="13">
        <v>1</v>
      </c>
      <c r="G69" s="13" t="s">
        <v>237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6"/>
        <v>2000000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1</v>
      </c>
      <c r="BE69" s="60">
        <v>1</v>
      </c>
      <c r="BF69" s="60">
        <v>1</v>
      </c>
      <c r="BG69" s="60">
        <v>1</v>
      </c>
      <c r="BH69" s="60">
        <v>1</v>
      </c>
      <c r="BI69" s="60">
        <v>1</v>
      </c>
      <c r="BJ69" s="60">
        <v>1</v>
      </c>
      <c r="BK69" s="60">
        <v>1</v>
      </c>
      <c r="BL69" s="60">
        <v>1</v>
      </c>
      <c r="BM69" s="60">
        <v>1</v>
      </c>
      <c r="BN69" s="60">
        <v>1</v>
      </c>
      <c r="BO69" s="60">
        <v>1</v>
      </c>
      <c r="BP69" s="60">
        <v>1</v>
      </c>
      <c r="BQ69" s="60">
        <v>1</v>
      </c>
      <c r="BR69" s="60">
        <v>1</v>
      </c>
      <c r="BS69" s="60">
        <v>1</v>
      </c>
      <c r="BT69" s="60">
        <v>1</v>
      </c>
      <c r="BU69" s="60">
        <v>1</v>
      </c>
      <c r="BV69" s="60">
        <v>1</v>
      </c>
      <c r="BW69" s="60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3662.1</v>
      </c>
      <c r="CI69">
        <v>3662.1</v>
      </c>
      <c r="CJ69">
        <v>3662.1</v>
      </c>
      <c r="CK69">
        <v>3662.1</v>
      </c>
      <c r="CL69">
        <v>3662.1</v>
      </c>
      <c r="CM69">
        <v>3662.1</v>
      </c>
      <c r="CN69">
        <v>3662.1</v>
      </c>
      <c r="CO69">
        <v>3662.1</v>
      </c>
      <c r="CP69">
        <v>3662.1</v>
      </c>
      <c r="CQ69">
        <v>3662.1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f>8.77/1000</f>
        <v>8.77E-3</v>
      </c>
      <c r="DC69">
        <f t="shared" ref="DC69:DK69" si="128">8.77/1000</f>
        <v>8.77E-3</v>
      </c>
      <c r="DD69">
        <f t="shared" si="128"/>
        <v>8.77E-3</v>
      </c>
      <c r="DE69">
        <f t="shared" si="128"/>
        <v>8.77E-3</v>
      </c>
      <c r="DF69">
        <f t="shared" si="128"/>
        <v>8.77E-3</v>
      </c>
      <c r="DG69">
        <f t="shared" si="128"/>
        <v>8.77E-3</v>
      </c>
      <c r="DH69">
        <f t="shared" si="128"/>
        <v>8.77E-3</v>
      </c>
      <c r="DI69">
        <f t="shared" si="128"/>
        <v>8.77E-3</v>
      </c>
      <c r="DJ69">
        <f t="shared" si="128"/>
        <v>8.77E-3</v>
      </c>
      <c r="DK69">
        <f t="shared" si="128"/>
        <v>8.77E-3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f>((6.78*10^7)/(20*10^3))/30</f>
        <v>113</v>
      </c>
      <c r="EG69">
        <f t="shared" ref="EG69:EN69" si="129">((6.78*10^7)/(20*10^3))/30</f>
        <v>113</v>
      </c>
      <c r="EH69">
        <f t="shared" si="129"/>
        <v>113</v>
      </c>
      <c r="EI69">
        <v>0</v>
      </c>
      <c r="EJ69">
        <f t="shared" si="129"/>
        <v>113</v>
      </c>
      <c r="EK69">
        <v>0</v>
      </c>
      <c r="EL69">
        <f t="shared" si="129"/>
        <v>113</v>
      </c>
      <c r="EM69">
        <v>0</v>
      </c>
      <c r="EN69">
        <f t="shared" si="129"/>
        <v>113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 s="32">
        <v>8.0586403511111196E-2</v>
      </c>
      <c r="FK69" s="32">
        <v>8.0586403511111196E-2</v>
      </c>
      <c r="FL69" s="32">
        <v>8.0586403511111196E-2</v>
      </c>
      <c r="FM69" s="32">
        <v>8.0586403511111196E-2</v>
      </c>
      <c r="FN69" s="32">
        <v>8.0586403511111196E-2</v>
      </c>
      <c r="FO69" s="32">
        <v>8.0586403511111196E-2</v>
      </c>
      <c r="FP69" s="32">
        <v>8.0586403511111196E-2</v>
      </c>
      <c r="FQ69" s="32">
        <v>8.0586403511111196E-2</v>
      </c>
      <c r="FR69" s="32">
        <v>8.0586403511111196E-2</v>
      </c>
      <c r="FS69" s="32">
        <v>8.0586403511111196E-2</v>
      </c>
    </row>
    <row r="70" spans="1:175" x14ac:dyDescent="0.3">
      <c r="A70" s="109"/>
      <c r="B70" s="12" t="s">
        <v>15</v>
      </c>
      <c r="C70" s="11" t="s">
        <v>277</v>
      </c>
      <c r="D70" s="2" t="s">
        <v>271</v>
      </c>
      <c r="E70" s="9">
        <f t="shared" si="5"/>
        <v>62</v>
      </c>
      <c r="F70" s="13">
        <v>1</v>
      </c>
      <c r="G70" s="13" t="s">
        <v>274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-1</v>
      </c>
      <c r="O70">
        <f t="shared" si="126"/>
        <v>2000000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1</v>
      </c>
      <c r="BE70" s="60">
        <v>1</v>
      </c>
      <c r="BF70" s="60">
        <v>1</v>
      </c>
      <c r="BG70" s="60">
        <v>1</v>
      </c>
      <c r="BH70" s="60">
        <v>1</v>
      </c>
      <c r="BI70" s="60">
        <v>1</v>
      </c>
      <c r="BJ70" s="60">
        <v>1</v>
      </c>
      <c r="BK70" s="60">
        <v>1</v>
      </c>
      <c r="BL70" s="60">
        <v>1</v>
      </c>
      <c r="BM70" s="60">
        <v>1</v>
      </c>
      <c r="BN70" s="60">
        <v>1</v>
      </c>
      <c r="BO70" s="60">
        <v>1</v>
      </c>
      <c r="BP70" s="60">
        <v>1</v>
      </c>
      <c r="BQ70" s="60">
        <v>1</v>
      </c>
      <c r="BR70" s="60">
        <v>1</v>
      </c>
      <c r="BS70" s="60">
        <v>1</v>
      </c>
      <c r="BT70" s="60">
        <v>1</v>
      </c>
      <c r="BU70" s="60">
        <v>1</v>
      </c>
      <c r="BV70" s="60">
        <v>1</v>
      </c>
      <c r="BW70" s="6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09"/>
      <c r="B71" s="12" t="s">
        <v>16</v>
      </c>
      <c r="C71" s="11" t="s">
        <v>277</v>
      </c>
      <c r="D71" s="2" t="s">
        <v>272</v>
      </c>
      <c r="E71" s="9">
        <f t="shared" si="5"/>
        <v>63</v>
      </c>
      <c r="F71" s="13">
        <v>1</v>
      </c>
      <c r="G71" s="13" t="s">
        <v>275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1</v>
      </c>
      <c r="O71">
        <f t="shared" si="126"/>
        <v>2000000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1</v>
      </c>
      <c r="BE71" s="60">
        <v>1</v>
      </c>
      <c r="BF71" s="60">
        <v>1</v>
      </c>
      <c r="BG71" s="60">
        <v>1</v>
      </c>
      <c r="BH71" s="60">
        <v>1</v>
      </c>
      <c r="BI71" s="60">
        <v>1</v>
      </c>
      <c r="BJ71" s="60">
        <v>1</v>
      </c>
      <c r="BK71" s="60">
        <v>1</v>
      </c>
      <c r="BL71" s="60">
        <v>1</v>
      </c>
      <c r="BM71" s="60">
        <v>1</v>
      </c>
      <c r="BN71" s="60">
        <v>1</v>
      </c>
      <c r="BO71" s="60">
        <v>1</v>
      </c>
      <c r="BP71" s="60">
        <v>1</v>
      </c>
      <c r="BQ71" s="60">
        <v>1</v>
      </c>
      <c r="BR71" s="60">
        <v>1</v>
      </c>
      <c r="BS71" s="60">
        <v>1</v>
      </c>
      <c r="BT71" s="60">
        <v>1</v>
      </c>
      <c r="BU71" s="60">
        <v>1</v>
      </c>
      <c r="BV71" s="60">
        <v>1</v>
      </c>
      <c r="BW71" s="60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9"/>
      <c r="B72" s="12" t="s">
        <v>17</v>
      </c>
      <c r="C72" s="11" t="s">
        <v>277</v>
      </c>
      <c r="D72" s="2" t="s">
        <v>273</v>
      </c>
      <c r="E72" s="9">
        <f t="shared" si="5"/>
        <v>64</v>
      </c>
      <c r="F72" s="13">
        <v>1</v>
      </c>
      <c r="G72" s="13" t="s">
        <v>273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f t="shared" si="126"/>
        <v>2000000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60">
        <v>0</v>
      </c>
      <c r="AU72" s="60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60">
        <v>1</v>
      </c>
      <c r="BE72" s="60">
        <v>1</v>
      </c>
      <c r="BF72" s="60">
        <v>1</v>
      </c>
      <c r="BG72" s="60">
        <v>1</v>
      </c>
      <c r="BH72" s="60">
        <v>1</v>
      </c>
      <c r="BI72" s="60">
        <v>1</v>
      </c>
      <c r="BJ72" s="60">
        <v>1</v>
      </c>
      <c r="BK72" s="60">
        <v>1</v>
      </c>
      <c r="BL72" s="60">
        <v>1</v>
      </c>
      <c r="BM72" s="60">
        <v>1</v>
      </c>
      <c r="BN72" s="60">
        <v>1</v>
      </c>
      <c r="BO72" s="60">
        <v>1</v>
      </c>
      <c r="BP72" s="60">
        <v>1</v>
      </c>
      <c r="BQ72" s="60">
        <v>1</v>
      </c>
      <c r="BR72" s="60">
        <v>1</v>
      </c>
      <c r="BS72" s="60">
        <v>1</v>
      </c>
      <c r="BT72" s="60">
        <v>1</v>
      </c>
      <c r="BU72" s="60">
        <v>1</v>
      </c>
      <c r="BV72" s="60">
        <v>1</v>
      </c>
      <c r="BW72" s="60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41</v>
      </c>
      <c r="CI72">
        <v>41</v>
      </c>
      <c r="CJ72">
        <v>41</v>
      </c>
      <c r="CK72">
        <v>0</v>
      </c>
      <c r="CL72">
        <f>41</f>
        <v>41</v>
      </c>
      <c r="CM72">
        <v>0</v>
      </c>
      <c r="CN72">
        <v>41</v>
      </c>
      <c r="CO72">
        <v>0</v>
      </c>
      <c r="CP72">
        <v>41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9.3678779051968114E-2</v>
      </c>
      <c r="FK72" s="32">
        <v>8.0586403511111196E-2</v>
      </c>
      <c r="FL72" s="32">
        <v>8.0586403511111196E-2</v>
      </c>
      <c r="FM72" s="32">
        <v>8.0586403511111196E-2</v>
      </c>
      <c r="FN72" s="32">
        <v>8.0586403511111196E-2</v>
      </c>
      <c r="FO72" s="32">
        <v>8.0586403511111196E-2</v>
      </c>
      <c r="FP72" s="32">
        <v>8.0586403511111196E-2</v>
      </c>
      <c r="FQ72" s="32">
        <v>8.0586403511111196E-2</v>
      </c>
      <c r="FR72" s="32">
        <v>8.0586403511111196E-2</v>
      </c>
      <c r="FS72" s="32">
        <v>8.0586403511111196E-2</v>
      </c>
    </row>
    <row r="73" spans="1:175" x14ac:dyDescent="0.3">
      <c r="A73" s="109"/>
      <c r="B73" s="61" t="s">
        <v>277</v>
      </c>
      <c r="C73" s="11" t="s">
        <v>277</v>
      </c>
      <c r="D73" s="2" t="s">
        <v>278</v>
      </c>
      <c r="E73" s="9">
        <f t="shared" si="5"/>
        <v>65</v>
      </c>
      <c r="F73" s="13">
        <v>1</v>
      </c>
      <c r="G73" s="13" t="s">
        <v>278</v>
      </c>
      <c r="H73">
        <v>0</v>
      </c>
      <c r="I73" t="s">
        <v>12</v>
      </c>
      <c r="J73">
        <v>1</v>
      </c>
      <c r="K73">
        <v>0</v>
      </c>
      <c r="L73" s="10">
        <v>0</v>
      </c>
      <c r="M73">
        <v>0</v>
      </c>
      <c r="N73">
        <v>-1</v>
      </c>
      <c r="O73">
        <f t="shared" si="126"/>
        <v>2000000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60">
        <v>0</v>
      </c>
      <c r="AU73" s="60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60">
        <v>1</v>
      </c>
      <c r="BE73" s="60">
        <v>1</v>
      </c>
      <c r="BF73" s="60">
        <v>1</v>
      </c>
      <c r="BG73" s="60">
        <v>1</v>
      </c>
      <c r="BH73" s="60">
        <v>1</v>
      </c>
      <c r="BI73" s="60">
        <v>1</v>
      </c>
      <c r="BJ73" s="60">
        <v>1</v>
      </c>
      <c r="BK73" s="60">
        <v>1</v>
      </c>
      <c r="BL73" s="60">
        <v>1</v>
      </c>
      <c r="BM73" s="60">
        <v>1</v>
      </c>
      <c r="BN73" s="60">
        <v>1</v>
      </c>
      <c r="BO73" s="60">
        <v>1</v>
      </c>
      <c r="BP73" s="60">
        <v>1</v>
      </c>
      <c r="BQ73" s="60">
        <v>1</v>
      </c>
      <c r="BR73" s="60">
        <v>1</v>
      </c>
      <c r="BS73" s="60">
        <v>1</v>
      </c>
      <c r="BT73" s="60">
        <v>1</v>
      </c>
      <c r="BU73" s="60">
        <v>1</v>
      </c>
      <c r="BV73" s="60">
        <v>1</v>
      </c>
      <c r="BW73" s="60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09"/>
      <c r="B74" s="12" t="s">
        <v>28</v>
      </c>
      <c r="C74" s="4" t="s">
        <v>33</v>
      </c>
      <c r="D74" s="6" t="s">
        <v>43</v>
      </c>
      <c r="E74" s="9">
        <f t="shared" si="5"/>
        <v>66</v>
      </c>
      <c r="F74" s="13">
        <v>0</v>
      </c>
      <c r="G74" s="13" t="s">
        <v>24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f t="shared" si="126"/>
        <v>2000000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1</v>
      </c>
      <c r="BE74" s="14">
        <v>1</v>
      </c>
      <c r="BF74" s="14">
        <v>1</v>
      </c>
      <c r="BG74" s="14">
        <v>1</v>
      </c>
      <c r="BH74" s="14">
        <v>1</v>
      </c>
      <c r="BI74" s="14">
        <v>1</v>
      </c>
      <c r="BJ74" s="14">
        <v>1</v>
      </c>
      <c r="BK74" s="14">
        <v>1</v>
      </c>
      <c r="BL74" s="14">
        <v>1</v>
      </c>
      <c r="BM74" s="14">
        <v>1</v>
      </c>
      <c r="BN74" s="14">
        <v>1</v>
      </c>
      <c r="BO74" s="14">
        <v>1</v>
      </c>
      <c r="BP74" s="14">
        <v>1</v>
      </c>
      <c r="BQ74" s="14">
        <v>1</v>
      </c>
      <c r="BR74" s="14">
        <v>1</v>
      </c>
      <c r="BS74" s="14">
        <v>1</v>
      </c>
      <c r="BT74" s="14">
        <v>1</v>
      </c>
      <c r="BU74" s="14">
        <v>1</v>
      </c>
      <c r="BV74" s="14">
        <v>1</v>
      </c>
      <c r="BW74" s="1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180</v>
      </c>
      <c r="CI74">
        <v>180</v>
      </c>
      <c r="CJ74">
        <v>180</v>
      </c>
      <c r="CK74">
        <v>180</v>
      </c>
      <c r="CL74">
        <v>180</v>
      </c>
      <c r="CM74">
        <v>180</v>
      </c>
      <c r="CN74">
        <v>180</v>
      </c>
      <c r="CO74">
        <v>180</v>
      </c>
      <c r="CP74">
        <v>180</v>
      </c>
      <c r="CQ74">
        <v>180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1.6649999999999998E-2</v>
      </c>
      <c r="DW74">
        <v>1.6649999999999998E-2</v>
      </c>
      <c r="DX74">
        <v>1.6649999999999998E-2</v>
      </c>
      <c r="DY74">
        <v>1.6649999999999998E-2</v>
      </c>
      <c r="DZ74">
        <v>1.6649999999999998E-2</v>
      </c>
      <c r="EA74">
        <v>1.6649999999999998E-2</v>
      </c>
      <c r="EB74">
        <v>1.6649999999999998E-2</v>
      </c>
      <c r="EC74">
        <v>1.6649999999999998E-2</v>
      </c>
      <c r="ED74">
        <v>1.6649999999999998E-2</v>
      </c>
      <c r="EE74">
        <v>1.6649999999999998E-2</v>
      </c>
      <c r="EF74">
        <v>0</v>
      </c>
      <c r="EG74">
        <v>0</v>
      </c>
      <c r="EH74">
        <v>0</v>
      </c>
      <c r="EI74">
        <v>0</v>
      </c>
      <c r="EJ74">
        <f>$EG74*B$3</f>
        <v>0</v>
      </c>
      <c r="EK74">
        <v>0</v>
      </c>
      <c r="EL74">
        <f>$EG74*C$3</f>
        <v>0</v>
      </c>
      <c r="EM74">
        <v>0</v>
      </c>
      <c r="EN74">
        <f>$EG74*D$3</f>
        <v>0</v>
      </c>
      <c r="EO74">
        <v>0</v>
      </c>
      <c r="EP74">
        <f>0.520716756485048*B1</f>
        <v>0</v>
      </c>
      <c r="EQ74">
        <f>0.520716756485048*B1</f>
        <v>0</v>
      </c>
      <c r="ER74">
        <f>0.520716756485048*B1</f>
        <v>0</v>
      </c>
      <c r="ES74">
        <v>0</v>
      </c>
      <c r="ET74">
        <f>0.187143584625145*B1</f>
        <v>0</v>
      </c>
      <c r="EU74">
        <v>0</v>
      </c>
      <c r="EV74">
        <f>0.0198475609303731*B1</f>
        <v>0</v>
      </c>
      <c r="EW74">
        <v>0</v>
      </c>
      <c r="EX74">
        <f>0.0028336085303343*B1</f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 s="32">
        <v>8.8827433387272267E-2</v>
      </c>
      <c r="FK74" s="32">
        <v>8.8827433387272267E-2</v>
      </c>
      <c r="FL74" s="32">
        <v>8.8827433387272267E-2</v>
      </c>
      <c r="FM74" s="32">
        <v>8.8827433387272267E-2</v>
      </c>
      <c r="FN74" s="32">
        <v>8.8827433387272267E-2</v>
      </c>
      <c r="FO74" s="32">
        <v>8.8827433387272267E-2</v>
      </c>
      <c r="FP74" s="32">
        <v>8.8827433387272267E-2</v>
      </c>
      <c r="FQ74" s="32">
        <v>8.8827433387272267E-2</v>
      </c>
      <c r="FR74" s="32">
        <v>8.8827433387272267E-2</v>
      </c>
      <c r="FS74" s="32">
        <v>8.8827433387272267E-2</v>
      </c>
    </row>
    <row r="75" spans="1:175" x14ac:dyDescent="0.3">
      <c r="A75" s="109"/>
      <c r="B75" s="12" t="s">
        <v>217</v>
      </c>
      <c r="C75" s="4" t="s">
        <v>34</v>
      </c>
      <c r="D75" s="6" t="s">
        <v>279</v>
      </c>
      <c r="E75" s="9">
        <f t="shared" si="5"/>
        <v>67</v>
      </c>
      <c r="F75" s="13">
        <v>1</v>
      </c>
      <c r="G75" s="13" t="s">
        <v>279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v>24000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09"/>
      <c r="B76" s="12" t="s">
        <v>218</v>
      </c>
      <c r="C76" s="11" t="s">
        <v>277</v>
      </c>
      <c r="D76" s="6" t="s">
        <v>176</v>
      </c>
      <c r="E76" s="9">
        <f t="shared" si="5"/>
        <v>68</v>
      </c>
      <c r="F76" s="13">
        <v>1</v>
      </c>
      <c r="G76" s="13" t="s">
        <v>177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v>20000000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34">
        <v>0</v>
      </c>
      <c r="AU76" s="3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34">
        <v>1</v>
      </c>
      <c r="BE76" s="34">
        <v>1</v>
      </c>
      <c r="BF76" s="34">
        <v>1</v>
      </c>
      <c r="BG76" s="34">
        <v>1</v>
      </c>
      <c r="BH76" s="34">
        <v>1</v>
      </c>
      <c r="BI76" s="34">
        <v>1</v>
      </c>
      <c r="BJ76" s="34">
        <v>1</v>
      </c>
      <c r="BK76" s="34">
        <v>1</v>
      </c>
      <c r="BL76" s="34">
        <v>1</v>
      </c>
      <c r="BM76" s="34">
        <v>1</v>
      </c>
      <c r="BN76" s="34">
        <v>1</v>
      </c>
      <c r="BO76" s="34">
        <v>1</v>
      </c>
      <c r="BP76" s="34">
        <v>1</v>
      </c>
      <c r="BQ76" s="34">
        <v>1</v>
      </c>
      <c r="BR76" s="34">
        <v>1</v>
      </c>
      <c r="BS76" s="34">
        <v>1</v>
      </c>
      <c r="BT76" s="34">
        <v>1</v>
      </c>
      <c r="BU76" s="34">
        <v>1</v>
      </c>
      <c r="BV76" s="34">
        <v>1</v>
      </c>
      <c r="BW76" s="34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>343</f>
        <v>343</v>
      </c>
      <c r="CI76">
        <f>343</f>
        <v>343</v>
      </c>
      <c r="CJ76">
        <f>343</f>
        <v>343</v>
      </c>
      <c r="CK76">
        <f>343</f>
        <v>343</v>
      </c>
      <c r="CL76">
        <f>343</f>
        <v>343</v>
      </c>
      <c r="CM76">
        <f>343</f>
        <v>343</v>
      </c>
      <c r="CN76">
        <f>343</f>
        <v>343</v>
      </c>
      <c r="CO76">
        <f>343</f>
        <v>343</v>
      </c>
      <c r="CP76">
        <f>343</f>
        <v>343</v>
      </c>
      <c r="CQ76">
        <f>343</f>
        <v>343</v>
      </c>
      <c r="CR76">
        <v>8.8000000000000007</v>
      </c>
      <c r="CS76">
        <v>8.8000000000000007</v>
      </c>
      <c r="CT76">
        <v>8.8000000000000007</v>
      </c>
      <c r="CU76">
        <v>8.8000000000000007</v>
      </c>
      <c r="CV76">
        <v>8.8000000000000007</v>
      </c>
      <c r="CW76">
        <v>8.8000000000000007</v>
      </c>
      <c r="CX76">
        <v>8.8000000000000007</v>
      </c>
      <c r="CY76">
        <v>8.8000000000000007</v>
      </c>
      <c r="CZ76">
        <v>8.8000000000000007</v>
      </c>
      <c r="DA76">
        <v>8.8000000000000007</v>
      </c>
      <c r="DB76">
        <f t="shared" ref="DB76:DK76" si="130">6/(10^3)</f>
        <v>6.0000000000000001E-3</v>
      </c>
      <c r="DC76">
        <f t="shared" si="130"/>
        <v>6.0000000000000001E-3</v>
      </c>
      <c r="DD76">
        <f t="shared" si="130"/>
        <v>6.0000000000000001E-3</v>
      </c>
      <c r="DE76">
        <f t="shared" si="130"/>
        <v>6.0000000000000001E-3</v>
      </c>
      <c r="DF76">
        <f t="shared" si="130"/>
        <v>6.0000000000000001E-3</v>
      </c>
      <c r="DG76">
        <f t="shared" si="130"/>
        <v>6.0000000000000001E-3</v>
      </c>
      <c r="DH76">
        <f t="shared" si="130"/>
        <v>6.0000000000000001E-3</v>
      </c>
      <c r="DI76">
        <f t="shared" si="130"/>
        <v>6.0000000000000001E-3</v>
      </c>
      <c r="DJ76">
        <f t="shared" si="130"/>
        <v>6.0000000000000001E-3</v>
      </c>
      <c r="DK76">
        <f t="shared" si="130"/>
        <v>6.0000000000000001E-3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f t="shared" ref="DV76:EE76" si="131">0.3</f>
        <v>0.3</v>
      </c>
      <c r="DW76">
        <f t="shared" si="131"/>
        <v>0.3</v>
      </c>
      <c r="DX76">
        <f t="shared" si="131"/>
        <v>0.3</v>
      </c>
      <c r="DY76">
        <f t="shared" si="131"/>
        <v>0.3</v>
      </c>
      <c r="DZ76">
        <f t="shared" si="131"/>
        <v>0.3</v>
      </c>
      <c r="EA76">
        <f t="shared" si="131"/>
        <v>0.3</v>
      </c>
      <c r="EB76">
        <f t="shared" si="131"/>
        <v>0.3</v>
      </c>
      <c r="EC76">
        <f t="shared" si="131"/>
        <v>0.3</v>
      </c>
      <c r="ED76">
        <f t="shared" si="131"/>
        <v>0.3</v>
      </c>
      <c r="EE76">
        <f t="shared" si="131"/>
        <v>0.3</v>
      </c>
      <c r="EF76">
        <f>66</f>
        <v>66</v>
      </c>
      <c r="EG76">
        <f>66</f>
        <v>66</v>
      </c>
      <c r="EH76">
        <f>66</f>
        <v>66</v>
      </c>
      <c r="EI76">
        <v>0</v>
      </c>
      <c r="EJ76">
        <f>66</f>
        <v>66</v>
      </c>
      <c r="EK76">
        <v>0</v>
      </c>
      <c r="EL76">
        <f>66</f>
        <v>66</v>
      </c>
      <c r="EM76">
        <v>0</v>
      </c>
      <c r="EN76">
        <f>66</f>
        <v>66</v>
      </c>
      <c r="EO76">
        <v>0</v>
      </c>
      <c r="EP76">
        <v>0.73950000000000005</v>
      </c>
      <c r="EQ76">
        <v>0.73950000000000005</v>
      </c>
      <c r="ER76">
        <v>0.73950000000000005</v>
      </c>
      <c r="ES76">
        <v>0</v>
      </c>
      <c r="ET76">
        <v>0.73950000000000005</v>
      </c>
      <c r="EU76">
        <v>0</v>
      </c>
      <c r="EV76">
        <v>0.73950000000000005</v>
      </c>
      <c r="EW76">
        <v>0</v>
      </c>
      <c r="EX76">
        <v>0.73950000000000005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0.09</v>
      </c>
      <c r="FK76">
        <v>0.09</v>
      </c>
      <c r="FL76">
        <v>0.09</v>
      </c>
      <c r="FM76">
        <v>0.09</v>
      </c>
      <c r="FN76">
        <v>0.09</v>
      </c>
      <c r="FO76">
        <v>0.09</v>
      </c>
      <c r="FP76">
        <v>0.09</v>
      </c>
      <c r="FQ76">
        <v>0.09</v>
      </c>
      <c r="FR76">
        <v>0.09</v>
      </c>
      <c r="FS76">
        <v>0.09</v>
      </c>
    </row>
    <row r="77" spans="1:175" x14ac:dyDescent="0.3">
      <c r="A77" s="109"/>
      <c r="B77" s="12" t="s">
        <v>15</v>
      </c>
      <c r="C77" s="11" t="s">
        <v>277</v>
      </c>
      <c r="D77" s="6" t="s">
        <v>44</v>
      </c>
      <c r="E77" s="9">
        <f t="shared" si="5"/>
        <v>69</v>
      </c>
      <c r="F77" s="13">
        <v>1</v>
      </c>
      <c r="G77" s="13" t="s">
        <v>25</v>
      </c>
      <c r="H77">
        <v>0</v>
      </c>
      <c r="I77" t="s">
        <v>12</v>
      </c>
      <c r="J77">
        <v>-1</v>
      </c>
      <c r="K77">
        <v>0</v>
      </c>
      <c r="L77" s="10">
        <v>0</v>
      </c>
      <c r="M77">
        <v>0</v>
      </c>
      <c r="N77">
        <v>0</v>
      </c>
      <c r="O77">
        <f>O79/2</f>
        <v>10000000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0.06</v>
      </c>
      <c r="BY77">
        <v>0.06</v>
      </c>
      <c r="BZ77">
        <v>3.5000000000000003E-2</v>
      </c>
      <c r="CA77">
        <v>0.05</v>
      </c>
      <c r="CB77">
        <v>0.05</v>
      </c>
      <c r="CC77">
        <v>0.05</v>
      </c>
      <c r="CD77">
        <f>(CB77+CF77)/2</f>
        <v>3.7500000000000006E-2</v>
      </c>
      <c r="CE77">
        <v>2.5000000000000001E-2</v>
      </c>
      <c r="CF77">
        <v>2.5000000000000001E-2</v>
      </c>
      <c r="CG77">
        <v>2.5000000000000001E-2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f>$EG77*B$3</f>
        <v>0</v>
      </c>
      <c r="EK77">
        <v>0</v>
      </c>
      <c r="EL77">
        <f>$EG77*C$3</f>
        <v>0</v>
      </c>
      <c r="EM77">
        <v>0</v>
      </c>
      <c r="EN77">
        <f>$EG77*D$3</f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3">
      <c r="A78" s="109"/>
      <c r="B78" s="12" t="s">
        <v>16</v>
      </c>
      <c r="C78" s="11" t="s">
        <v>277</v>
      </c>
      <c r="D78" s="6" t="s">
        <v>45</v>
      </c>
      <c r="E78" s="9">
        <f t="shared" si="5"/>
        <v>70</v>
      </c>
      <c r="F78" s="13">
        <v>1</v>
      </c>
      <c r="G78" s="13" t="s">
        <v>26</v>
      </c>
      <c r="H78">
        <v>0</v>
      </c>
      <c r="I78" t="s">
        <v>12</v>
      </c>
      <c r="J78">
        <v>1</v>
      </c>
      <c r="K78">
        <v>0</v>
      </c>
      <c r="L78" s="10">
        <v>0</v>
      </c>
      <c r="M78">
        <v>0</v>
      </c>
      <c r="N78">
        <v>0</v>
      </c>
      <c r="O78">
        <f>3*O79</f>
        <v>60000000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1</v>
      </c>
      <c r="BE78" s="14">
        <v>1</v>
      </c>
      <c r="BF78" s="14">
        <v>1</v>
      </c>
      <c r="BG78" s="14">
        <v>1</v>
      </c>
      <c r="BH78" s="14">
        <v>1</v>
      </c>
      <c r="BI78" s="14">
        <v>1</v>
      </c>
      <c r="BJ78" s="14">
        <v>1</v>
      </c>
      <c r="BK78" s="14">
        <v>1</v>
      </c>
      <c r="BL78" s="14">
        <v>1</v>
      </c>
      <c r="BM78" s="14">
        <v>1</v>
      </c>
      <c r="BN78" s="14">
        <v>1</v>
      </c>
      <c r="BO78" s="14">
        <v>1</v>
      </c>
      <c r="BP78" s="14">
        <v>1</v>
      </c>
      <c r="BQ78" s="14">
        <v>1</v>
      </c>
      <c r="BR78" s="14">
        <v>1</v>
      </c>
      <c r="BS78" s="14">
        <v>1</v>
      </c>
      <c r="BT78" s="14">
        <v>1</v>
      </c>
      <c r="BU78" s="14">
        <v>1</v>
      </c>
      <c r="BV78" s="14">
        <v>1</v>
      </c>
      <c r="BW78" s="14">
        <v>1</v>
      </c>
      <c r="BX78">
        <v>0.06</v>
      </c>
      <c r="BY78">
        <v>0.06</v>
      </c>
      <c r="BZ78">
        <v>0.04</v>
      </c>
      <c r="CA78">
        <v>0.05</v>
      </c>
      <c r="CB78">
        <v>0.05</v>
      </c>
      <c r="CC78">
        <v>0.05</v>
      </c>
      <c r="CD78">
        <f>(CB78+CF78)/2</f>
        <v>3.7500000000000006E-2</v>
      </c>
      <c r="CE78">
        <v>2.5000000000000001E-2</v>
      </c>
      <c r="CF78">
        <v>2.5000000000000001E-2</v>
      </c>
      <c r="CG78">
        <v>2.5000000000000001E-2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f>$EG78*B$3</f>
        <v>0</v>
      </c>
      <c r="EK78">
        <v>0</v>
      </c>
      <c r="EL78">
        <f>$EG78*C$3</f>
        <v>0</v>
      </c>
      <c r="EM78">
        <v>0</v>
      </c>
      <c r="EN78">
        <f>$EG78*D$3</f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f>$EQ78*B$3</f>
        <v>0</v>
      </c>
      <c r="EU78">
        <v>0</v>
      </c>
      <c r="EV78">
        <f>$EQ78*C$3</f>
        <v>0</v>
      </c>
      <c r="EW78">
        <v>0</v>
      </c>
      <c r="EX78">
        <f>$EQ78*D$3</f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</row>
    <row r="79" spans="1:175" x14ac:dyDescent="0.3">
      <c r="A79" s="109"/>
      <c r="B79" s="12" t="s">
        <v>17</v>
      </c>
      <c r="C79" s="11" t="s">
        <v>277</v>
      </c>
      <c r="D79" s="2" t="s">
        <v>46</v>
      </c>
      <c r="E79" s="9">
        <f t="shared" si="5"/>
        <v>71</v>
      </c>
      <c r="F79" s="13">
        <v>1</v>
      </c>
      <c r="G79" s="13" t="s">
        <v>27</v>
      </c>
      <c r="H79">
        <v>0</v>
      </c>
      <c r="I79" t="s">
        <v>12</v>
      </c>
      <c r="J79">
        <v>0</v>
      </c>
      <c r="K79">
        <v>0</v>
      </c>
      <c r="L79" s="10">
        <v>0</v>
      </c>
      <c r="M79">
        <v>0</v>
      </c>
      <c r="N79">
        <v>0</v>
      </c>
      <c r="O79">
        <v>20000000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14">
        <v>0.2</v>
      </c>
      <c r="AU79" s="14">
        <v>0.1</v>
      </c>
      <c r="AV79" s="14">
        <v>0.1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1</v>
      </c>
      <c r="BE79" s="14">
        <v>1</v>
      </c>
      <c r="BF79" s="14">
        <v>1</v>
      </c>
      <c r="BG79" s="14">
        <v>1</v>
      </c>
      <c r="BH79" s="14">
        <v>1</v>
      </c>
      <c r="BI79" s="14">
        <v>1</v>
      </c>
      <c r="BJ79" s="14">
        <v>1</v>
      </c>
      <c r="BK79" s="14">
        <v>1</v>
      </c>
      <c r="BL79" s="14">
        <v>1</v>
      </c>
      <c r="BM79" s="14">
        <v>1</v>
      </c>
      <c r="BN79" s="14">
        <v>1</v>
      </c>
      <c r="BO79" s="14">
        <v>1</v>
      </c>
      <c r="BP79" s="14">
        <v>1</v>
      </c>
      <c r="BQ79" s="14">
        <v>1</v>
      </c>
      <c r="BR79" s="14">
        <v>1</v>
      </c>
      <c r="BS79" s="14">
        <v>1</v>
      </c>
      <c r="BT79" s="14">
        <v>1</v>
      </c>
      <c r="BU79" s="14">
        <v>1</v>
      </c>
      <c r="BV79" s="14">
        <v>1</v>
      </c>
      <c r="BW79" s="14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750</v>
      </c>
      <c r="CI79">
        <v>550</v>
      </c>
      <c r="CJ79">
        <v>300</v>
      </c>
      <c r="CK79">
        <v>648.61538000000007</v>
      </c>
      <c r="CL79">
        <v>180</v>
      </c>
      <c r="CM79">
        <v>148</v>
      </c>
      <c r="CN79">
        <f>(CL79+CQ79)/2</f>
        <v>164</v>
      </c>
      <c r="CO79">
        <v>265.91145</v>
      </c>
      <c r="CP79">
        <v>180</v>
      </c>
      <c r="CQ79">
        <v>148</v>
      </c>
      <c r="CR79">
        <f>CH79*0.02</f>
        <v>15</v>
      </c>
      <c r="CS79">
        <f>CI79*0.015</f>
        <v>8.25</v>
      </c>
      <c r="CT79">
        <f>CJ79*0.015</f>
        <v>4.5</v>
      </c>
      <c r="CU79">
        <f>CK79*0.015</f>
        <v>9.7292307000000005</v>
      </c>
      <c r="CV79">
        <f>CL79*0.015</f>
        <v>2.6999999999999997</v>
      </c>
      <c r="CW79">
        <f>CM79*0.01</f>
        <v>1.48</v>
      </c>
      <c r="CX79">
        <f>CN79*0.015</f>
        <v>2.46</v>
      </c>
      <c r="CY79">
        <f>CO79*0.015</f>
        <v>3.98867175</v>
      </c>
      <c r="CZ79">
        <f>CP79*0.015</f>
        <v>2.6999999999999997</v>
      </c>
      <c r="DA79">
        <f>CQ79*0.01</f>
        <v>1.48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11.908571428571429</v>
      </c>
      <c r="EG79">
        <v>2.6463492063492065</v>
      </c>
      <c r="EH79">
        <v>1.8503884572697002</v>
      </c>
      <c r="EI79">
        <v>0</v>
      </c>
      <c r="EJ79">
        <v>1.5728301886792453</v>
      </c>
      <c r="EK79">
        <v>0</v>
      </c>
      <c r="EL79">
        <v>1.3106918238993712</v>
      </c>
      <c r="EM79">
        <v>0</v>
      </c>
      <c r="EN79">
        <v>1.0485534591194969</v>
      </c>
      <c r="EO79">
        <v>0</v>
      </c>
      <c r="EP79">
        <v>0</v>
      </c>
      <c r="EQ79">
        <v>0</v>
      </c>
      <c r="ER79">
        <v>0</v>
      </c>
      <c r="ES79">
        <v>0</v>
      </c>
      <c r="ET79">
        <f>$EQ79*B$3</f>
        <v>0</v>
      </c>
      <c r="EU79">
        <v>0</v>
      </c>
      <c r="EV79">
        <f>$EQ79*C$3</f>
        <v>0</v>
      </c>
      <c r="EW79">
        <v>0</v>
      </c>
      <c r="EX79">
        <f>$EQ79*D$3</f>
        <v>0</v>
      </c>
      <c r="EY79">
        <v>0</v>
      </c>
      <c r="EZ79">
        <v>2.5999999999999999E-2</v>
      </c>
      <c r="FA79">
        <v>1.7333333333333333E-2</v>
      </c>
      <c r="FB79">
        <v>1.0399999999999998E-2</v>
      </c>
      <c r="FC79">
        <v>0</v>
      </c>
      <c r="FD79">
        <v>1.7333333333333333E-2</v>
      </c>
      <c r="FE79">
        <v>0</v>
      </c>
      <c r="FF79">
        <v>1.7333333333333333E-2</v>
      </c>
      <c r="FG79">
        <v>0</v>
      </c>
      <c r="FH79">
        <v>1.7333333333333333E-2</v>
      </c>
      <c r="FI79">
        <v>0</v>
      </c>
      <c r="FJ79">
        <v>0.19207240142841048</v>
      </c>
      <c r="FK79">
        <v>0.11682954493601999</v>
      </c>
      <c r="FL79">
        <v>0.1096294314987091</v>
      </c>
      <c r="FM79" s="51">
        <v>0.10185220882315059</v>
      </c>
      <c r="FN79" s="51">
        <v>0.10185220882315059</v>
      </c>
      <c r="FO79" s="51">
        <v>0.10185220882315059</v>
      </c>
      <c r="FP79">
        <f>(FN79+FR79)/2</f>
        <v>9.5339821105211428E-2</v>
      </c>
      <c r="FQ79">
        <v>8.8827433387272267E-2</v>
      </c>
      <c r="FR79">
        <v>8.8827433387272267E-2</v>
      </c>
      <c r="FS79">
        <v>8.8827433387272267E-2</v>
      </c>
    </row>
  </sheetData>
  <mergeCells count="22">
    <mergeCell ref="P4:Y4"/>
    <mergeCell ref="A9:A54"/>
    <mergeCell ref="A55:A79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A2">
    <cfRule type="cellIs" dxfId="29" priority="3" operator="equal">
      <formula>TRUE</formula>
    </cfRule>
    <cfRule type="cellIs" dxfId="28" priority="4" operator="equal">
      <formula>FALSE</formula>
    </cfRule>
  </conditionalFormatting>
  <conditionalFormatting sqref="B2">
    <cfRule type="cellIs" dxfId="27" priority="1" operator="equal">
      <formula>FALSE</formula>
    </cfRule>
    <cfRule type="cellIs" dxfId="26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76"/>
  <sheetViews>
    <sheetView topLeftCell="A37" workbookViewId="0">
      <pane xSplit="2" topLeftCell="M1" activePane="topRight" state="frozen"/>
      <selection activeCell="A4" sqref="A4"/>
      <selection pane="topRight" activeCell="V58" sqref="V58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  <col min="19" max="19" width="15.44140625" customWidth="1"/>
    <col min="20" max="20" width="14.109375" customWidth="1"/>
    <col min="21" max="21" width="17.77734375" customWidth="1"/>
    <col min="22" max="22" width="15.44140625" customWidth="1"/>
  </cols>
  <sheetData>
    <row r="1" spans="1:22" x14ac:dyDescent="0.3">
      <c r="A1" s="17" t="s">
        <v>234</v>
      </c>
      <c r="B1" s="5" t="s">
        <v>170</v>
      </c>
      <c r="C1" t="s">
        <v>418</v>
      </c>
      <c r="D1" t="s">
        <v>419</v>
      </c>
      <c r="E1" t="s">
        <v>420</v>
      </c>
      <c r="F1" t="s">
        <v>421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  <c r="S1" t="s">
        <v>103</v>
      </c>
      <c r="T1" t="s">
        <v>103</v>
      </c>
      <c r="U1" t="s">
        <v>103</v>
      </c>
      <c r="V1" t="s">
        <v>103</v>
      </c>
    </row>
    <row r="2" spans="1:22" x14ac:dyDescent="0.3">
      <c r="A2" s="53" t="str">
        <f>B28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19.899999999999999</v>
      </c>
      <c r="N2" s="33">
        <v>19.899999999999999</v>
      </c>
      <c r="O2" s="33">
        <v>19.899999999999999</v>
      </c>
      <c r="P2" s="33">
        <v>120</v>
      </c>
      <c r="Q2" s="33">
        <v>120</v>
      </c>
      <c r="R2" s="33">
        <v>120</v>
      </c>
      <c r="S2" s="33">
        <v>19.899999999999999</v>
      </c>
      <c r="T2" s="33">
        <v>19.899999999999999</v>
      </c>
      <c r="U2" s="33">
        <v>19.899999999999999</v>
      </c>
      <c r="V2" s="33">
        <v>19.899999999999999</v>
      </c>
    </row>
    <row r="3" spans="1:22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  <c r="S3" t="s">
        <v>104</v>
      </c>
      <c r="T3" t="s">
        <v>87</v>
      </c>
      <c r="U3" t="s">
        <v>122</v>
      </c>
      <c r="V3" t="s">
        <v>104</v>
      </c>
    </row>
    <row r="4" spans="1:22" x14ac:dyDescent="0.3">
      <c r="A4" s="53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  <c r="U4" t="s">
        <v>122</v>
      </c>
      <c r="V4" t="s">
        <v>613</v>
      </c>
    </row>
    <row r="5" spans="1:22" x14ac:dyDescent="0.3">
      <c r="A5" s="3"/>
      <c r="B5" s="5" t="s">
        <v>125</v>
      </c>
      <c r="C5" t="str">
        <f t="shared" ref="C5:U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si="0"/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si="0"/>
        <v>MeOH_Mix_PS</v>
      </c>
      <c r="P5" t="str">
        <f t="shared" si="0"/>
        <v>H2_AEC_None</v>
      </c>
      <c r="Q5" t="str">
        <f t="shared" si="0"/>
        <v>H2_SOEC_None</v>
      </c>
      <c r="R5" t="str">
        <f t="shared" si="0"/>
        <v>H2_Mix_None</v>
      </c>
      <c r="S5" t="str">
        <f t="shared" si="0"/>
        <v>MeOH_SOEC_None</v>
      </c>
      <c r="T5" t="str">
        <f t="shared" si="0"/>
        <v>MeOH_AEC_None</v>
      </c>
      <c r="U5" t="str">
        <f t="shared" si="0"/>
        <v>MeOH_None_None</v>
      </c>
      <c r="V5" t="str">
        <f t="shared" ref="V5" si="1">V1&amp;"_"&amp;V3&amp;"_"&amp;V4</f>
        <v>MeOH_SOEC_HT</v>
      </c>
    </row>
    <row r="6" spans="1:22" x14ac:dyDescent="0.3">
      <c r="A6" s="2">
        <f>ROW(B6)-ROW($A$5)</f>
        <v>1</v>
      </c>
      <c r="B6" s="2" t="str">
        <f>Data_base_case!D9</f>
        <v>CO2 capture DAC</v>
      </c>
      <c r="C6" s="2">
        <f t="shared" ref="C6:V6" si="2">IF(AND(C1="MeOH",C4="DAC"),1,0)</f>
        <v>0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1</v>
      </c>
      <c r="K6" s="2">
        <f t="shared" si="2"/>
        <v>1</v>
      </c>
      <c r="L6" s="2">
        <f t="shared" si="2"/>
        <v>1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ref="S6" si="3">IF(AND(S1="MeOH",S4="DAC"),1,0)</f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</row>
    <row r="7" spans="1:22" x14ac:dyDescent="0.3">
      <c r="A7" s="2">
        <f t="shared" ref="A7:A76" si="4">ROW(B7)-ROW($A$5)</f>
        <v>2</v>
      </c>
      <c r="B7" s="2" t="str">
        <f>Data_base_case!D10</f>
        <v>CO2 capture PS</v>
      </c>
      <c r="C7" s="2">
        <f t="shared" ref="C7:V7" si="5">IF(AND(C1="MeOH",C4="PS"),1,0)</f>
        <v>0</v>
      </c>
      <c r="D7" s="2">
        <f t="shared" si="5"/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0</v>
      </c>
      <c r="Q7" s="2">
        <f t="shared" si="5"/>
        <v>0</v>
      </c>
      <c r="R7" s="2">
        <f t="shared" si="5"/>
        <v>0</v>
      </c>
      <c r="S7" s="2">
        <f t="shared" ref="S7" si="6">IF(AND(S1="MeOH",S4="PS"),1,0)</f>
        <v>0</v>
      </c>
      <c r="T7" s="2">
        <f t="shared" si="5"/>
        <v>0</v>
      </c>
      <c r="U7" s="2">
        <f t="shared" si="5"/>
        <v>0</v>
      </c>
      <c r="V7" s="2">
        <f t="shared" si="5"/>
        <v>0</v>
      </c>
    </row>
    <row r="8" spans="1:22" x14ac:dyDescent="0.3">
      <c r="A8" s="2">
        <f t="shared" si="4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7">IF(AND(D1="MeOH"),1,0)</f>
        <v>0</v>
      </c>
      <c r="E8" s="2">
        <f t="shared" si="7"/>
        <v>0</v>
      </c>
      <c r="F8" s="2">
        <f t="shared" si="7"/>
        <v>0</v>
      </c>
      <c r="G8" s="2">
        <f t="shared" si="7"/>
        <v>0</v>
      </c>
      <c r="H8" s="2">
        <f t="shared" si="7"/>
        <v>0</v>
      </c>
      <c r="I8" s="2">
        <f t="shared" si="7"/>
        <v>0</v>
      </c>
      <c r="J8" s="2">
        <f t="shared" si="7"/>
        <v>1</v>
      </c>
      <c r="K8" s="2">
        <f t="shared" si="7"/>
        <v>1</v>
      </c>
      <c r="L8" s="2">
        <f t="shared" si="7"/>
        <v>1</v>
      </c>
      <c r="M8" s="2">
        <f t="shared" si="7"/>
        <v>1</v>
      </c>
      <c r="N8" s="2">
        <f t="shared" si="7"/>
        <v>1</v>
      </c>
      <c r="O8" s="2">
        <f t="shared" si="7"/>
        <v>1</v>
      </c>
      <c r="P8" s="2">
        <f t="shared" si="7"/>
        <v>0</v>
      </c>
      <c r="Q8" s="2">
        <f t="shared" si="7"/>
        <v>0</v>
      </c>
      <c r="R8" s="2">
        <f t="shared" si="7"/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">
      <c r="A9" s="2">
        <f t="shared" si="4"/>
        <v>4</v>
      </c>
      <c r="B9" s="2" t="str">
        <f>Data_base_case!D12</f>
        <v>MeOH - Biogas - SOEC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0</v>
      </c>
    </row>
    <row r="10" spans="1:22" x14ac:dyDescent="0.3">
      <c r="A10" s="2">
        <f t="shared" si="4"/>
        <v>5</v>
      </c>
      <c r="B10" s="2" t="str">
        <f>Data_base_case!D13</f>
        <v>MeOH - Biogas - None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</row>
    <row r="11" spans="1:22" x14ac:dyDescent="0.3">
      <c r="A11" s="2">
        <f t="shared" si="4"/>
        <v>6</v>
      </c>
      <c r="B11" s="2" t="str">
        <f>Data_base_case!D14</f>
        <v>Biogas w H2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0</v>
      </c>
    </row>
    <row r="12" spans="1:22" x14ac:dyDescent="0.3">
      <c r="A12" s="2">
        <f t="shared" si="4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</row>
    <row r="13" spans="1:22" x14ac:dyDescent="0.3">
      <c r="A13" s="2">
        <f t="shared" si="4"/>
        <v>8</v>
      </c>
      <c r="B13" s="119" t="s">
        <v>614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</row>
    <row r="14" spans="1:22" x14ac:dyDescent="0.3">
      <c r="A14" s="2">
        <f t="shared" si="4"/>
        <v>9</v>
      </c>
      <c r="B14" s="119" t="s">
        <v>616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3">
      <c r="A15" s="2">
        <f t="shared" si="4"/>
        <v>10</v>
      </c>
      <c r="B15" s="2" t="str">
        <f>Data_base_case!D18</f>
        <v>Biomass bamboo 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">
      <c r="A16" s="2">
        <f t="shared" si="4"/>
        <v>11</v>
      </c>
      <c r="B16" s="2" t="str">
        <f>Data_base_case!D19</f>
        <v>Biomass bamboo 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">
      <c r="A17" s="2">
        <f t="shared" si="4"/>
        <v>12</v>
      </c>
      <c r="B17" s="2" t="str">
        <f>Data_base_case!D20</f>
        <v>Biomass wheat 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">
      <c r="A18" s="2">
        <f t="shared" si="4"/>
        <v>13</v>
      </c>
      <c r="B18" s="2" t="str">
        <f>Data_base_case!D21</f>
        <v>Biomass wheat 1</v>
      </c>
      <c r="C18" s="2">
        <v>0</v>
      </c>
      <c r="D18" s="2">
        <v>0</v>
      </c>
      <c r="E18" s="2">
        <v>0</v>
      </c>
      <c r="F18" s="2">
        <v>1</v>
      </c>
      <c r="G18" s="2">
        <f>IF(G1="Bio-eMeOH",1,0)</f>
        <v>0</v>
      </c>
      <c r="H18" s="2">
        <f>IF(H1="Bio-eMeOH",1,0)</f>
        <v>0</v>
      </c>
      <c r="I18" s="2">
        <f>IF(I1="Bio-eMeOH",1,0)</f>
        <v>0</v>
      </c>
      <c r="J18" s="2">
        <f>IF(J1="Bio-eMeOH",1,0)</f>
        <v>0</v>
      </c>
      <c r="K18" s="2">
        <f>IF(K1="Bio-eMeOH",1,0)</f>
        <v>0</v>
      </c>
      <c r="L18" s="2">
        <f>IF(L1="Bio-eMeOH",1,0)</f>
        <v>0</v>
      </c>
      <c r="M18" s="2">
        <f>IF(M1="Bio-eMeOH",1,0)</f>
        <v>0</v>
      </c>
      <c r="N18" s="2">
        <f>IF(N1="Bio-eMeOH",1,0)</f>
        <v>0</v>
      </c>
      <c r="O18" s="2">
        <f>IF(O1="Bio-eMeOH",1,0)</f>
        <v>0</v>
      </c>
      <c r="P18" s="2">
        <f>IF(P1="Bio-eMeOH",1,0)</f>
        <v>0</v>
      </c>
      <c r="Q18" s="2">
        <f>IF(Q1="Bio-eMeOH",1,0)</f>
        <v>0</v>
      </c>
      <c r="R18" s="2">
        <f>IF(R1="Bio-eMeOH",1,0)</f>
        <v>0</v>
      </c>
      <c r="S18" s="2">
        <f t="shared" ref="S18" si="8">IF(S1="Bio-eMeOH",1,0)</f>
        <v>0</v>
      </c>
      <c r="T18" s="2">
        <f>IF(T1="Bio-eMeOH",1,0)</f>
        <v>0</v>
      </c>
      <c r="U18" s="2">
        <f>IF(U1="Bio-eMeOH",1,0)</f>
        <v>0</v>
      </c>
      <c r="V18" s="2">
        <f>IF(V1="Bio-eMeOH",1,0)</f>
        <v>0</v>
      </c>
    </row>
    <row r="19" spans="1:22" x14ac:dyDescent="0.3">
      <c r="A19" s="2">
        <f t="shared" si="4"/>
        <v>14</v>
      </c>
      <c r="B19" s="2" t="str">
        <f>Data_base_case!D22</f>
        <v>Sale of biochar</v>
      </c>
      <c r="C19" s="2">
        <v>1</v>
      </c>
      <c r="D19" s="2">
        <v>1</v>
      </c>
      <c r="E19" s="2">
        <v>1</v>
      </c>
      <c r="F19" s="2">
        <v>1</v>
      </c>
      <c r="G19" s="2">
        <f>IF(G2="Bio-eMeOH",1,0)</f>
        <v>0</v>
      </c>
      <c r="H19" s="2">
        <f>IF(H2="Bio-eMeOH",1,0)</f>
        <v>0</v>
      </c>
      <c r="I19" s="2">
        <f>IF(I2="Bio-eMeOH",1,0)</f>
        <v>0</v>
      </c>
      <c r="J19" s="2">
        <f>IF(J2="Bio-eMeOH",1,0)</f>
        <v>0</v>
      </c>
      <c r="K19" s="2">
        <f>IF(K2="Bio-eMeOH",1,0)</f>
        <v>0</v>
      </c>
      <c r="L19" s="2">
        <f>IF(L2="Bio-eMeOH",1,0)</f>
        <v>0</v>
      </c>
      <c r="M19" s="2">
        <f>IF(M2="Bio-eMeOH",1,0)</f>
        <v>0</v>
      </c>
      <c r="N19" s="2">
        <f>IF(N2="Bio-eMeOH",1,0)</f>
        <v>0</v>
      </c>
      <c r="O19" s="2">
        <f>IF(O2="Bio-eMeOH",1,0)</f>
        <v>0</v>
      </c>
      <c r="P19" s="2">
        <f t="shared" ref="P19:U19" si="9">IF(P2="Bio-eMeOH",1,0)</f>
        <v>0</v>
      </c>
      <c r="Q19" s="2">
        <f t="shared" si="9"/>
        <v>0</v>
      </c>
      <c r="R19" s="2">
        <f t="shared" si="9"/>
        <v>0</v>
      </c>
      <c r="S19" s="2">
        <f t="shared" si="9"/>
        <v>0</v>
      </c>
      <c r="T19" s="2">
        <f t="shared" si="9"/>
        <v>0</v>
      </c>
      <c r="U19" s="2">
        <f t="shared" si="9"/>
        <v>0</v>
      </c>
      <c r="V19" s="2">
        <f t="shared" ref="V19" si="10">IF(V2="Bio-eMeOH",1,0)</f>
        <v>0</v>
      </c>
    </row>
    <row r="20" spans="1:22" x14ac:dyDescent="0.3">
      <c r="A20" s="2">
        <f t="shared" si="4"/>
        <v>15</v>
      </c>
      <c r="B20" s="2" t="str">
        <f>Data_base_case!D23</f>
        <v>Bamboo2-stage-SOEC</v>
      </c>
      <c r="C20" s="2">
        <f>IF(AND(C1="DME-B2",C3="SOEC"),1,0)</f>
        <v>1</v>
      </c>
      <c r="D20" s="2">
        <f t="shared" ref="D20:V20" si="11">IF(AND(D1="DME-B2",D3="SOEC"),1,0)</f>
        <v>0</v>
      </c>
      <c r="E20" s="2">
        <f t="shared" si="11"/>
        <v>0</v>
      </c>
      <c r="F20" s="2">
        <f t="shared" si="11"/>
        <v>0</v>
      </c>
      <c r="G20" s="2">
        <f t="shared" si="11"/>
        <v>0</v>
      </c>
      <c r="H20" s="2">
        <f t="shared" si="11"/>
        <v>0</v>
      </c>
      <c r="I20" s="2">
        <f t="shared" si="11"/>
        <v>0</v>
      </c>
      <c r="J20" s="2">
        <f t="shared" si="11"/>
        <v>0</v>
      </c>
      <c r="K20" s="2">
        <f t="shared" si="11"/>
        <v>0</v>
      </c>
      <c r="L20" s="2">
        <f t="shared" si="11"/>
        <v>0</v>
      </c>
      <c r="M20" s="2">
        <f t="shared" si="11"/>
        <v>0</v>
      </c>
      <c r="N20" s="2">
        <f t="shared" si="11"/>
        <v>0</v>
      </c>
      <c r="O20" s="2">
        <f t="shared" si="11"/>
        <v>0</v>
      </c>
      <c r="P20" s="2">
        <f t="shared" si="11"/>
        <v>0</v>
      </c>
      <c r="Q20" s="2">
        <f t="shared" si="11"/>
        <v>0</v>
      </c>
      <c r="R20" s="2">
        <f t="shared" si="11"/>
        <v>0</v>
      </c>
      <c r="S20" s="2">
        <f t="shared" ref="S20" si="12">IF(AND(S1="DME-B2",S3="SOEC"),1,0)</f>
        <v>0</v>
      </c>
      <c r="T20" s="2">
        <f t="shared" si="11"/>
        <v>0</v>
      </c>
      <c r="U20" s="2">
        <f t="shared" si="11"/>
        <v>0</v>
      </c>
      <c r="V20" s="2">
        <f t="shared" si="11"/>
        <v>0</v>
      </c>
    </row>
    <row r="21" spans="1:22" x14ac:dyDescent="0.3">
      <c r="A21" s="2">
        <f t="shared" si="4"/>
        <v>16</v>
      </c>
      <c r="B21" s="2" t="str">
        <f>Data_base_case!D24</f>
        <v>Bamboo1-stage-SOEC</v>
      </c>
      <c r="C21" s="2">
        <f>IF(AND(C1="DME-B1",C3="SOEC"),1,0)</f>
        <v>0</v>
      </c>
      <c r="D21" s="2">
        <f t="shared" ref="D21:V21" si="13">IF(AND(D1="DME-B1",D3="SOEC"),1,0)</f>
        <v>1</v>
      </c>
      <c r="E21" s="2">
        <f t="shared" si="13"/>
        <v>0</v>
      </c>
      <c r="F21" s="2">
        <f t="shared" si="13"/>
        <v>0</v>
      </c>
      <c r="G21" s="2">
        <f t="shared" si="13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K21" s="2">
        <f t="shared" si="13"/>
        <v>0</v>
      </c>
      <c r="L21" s="2">
        <f t="shared" si="13"/>
        <v>0</v>
      </c>
      <c r="M21" s="2">
        <f t="shared" si="13"/>
        <v>0</v>
      </c>
      <c r="N21" s="2">
        <f t="shared" si="13"/>
        <v>0</v>
      </c>
      <c r="O21" s="2">
        <f t="shared" si="13"/>
        <v>0</v>
      </c>
      <c r="P21" s="2">
        <f t="shared" si="13"/>
        <v>0</v>
      </c>
      <c r="Q21" s="2">
        <f t="shared" si="13"/>
        <v>0</v>
      </c>
      <c r="R21" s="2">
        <f t="shared" si="13"/>
        <v>0</v>
      </c>
      <c r="S21" s="2">
        <f t="shared" ref="S21" si="14">IF(AND(S1="DME-B1",S3="SOEC"),1,0)</f>
        <v>0</v>
      </c>
      <c r="T21" s="2">
        <f t="shared" si="13"/>
        <v>0</v>
      </c>
      <c r="U21" s="2">
        <f t="shared" si="13"/>
        <v>0</v>
      </c>
      <c r="V21" s="2">
        <f t="shared" si="13"/>
        <v>0</v>
      </c>
    </row>
    <row r="22" spans="1:22" x14ac:dyDescent="0.3">
      <c r="A22" s="2">
        <f t="shared" si="4"/>
        <v>17</v>
      </c>
      <c r="B22" s="2" t="str">
        <f>Data_base_case!D25</f>
        <v>Wheat2-stage-SOEC</v>
      </c>
      <c r="C22" s="2">
        <f>IF(AND(C1="DME-W2",C3="SOEC"),1,0)</f>
        <v>0</v>
      </c>
      <c r="D22" s="2">
        <f t="shared" ref="D22:V22" si="15">IF(AND(D1="DME-W2",D3="SOEC"),1,0)</f>
        <v>0</v>
      </c>
      <c r="E22" s="2">
        <f t="shared" si="15"/>
        <v>1</v>
      </c>
      <c r="F22" s="2">
        <f t="shared" si="15"/>
        <v>0</v>
      </c>
      <c r="G22" s="2">
        <f t="shared" si="15"/>
        <v>0</v>
      </c>
      <c r="H22" s="2">
        <f t="shared" si="15"/>
        <v>0</v>
      </c>
      <c r="I22" s="2">
        <f t="shared" si="15"/>
        <v>0</v>
      </c>
      <c r="J22" s="2">
        <f t="shared" si="15"/>
        <v>0</v>
      </c>
      <c r="K22" s="2">
        <f t="shared" si="15"/>
        <v>0</v>
      </c>
      <c r="L22" s="2">
        <f t="shared" si="15"/>
        <v>0</v>
      </c>
      <c r="M22" s="2">
        <f t="shared" si="15"/>
        <v>0</v>
      </c>
      <c r="N22" s="2">
        <f t="shared" si="15"/>
        <v>0</v>
      </c>
      <c r="O22" s="2">
        <f t="shared" si="15"/>
        <v>0</v>
      </c>
      <c r="P22" s="2">
        <f t="shared" si="15"/>
        <v>0</v>
      </c>
      <c r="Q22" s="2">
        <f t="shared" si="15"/>
        <v>0</v>
      </c>
      <c r="R22" s="2">
        <f t="shared" si="15"/>
        <v>0</v>
      </c>
      <c r="S22" s="2">
        <f t="shared" ref="S22" si="16">IF(AND(S1="DME-W2",S3="SOEC"),1,0)</f>
        <v>0</v>
      </c>
      <c r="T22" s="2">
        <f t="shared" si="15"/>
        <v>0</v>
      </c>
      <c r="U22" s="2">
        <f t="shared" si="15"/>
        <v>0</v>
      </c>
      <c r="V22" s="2">
        <f t="shared" si="15"/>
        <v>0</v>
      </c>
    </row>
    <row r="23" spans="1:22" x14ac:dyDescent="0.3">
      <c r="A23" s="2">
        <f t="shared" si="4"/>
        <v>18</v>
      </c>
      <c r="B23" s="2" t="str">
        <f>Data_base_case!D26</f>
        <v>Wheat1-stage-SOEC</v>
      </c>
      <c r="C23" s="2">
        <f>IF(AND(C1="DME-W1",C3="SOEC"),1,0)</f>
        <v>0</v>
      </c>
      <c r="D23" s="2">
        <f t="shared" ref="D23:V23" si="17">IF(AND(D1="DME-W1",D3="SOEC"),1,0)</f>
        <v>0</v>
      </c>
      <c r="E23" s="2">
        <f t="shared" si="17"/>
        <v>0</v>
      </c>
      <c r="F23" s="2">
        <f t="shared" si="17"/>
        <v>1</v>
      </c>
      <c r="G23" s="2">
        <f t="shared" si="17"/>
        <v>0</v>
      </c>
      <c r="H23" s="2">
        <f t="shared" si="17"/>
        <v>0</v>
      </c>
      <c r="I23" s="2">
        <f t="shared" si="17"/>
        <v>0</v>
      </c>
      <c r="J23" s="2">
        <f t="shared" si="17"/>
        <v>0</v>
      </c>
      <c r="K23" s="2">
        <f t="shared" si="17"/>
        <v>0</v>
      </c>
      <c r="L23" s="2">
        <f t="shared" si="17"/>
        <v>0</v>
      </c>
      <c r="M23" s="2">
        <f t="shared" si="17"/>
        <v>0</v>
      </c>
      <c r="N23" s="2">
        <f t="shared" si="17"/>
        <v>0</v>
      </c>
      <c r="O23" s="2">
        <f t="shared" si="17"/>
        <v>0</v>
      </c>
      <c r="P23" s="2">
        <f t="shared" si="17"/>
        <v>0</v>
      </c>
      <c r="Q23" s="2">
        <f t="shared" si="17"/>
        <v>0</v>
      </c>
      <c r="R23" s="2">
        <f t="shared" si="17"/>
        <v>0</v>
      </c>
      <c r="S23" s="2">
        <f t="shared" ref="S23" si="18">IF(AND(S1="DME-W1",S3="SOEC"),1,0)</f>
        <v>0</v>
      </c>
      <c r="T23" s="2">
        <f t="shared" si="17"/>
        <v>0</v>
      </c>
      <c r="U23" s="2">
        <f t="shared" si="17"/>
        <v>0</v>
      </c>
      <c r="V23" s="2">
        <f t="shared" si="17"/>
        <v>0</v>
      </c>
    </row>
    <row r="24" spans="1:22" x14ac:dyDescent="0.3">
      <c r="A24" s="2">
        <f t="shared" si="4"/>
        <v>19</v>
      </c>
      <c r="B24" s="2" t="str">
        <f>Data_base_case!D27</f>
        <v>NH3 plant + ASU - AEC</v>
      </c>
      <c r="C24" s="2">
        <f t="shared" ref="C24:V24" si="19">IF(AND(C1="NH3",C3="AEC"),1,0)</f>
        <v>0</v>
      </c>
      <c r="D24" s="2">
        <f t="shared" si="19"/>
        <v>0</v>
      </c>
      <c r="E24" s="2">
        <f t="shared" si="19"/>
        <v>0</v>
      </c>
      <c r="F24" s="2">
        <f t="shared" si="19"/>
        <v>0</v>
      </c>
      <c r="G24" s="2">
        <f t="shared" si="19"/>
        <v>1</v>
      </c>
      <c r="H24" s="2">
        <f t="shared" si="19"/>
        <v>0</v>
      </c>
      <c r="I24" s="2">
        <f t="shared" si="19"/>
        <v>0</v>
      </c>
      <c r="J24" s="2">
        <f t="shared" si="19"/>
        <v>0</v>
      </c>
      <c r="K24" s="2">
        <f t="shared" si="19"/>
        <v>0</v>
      </c>
      <c r="L24" s="2">
        <f t="shared" si="19"/>
        <v>0</v>
      </c>
      <c r="M24" s="2">
        <f t="shared" si="19"/>
        <v>0</v>
      </c>
      <c r="N24" s="2">
        <f t="shared" si="19"/>
        <v>0</v>
      </c>
      <c r="O24" s="2">
        <f t="shared" si="19"/>
        <v>0</v>
      </c>
      <c r="P24" s="2">
        <f t="shared" si="19"/>
        <v>0</v>
      </c>
      <c r="Q24" s="2">
        <f t="shared" si="19"/>
        <v>0</v>
      </c>
      <c r="R24" s="2">
        <f t="shared" si="19"/>
        <v>0</v>
      </c>
      <c r="S24" s="2">
        <f t="shared" ref="S24" si="20">IF(AND(S1="NH3",S3="AEC"),1,0)</f>
        <v>0</v>
      </c>
      <c r="T24" s="2">
        <f t="shared" si="19"/>
        <v>0</v>
      </c>
      <c r="U24" s="2">
        <f t="shared" si="19"/>
        <v>0</v>
      </c>
      <c r="V24" s="2">
        <f t="shared" si="19"/>
        <v>0</v>
      </c>
    </row>
    <row r="25" spans="1:22" x14ac:dyDescent="0.3">
      <c r="A25" s="2">
        <f t="shared" si="4"/>
        <v>20</v>
      </c>
      <c r="B25" s="2" t="str">
        <f>Data_base_case!D28</f>
        <v>NH3 plant + ASU - SOEC</v>
      </c>
      <c r="C25" s="2">
        <f>IF(AND(C1="NH3",C3&lt;&gt;"AEC"),1,0)</f>
        <v>0</v>
      </c>
      <c r="D25" s="2">
        <f t="shared" ref="D25:V25" si="21">IF(AND(D1="NH3",D3&lt;&gt;"AEC"),1,0)</f>
        <v>0</v>
      </c>
      <c r="E25" s="2">
        <f t="shared" si="21"/>
        <v>0</v>
      </c>
      <c r="F25" s="2">
        <f t="shared" si="21"/>
        <v>0</v>
      </c>
      <c r="G25" s="2">
        <f t="shared" si="21"/>
        <v>0</v>
      </c>
      <c r="H25" s="2">
        <f t="shared" si="21"/>
        <v>1</v>
      </c>
      <c r="I25" s="2">
        <f t="shared" si="21"/>
        <v>1</v>
      </c>
      <c r="J25" s="2">
        <f t="shared" si="21"/>
        <v>0</v>
      </c>
      <c r="K25" s="2">
        <f t="shared" si="21"/>
        <v>0</v>
      </c>
      <c r="L25" s="2">
        <f t="shared" si="21"/>
        <v>0</v>
      </c>
      <c r="M25" s="2">
        <f t="shared" si="21"/>
        <v>0</v>
      </c>
      <c r="N25" s="2">
        <f t="shared" si="21"/>
        <v>0</v>
      </c>
      <c r="O25" s="2">
        <f t="shared" si="21"/>
        <v>0</v>
      </c>
      <c r="P25" s="2">
        <f t="shared" si="21"/>
        <v>0</v>
      </c>
      <c r="Q25" s="2">
        <f t="shared" si="21"/>
        <v>0</v>
      </c>
      <c r="R25" s="2">
        <f t="shared" si="21"/>
        <v>0</v>
      </c>
      <c r="S25" s="2">
        <f t="shared" ref="S25" si="22">IF(AND(S1="NH3",S3&lt;&gt;"AEC"),1,0)</f>
        <v>0</v>
      </c>
      <c r="T25" s="2">
        <f t="shared" si="21"/>
        <v>0</v>
      </c>
      <c r="U25" s="2">
        <f t="shared" si="21"/>
        <v>0</v>
      </c>
      <c r="V25" s="2">
        <f t="shared" si="21"/>
        <v>0</v>
      </c>
    </row>
    <row r="26" spans="1:22" x14ac:dyDescent="0.3">
      <c r="A26" s="2">
        <f t="shared" si="4"/>
        <v>21</v>
      </c>
      <c r="B26" s="2" t="str">
        <f>Data_base_case!D29</f>
        <v>H2 client</v>
      </c>
      <c r="C26" s="2">
        <f t="shared" ref="C26:V26" si="23">IF(C1&lt;&gt;"H2",0,1)</f>
        <v>0</v>
      </c>
      <c r="D26" s="2">
        <f t="shared" si="23"/>
        <v>0</v>
      </c>
      <c r="E26" s="2">
        <f t="shared" si="23"/>
        <v>0</v>
      </c>
      <c r="F26" s="2">
        <f t="shared" si="23"/>
        <v>0</v>
      </c>
      <c r="G26" s="2">
        <f t="shared" si="23"/>
        <v>0</v>
      </c>
      <c r="H26" s="2">
        <f t="shared" si="23"/>
        <v>0</v>
      </c>
      <c r="I26" s="2">
        <f t="shared" si="23"/>
        <v>0</v>
      </c>
      <c r="J26" s="2">
        <f t="shared" si="23"/>
        <v>0</v>
      </c>
      <c r="K26" s="2">
        <f t="shared" si="23"/>
        <v>0</v>
      </c>
      <c r="L26" s="2">
        <f t="shared" si="23"/>
        <v>0</v>
      </c>
      <c r="M26" s="2">
        <f t="shared" si="23"/>
        <v>0</v>
      </c>
      <c r="N26" s="2">
        <f t="shared" si="23"/>
        <v>0</v>
      </c>
      <c r="O26" s="2">
        <f t="shared" si="23"/>
        <v>0</v>
      </c>
      <c r="P26" s="2">
        <f t="shared" si="23"/>
        <v>1</v>
      </c>
      <c r="Q26" s="2">
        <f t="shared" si="23"/>
        <v>1</v>
      </c>
      <c r="R26" s="2">
        <f t="shared" si="23"/>
        <v>1</v>
      </c>
      <c r="S26" s="2">
        <f t="shared" ref="S26" si="24">IF(S1&lt;&gt;"H2",0,1)</f>
        <v>0</v>
      </c>
      <c r="T26" s="2">
        <f t="shared" si="23"/>
        <v>0</v>
      </c>
      <c r="U26" s="2">
        <f t="shared" si="23"/>
        <v>0</v>
      </c>
      <c r="V26" s="2">
        <f t="shared" si="23"/>
        <v>0</v>
      </c>
    </row>
    <row r="27" spans="1:22" x14ac:dyDescent="0.3">
      <c r="A27" s="2">
        <f t="shared" si="4"/>
        <v>22</v>
      </c>
      <c r="B27" s="2" t="str">
        <f>Data_base_case!D30</f>
        <v>Desalination plant</v>
      </c>
      <c r="C27" s="2">
        <f>IF($A$2=$B27,1,0)</f>
        <v>0</v>
      </c>
      <c r="D27" s="2">
        <f t="shared" ref="D27:V27" si="25">IF($A$2=$B27,1,0)</f>
        <v>0</v>
      </c>
      <c r="E27" s="2">
        <f t="shared" si="25"/>
        <v>0</v>
      </c>
      <c r="F27" s="2">
        <f t="shared" si="25"/>
        <v>0</v>
      </c>
      <c r="G27" s="2">
        <f t="shared" si="25"/>
        <v>0</v>
      </c>
      <c r="H27" s="2">
        <f t="shared" si="25"/>
        <v>0</v>
      </c>
      <c r="I27" s="2">
        <f t="shared" si="25"/>
        <v>0</v>
      </c>
      <c r="J27" s="2">
        <f t="shared" si="25"/>
        <v>0</v>
      </c>
      <c r="K27" s="2">
        <f t="shared" si="25"/>
        <v>0</v>
      </c>
      <c r="L27" s="2">
        <f t="shared" si="25"/>
        <v>0</v>
      </c>
      <c r="M27" s="2">
        <f t="shared" si="25"/>
        <v>0</v>
      </c>
      <c r="N27" s="2">
        <f t="shared" si="25"/>
        <v>0</v>
      </c>
      <c r="O27" s="2">
        <f t="shared" si="25"/>
        <v>0</v>
      </c>
      <c r="P27" s="2">
        <f t="shared" si="25"/>
        <v>0</v>
      </c>
      <c r="Q27" s="2">
        <f t="shared" si="25"/>
        <v>0</v>
      </c>
      <c r="R27" s="2">
        <f t="shared" si="25"/>
        <v>0</v>
      </c>
      <c r="S27" s="2">
        <f t="shared" si="25"/>
        <v>0</v>
      </c>
      <c r="T27" s="2">
        <f t="shared" si="25"/>
        <v>0</v>
      </c>
      <c r="U27" s="2">
        <f t="shared" si="25"/>
        <v>0</v>
      </c>
      <c r="V27" s="2">
        <f t="shared" si="25"/>
        <v>0</v>
      </c>
    </row>
    <row r="28" spans="1:22" x14ac:dyDescent="0.3">
      <c r="A28" s="2">
        <f t="shared" si="4"/>
        <v>23</v>
      </c>
      <c r="B28" s="2" t="str">
        <f>Data_base_case!D31</f>
        <v>Waste water plant</v>
      </c>
      <c r="C28" s="2">
        <f t="shared" ref="C28:V29" si="26">IF($A$2=$B28,1,0)</f>
        <v>1</v>
      </c>
      <c r="D28" s="2">
        <f t="shared" si="26"/>
        <v>1</v>
      </c>
      <c r="E28" s="2">
        <f t="shared" si="26"/>
        <v>1</v>
      </c>
      <c r="F28" s="2">
        <f t="shared" si="26"/>
        <v>1</v>
      </c>
      <c r="G28" s="2">
        <f t="shared" si="26"/>
        <v>1</v>
      </c>
      <c r="H28" s="2">
        <f t="shared" si="26"/>
        <v>1</v>
      </c>
      <c r="I28" s="2">
        <f t="shared" si="26"/>
        <v>1</v>
      </c>
      <c r="J28" s="2">
        <f t="shared" si="26"/>
        <v>1</v>
      </c>
      <c r="K28" s="2">
        <f t="shared" si="26"/>
        <v>1</v>
      </c>
      <c r="L28" s="2">
        <f t="shared" si="26"/>
        <v>1</v>
      </c>
      <c r="M28" s="2">
        <f t="shared" si="26"/>
        <v>1</v>
      </c>
      <c r="N28" s="2">
        <f t="shared" si="26"/>
        <v>1</v>
      </c>
      <c r="O28" s="2">
        <f t="shared" si="26"/>
        <v>1</v>
      </c>
      <c r="P28" s="2">
        <f t="shared" si="26"/>
        <v>1</v>
      </c>
      <c r="Q28" s="2">
        <f t="shared" si="26"/>
        <v>1</v>
      </c>
      <c r="R28" s="2">
        <f t="shared" si="26"/>
        <v>1</v>
      </c>
      <c r="S28" s="2">
        <f t="shared" si="26"/>
        <v>1</v>
      </c>
      <c r="T28" s="2">
        <f t="shared" si="26"/>
        <v>1</v>
      </c>
      <c r="U28" s="2">
        <f t="shared" si="26"/>
        <v>1</v>
      </c>
      <c r="V28" s="2">
        <f t="shared" si="26"/>
        <v>1</v>
      </c>
    </row>
    <row r="29" spans="1:22" x14ac:dyDescent="0.3">
      <c r="A29" s="2">
        <f t="shared" si="4"/>
        <v>24</v>
      </c>
      <c r="B29" s="2" t="str">
        <f>Data_base_case!D32</f>
        <v>Drinking water</v>
      </c>
      <c r="C29" s="2">
        <f t="shared" si="26"/>
        <v>0</v>
      </c>
      <c r="D29" s="2">
        <f t="shared" si="26"/>
        <v>0</v>
      </c>
      <c r="E29" s="2">
        <f t="shared" si="26"/>
        <v>0</v>
      </c>
      <c r="F29" s="2">
        <f t="shared" si="26"/>
        <v>0</v>
      </c>
      <c r="G29" s="2">
        <f t="shared" si="26"/>
        <v>0</v>
      </c>
      <c r="H29" s="2">
        <f t="shared" si="26"/>
        <v>0</v>
      </c>
      <c r="I29" s="2">
        <f t="shared" si="26"/>
        <v>0</v>
      </c>
      <c r="J29" s="2">
        <f t="shared" si="26"/>
        <v>0</v>
      </c>
      <c r="K29" s="2">
        <f t="shared" si="26"/>
        <v>0</v>
      </c>
      <c r="L29" s="2">
        <f t="shared" si="26"/>
        <v>0</v>
      </c>
      <c r="M29" s="2">
        <f t="shared" si="26"/>
        <v>0</v>
      </c>
      <c r="N29" s="2">
        <f t="shared" si="26"/>
        <v>0</v>
      </c>
      <c r="O29" s="2">
        <f t="shared" si="26"/>
        <v>0</v>
      </c>
      <c r="P29" s="2">
        <f t="shared" si="26"/>
        <v>0</v>
      </c>
      <c r="Q29" s="2">
        <f t="shared" si="26"/>
        <v>0</v>
      </c>
      <c r="R29" s="2">
        <f t="shared" si="26"/>
        <v>0</v>
      </c>
      <c r="S29" s="2">
        <f t="shared" si="26"/>
        <v>0</v>
      </c>
      <c r="T29" s="2">
        <f t="shared" si="26"/>
        <v>0</v>
      </c>
      <c r="U29" s="2">
        <f t="shared" si="26"/>
        <v>0</v>
      </c>
      <c r="V29" s="2">
        <f t="shared" si="26"/>
        <v>0</v>
      </c>
    </row>
    <row r="30" spans="1:22" x14ac:dyDescent="0.3">
      <c r="A30" s="2">
        <f t="shared" si="4"/>
        <v>25</v>
      </c>
      <c r="B30" s="2" t="str">
        <f>Data_base_case!D33</f>
        <v>Electrolysers AEC</v>
      </c>
      <c r="C30" s="2">
        <f t="shared" ref="C30:V30" si="27">IF(C3="AEC",1,0)</f>
        <v>0</v>
      </c>
      <c r="D30" s="2">
        <f t="shared" si="27"/>
        <v>0</v>
      </c>
      <c r="E30" s="2">
        <f t="shared" si="27"/>
        <v>0</v>
      </c>
      <c r="F30" s="2">
        <f t="shared" si="27"/>
        <v>0</v>
      </c>
      <c r="G30" s="2">
        <f t="shared" si="27"/>
        <v>1</v>
      </c>
      <c r="H30" s="2">
        <f t="shared" si="27"/>
        <v>0</v>
      </c>
      <c r="I30" s="2">
        <f t="shared" si="27"/>
        <v>0</v>
      </c>
      <c r="J30" s="2">
        <f t="shared" si="27"/>
        <v>1</v>
      </c>
      <c r="K30" s="2">
        <f t="shared" si="27"/>
        <v>0</v>
      </c>
      <c r="L30" s="2">
        <f t="shared" si="27"/>
        <v>0</v>
      </c>
      <c r="M30" s="2">
        <f t="shared" si="27"/>
        <v>1</v>
      </c>
      <c r="N30" s="2">
        <f t="shared" si="27"/>
        <v>0</v>
      </c>
      <c r="O30" s="2">
        <f t="shared" si="27"/>
        <v>0</v>
      </c>
      <c r="P30" s="2">
        <f t="shared" si="27"/>
        <v>1</v>
      </c>
      <c r="Q30" s="2">
        <f t="shared" si="27"/>
        <v>0</v>
      </c>
      <c r="R30" s="2">
        <f t="shared" si="27"/>
        <v>0</v>
      </c>
      <c r="S30" s="2">
        <f t="shared" ref="S30" si="28">IF(S3="AEC",1,0)</f>
        <v>0</v>
      </c>
      <c r="T30" s="2">
        <f t="shared" si="27"/>
        <v>1</v>
      </c>
      <c r="U30" s="2">
        <f t="shared" si="27"/>
        <v>0</v>
      </c>
      <c r="V30" s="2">
        <f t="shared" si="27"/>
        <v>0</v>
      </c>
    </row>
    <row r="31" spans="1:22" x14ac:dyDescent="0.3">
      <c r="A31" s="2">
        <f t="shared" si="4"/>
        <v>26</v>
      </c>
      <c r="B31" s="2" t="str">
        <f>Data_base_case!D34</f>
        <v>Electrolysers SOEC heat integrated</v>
      </c>
      <c r="C31" s="2">
        <f>IF(AND(C3="SOEC",OR(C1="DME-B2",C1="DME-B1",C1="DME-W2",C1="DME-W1",C1="NH3")),1,0)</f>
        <v>1</v>
      </c>
      <c r="D31" s="2">
        <f t="shared" ref="D31:V31" si="29">IF(AND(D3="SOEC",OR(D1="DME-B2",D1="DME-B1",D1="DME-W2",D1="DME-W1",D1="NH3")),1,0)</f>
        <v>1</v>
      </c>
      <c r="E31" s="2">
        <f t="shared" si="29"/>
        <v>1</v>
      </c>
      <c r="F31" s="2">
        <f t="shared" si="29"/>
        <v>1</v>
      </c>
      <c r="G31" s="2">
        <f t="shared" si="29"/>
        <v>0</v>
      </c>
      <c r="H31" s="2">
        <f t="shared" si="29"/>
        <v>1</v>
      </c>
      <c r="I31" s="2">
        <f t="shared" si="29"/>
        <v>0</v>
      </c>
      <c r="J31" s="2">
        <f t="shared" si="29"/>
        <v>0</v>
      </c>
      <c r="K31" s="2">
        <f t="shared" si="29"/>
        <v>0</v>
      </c>
      <c r="L31" s="2">
        <f t="shared" si="29"/>
        <v>0</v>
      </c>
      <c r="M31" s="2">
        <f t="shared" si="29"/>
        <v>0</v>
      </c>
      <c r="N31" s="2">
        <f t="shared" si="29"/>
        <v>0</v>
      </c>
      <c r="O31" s="2">
        <f t="shared" si="29"/>
        <v>0</v>
      </c>
      <c r="P31" s="2">
        <f t="shared" si="29"/>
        <v>0</v>
      </c>
      <c r="Q31" s="2">
        <f t="shared" si="29"/>
        <v>0</v>
      </c>
      <c r="R31" s="2">
        <f t="shared" si="29"/>
        <v>0</v>
      </c>
      <c r="S31" s="2">
        <f t="shared" ref="S31" si="30">IF(AND(S3="SOEC",OR(S1="DME-B2",S1="DME-B1",S1="DME-W2",S1="DME-W1",S1="NH3")),1,0)</f>
        <v>0</v>
      </c>
      <c r="T31" s="2">
        <f t="shared" si="29"/>
        <v>0</v>
      </c>
      <c r="U31" s="2">
        <f t="shared" si="29"/>
        <v>0</v>
      </c>
      <c r="V31" s="2">
        <v>0</v>
      </c>
    </row>
    <row r="32" spans="1:22" x14ac:dyDescent="0.3">
      <c r="A32" s="2">
        <f t="shared" si="4"/>
        <v>27</v>
      </c>
      <c r="B32" s="2" t="str">
        <f>Data_base_case!D35</f>
        <v>Electrolysers SOEC alone</v>
      </c>
      <c r="C32" s="2">
        <f t="shared" ref="C32:V32" si="31">IF(AND(C3="SOEC",OR(C1="MeOH",C1="H2")),1,0)</f>
        <v>0</v>
      </c>
      <c r="D32" s="2">
        <f t="shared" si="31"/>
        <v>0</v>
      </c>
      <c r="E32" s="2">
        <f t="shared" si="31"/>
        <v>0</v>
      </c>
      <c r="F32" s="2">
        <f t="shared" si="31"/>
        <v>0</v>
      </c>
      <c r="G32" s="2">
        <f t="shared" si="31"/>
        <v>0</v>
      </c>
      <c r="H32" s="2">
        <f t="shared" si="31"/>
        <v>0</v>
      </c>
      <c r="I32" s="2">
        <f t="shared" si="31"/>
        <v>0</v>
      </c>
      <c r="J32" s="2">
        <f t="shared" si="31"/>
        <v>0</v>
      </c>
      <c r="K32" s="2">
        <f t="shared" si="31"/>
        <v>1</v>
      </c>
      <c r="L32" s="2">
        <f t="shared" si="31"/>
        <v>0</v>
      </c>
      <c r="M32" s="2">
        <f t="shared" si="31"/>
        <v>0</v>
      </c>
      <c r="N32" s="2">
        <f t="shared" si="31"/>
        <v>1</v>
      </c>
      <c r="O32" s="2">
        <f t="shared" si="31"/>
        <v>0</v>
      </c>
      <c r="P32" s="2">
        <f t="shared" si="31"/>
        <v>0</v>
      </c>
      <c r="Q32" s="2">
        <f t="shared" si="31"/>
        <v>1</v>
      </c>
      <c r="R32" s="2">
        <f t="shared" si="31"/>
        <v>0</v>
      </c>
      <c r="S32" s="2">
        <f t="shared" ref="S32" si="32">IF(AND(S3="SOEC",OR(S1="MeOH",S1="H2")),1,0)</f>
        <v>1</v>
      </c>
      <c r="T32" s="2">
        <f t="shared" si="31"/>
        <v>0</v>
      </c>
      <c r="U32" s="2">
        <f t="shared" si="31"/>
        <v>0</v>
      </c>
      <c r="V32" s="2">
        <v>0</v>
      </c>
    </row>
    <row r="33" spans="1:22" x14ac:dyDescent="0.3">
      <c r="A33" s="2">
        <f t="shared" si="4"/>
        <v>28</v>
      </c>
      <c r="B33" s="2" t="str">
        <f>Data_base_case!D36</f>
        <v>Electrolysers 75AEC-25SOEC_HI</v>
      </c>
      <c r="C33" s="2">
        <f t="shared" ref="C33:V33" si="33">IF(AND(C3="Mix",OR(C1="Bio-eMeOH",C1="NH3")),1,0)</f>
        <v>0</v>
      </c>
      <c r="D33" s="2">
        <f t="shared" si="33"/>
        <v>0</v>
      </c>
      <c r="E33" s="2">
        <f t="shared" si="33"/>
        <v>0</v>
      </c>
      <c r="F33" s="2">
        <f t="shared" si="33"/>
        <v>0</v>
      </c>
      <c r="G33" s="2">
        <f t="shared" si="33"/>
        <v>0</v>
      </c>
      <c r="H33" s="2">
        <f t="shared" si="33"/>
        <v>0</v>
      </c>
      <c r="I33" s="2">
        <f t="shared" si="33"/>
        <v>1</v>
      </c>
      <c r="J33" s="2">
        <f t="shared" si="33"/>
        <v>0</v>
      </c>
      <c r="K33" s="2">
        <f t="shared" si="33"/>
        <v>0</v>
      </c>
      <c r="L33" s="2">
        <f t="shared" si="33"/>
        <v>0</v>
      </c>
      <c r="M33" s="2">
        <f t="shared" si="33"/>
        <v>0</v>
      </c>
      <c r="N33" s="2">
        <f t="shared" si="33"/>
        <v>0</v>
      </c>
      <c r="O33" s="2">
        <f t="shared" si="33"/>
        <v>0</v>
      </c>
      <c r="P33" s="2">
        <f t="shared" si="33"/>
        <v>0</v>
      </c>
      <c r="Q33" s="2">
        <f t="shared" si="33"/>
        <v>0</v>
      </c>
      <c r="R33" s="2">
        <f t="shared" si="33"/>
        <v>0</v>
      </c>
      <c r="S33" s="2">
        <f t="shared" ref="S33" si="34">IF(AND(S3="Mix",OR(S1="Bio-eMeOH",S1="NH3")),1,0)</f>
        <v>0</v>
      </c>
      <c r="T33" s="2">
        <f t="shared" si="33"/>
        <v>0</v>
      </c>
      <c r="U33" s="2">
        <f t="shared" si="33"/>
        <v>0</v>
      </c>
      <c r="V33" s="2">
        <f t="shared" si="33"/>
        <v>0</v>
      </c>
    </row>
    <row r="34" spans="1:22" x14ac:dyDescent="0.3">
      <c r="A34" s="2">
        <f t="shared" si="4"/>
        <v>29</v>
      </c>
      <c r="B34" s="2" t="str">
        <f>Data_base_case!D37</f>
        <v>Electrolysers 75AEC-25SOEC_A</v>
      </c>
      <c r="C34" s="2">
        <f t="shared" ref="C34:V34" si="35">IF(AND(C3="Mix",OR(C1="MeOH",C1="H2")),1,0)</f>
        <v>0</v>
      </c>
      <c r="D34" s="2">
        <f t="shared" si="35"/>
        <v>0</v>
      </c>
      <c r="E34" s="2">
        <f t="shared" si="35"/>
        <v>0</v>
      </c>
      <c r="F34" s="2">
        <f t="shared" si="35"/>
        <v>0</v>
      </c>
      <c r="G34" s="2">
        <f t="shared" si="35"/>
        <v>0</v>
      </c>
      <c r="H34" s="2">
        <f t="shared" si="35"/>
        <v>0</v>
      </c>
      <c r="I34" s="2">
        <f t="shared" si="35"/>
        <v>0</v>
      </c>
      <c r="J34" s="2">
        <f t="shared" si="35"/>
        <v>0</v>
      </c>
      <c r="K34" s="2">
        <f t="shared" si="35"/>
        <v>0</v>
      </c>
      <c r="L34" s="2">
        <f t="shared" si="35"/>
        <v>1</v>
      </c>
      <c r="M34" s="2">
        <f t="shared" si="35"/>
        <v>0</v>
      </c>
      <c r="N34" s="2">
        <f t="shared" si="35"/>
        <v>0</v>
      </c>
      <c r="O34" s="2">
        <f t="shared" si="35"/>
        <v>1</v>
      </c>
      <c r="P34" s="2">
        <f t="shared" si="35"/>
        <v>0</v>
      </c>
      <c r="Q34" s="2">
        <f t="shared" si="35"/>
        <v>0</v>
      </c>
      <c r="R34" s="2">
        <f t="shared" si="35"/>
        <v>1</v>
      </c>
      <c r="S34" s="2">
        <f t="shared" ref="S34" si="36">IF(AND(S3="Mix",OR(S1="MeOH",S1="H2")),1,0)</f>
        <v>0</v>
      </c>
      <c r="T34" s="2">
        <f t="shared" si="35"/>
        <v>0</v>
      </c>
      <c r="U34" s="2">
        <f t="shared" si="35"/>
        <v>0</v>
      </c>
      <c r="V34" s="2">
        <f t="shared" si="35"/>
        <v>0</v>
      </c>
    </row>
    <row r="35" spans="1:22" x14ac:dyDescent="0.3">
      <c r="A35" s="2">
        <f t="shared" si="4"/>
        <v>30</v>
      </c>
      <c r="B35" s="2" t="str">
        <f>Data_base_case!D38</f>
        <v>H2 pipeline to MeOH CCU plant</v>
      </c>
      <c r="C35" s="2">
        <f t="shared" ref="C35:T35" si="37">IF(C1="MeOH",1,0)</f>
        <v>0</v>
      </c>
      <c r="D35" s="2">
        <f t="shared" si="37"/>
        <v>0</v>
      </c>
      <c r="E35" s="2">
        <f t="shared" si="37"/>
        <v>0</v>
      </c>
      <c r="F35" s="2">
        <f t="shared" si="37"/>
        <v>0</v>
      </c>
      <c r="G35" s="2">
        <f t="shared" si="37"/>
        <v>0</v>
      </c>
      <c r="H35" s="2">
        <f t="shared" si="37"/>
        <v>0</v>
      </c>
      <c r="I35" s="2">
        <f t="shared" si="37"/>
        <v>0</v>
      </c>
      <c r="J35" s="2">
        <f t="shared" si="37"/>
        <v>1</v>
      </c>
      <c r="K35" s="2">
        <f t="shared" si="37"/>
        <v>1</v>
      </c>
      <c r="L35" s="2">
        <f t="shared" si="37"/>
        <v>1</v>
      </c>
      <c r="M35" s="2">
        <f t="shared" si="37"/>
        <v>1</v>
      </c>
      <c r="N35" s="2">
        <f t="shared" si="37"/>
        <v>1</v>
      </c>
      <c r="O35" s="2">
        <f t="shared" si="37"/>
        <v>1</v>
      </c>
      <c r="P35" s="2">
        <f t="shared" si="37"/>
        <v>0</v>
      </c>
      <c r="Q35" s="2">
        <f t="shared" si="37"/>
        <v>0</v>
      </c>
      <c r="R35" s="2">
        <f t="shared" si="37"/>
        <v>0</v>
      </c>
      <c r="S35" s="2">
        <f t="shared" ref="S35" si="38">IF(S1="MeOH",1,0)</f>
        <v>1</v>
      </c>
      <c r="T35" s="2">
        <f t="shared" si="37"/>
        <v>1</v>
      </c>
      <c r="U35" s="2">
        <v>0</v>
      </c>
      <c r="V35" s="2">
        <v>0</v>
      </c>
    </row>
    <row r="36" spans="1:22" x14ac:dyDescent="0.3">
      <c r="A36" s="2">
        <f t="shared" si="4"/>
        <v>31</v>
      </c>
      <c r="B36" s="2" t="str">
        <f>Data_base_case!D39</f>
        <v>H2 pipeline to Bamboo-2</v>
      </c>
      <c r="C36" s="2">
        <f>C20</f>
        <v>1</v>
      </c>
      <c r="D36" s="2">
        <f t="shared" ref="D36:U39" si="39">D20</f>
        <v>0</v>
      </c>
      <c r="E36" s="2">
        <f t="shared" si="39"/>
        <v>0</v>
      </c>
      <c r="F36" s="2">
        <f t="shared" si="39"/>
        <v>0</v>
      </c>
      <c r="G36" s="2">
        <f t="shared" si="39"/>
        <v>0</v>
      </c>
      <c r="H36" s="2">
        <f t="shared" si="39"/>
        <v>0</v>
      </c>
      <c r="I36" s="2">
        <f t="shared" si="39"/>
        <v>0</v>
      </c>
      <c r="J36" s="2">
        <f t="shared" si="39"/>
        <v>0</v>
      </c>
      <c r="K36" s="2">
        <f t="shared" si="39"/>
        <v>0</v>
      </c>
      <c r="L36" s="2">
        <f t="shared" si="39"/>
        <v>0</v>
      </c>
      <c r="M36" s="2">
        <f t="shared" si="39"/>
        <v>0</v>
      </c>
      <c r="N36" s="2">
        <f t="shared" si="39"/>
        <v>0</v>
      </c>
      <c r="O36" s="2">
        <f t="shared" si="39"/>
        <v>0</v>
      </c>
      <c r="P36" s="2">
        <f t="shared" si="39"/>
        <v>0</v>
      </c>
      <c r="Q36" s="2">
        <f t="shared" si="39"/>
        <v>0</v>
      </c>
      <c r="R36" s="2">
        <f t="shared" si="39"/>
        <v>0</v>
      </c>
      <c r="S36" s="2">
        <f t="shared" ref="S36" si="40">S20</f>
        <v>0</v>
      </c>
      <c r="T36" s="2">
        <f t="shared" si="39"/>
        <v>0</v>
      </c>
      <c r="U36" s="2">
        <f t="shared" si="39"/>
        <v>0</v>
      </c>
      <c r="V36" s="2">
        <f t="shared" ref="V36:V39" si="41">V20</f>
        <v>0</v>
      </c>
    </row>
    <row r="37" spans="1:22" x14ac:dyDescent="0.3">
      <c r="A37" s="2">
        <f t="shared" si="4"/>
        <v>32</v>
      </c>
      <c r="B37" s="2" t="str">
        <f>Data_base_case!D40</f>
        <v>H2 pipeline to Bamboo-1</v>
      </c>
      <c r="C37" s="2">
        <f t="shared" ref="C37:R39" si="42">C21</f>
        <v>0</v>
      </c>
      <c r="D37" s="2">
        <f t="shared" si="42"/>
        <v>1</v>
      </c>
      <c r="E37" s="2">
        <f t="shared" si="42"/>
        <v>0</v>
      </c>
      <c r="F37" s="2">
        <f t="shared" si="42"/>
        <v>0</v>
      </c>
      <c r="G37" s="2">
        <f t="shared" si="42"/>
        <v>0</v>
      </c>
      <c r="H37" s="2">
        <f t="shared" si="42"/>
        <v>0</v>
      </c>
      <c r="I37" s="2">
        <f t="shared" si="42"/>
        <v>0</v>
      </c>
      <c r="J37" s="2">
        <f t="shared" si="42"/>
        <v>0</v>
      </c>
      <c r="K37" s="2">
        <f t="shared" si="42"/>
        <v>0</v>
      </c>
      <c r="L37" s="2">
        <f t="shared" si="42"/>
        <v>0</v>
      </c>
      <c r="M37" s="2">
        <f t="shared" si="42"/>
        <v>0</v>
      </c>
      <c r="N37" s="2">
        <f t="shared" si="42"/>
        <v>0</v>
      </c>
      <c r="O37" s="2">
        <f t="shared" si="42"/>
        <v>0</v>
      </c>
      <c r="P37" s="2">
        <f t="shared" si="42"/>
        <v>0</v>
      </c>
      <c r="Q37" s="2">
        <f t="shared" si="42"/>
        <v>0</v>
      </c>
      <c r="R37" s="2">
        <f t="shared" si="42"/>
        <v>0</v>
      </c>
      <c r="S37" s="2">
        <f t="shared" ref="S37" si="43">S21</f>
        <v>0</v>
      </c>
      <c r="T37" s="2">
        <f t="shared" si="39"/>
        <v>0</v>
      </c>
      <c r="U37" s="2">
        <f t="shared" si="39"/>
        <v>0</v>
      </c>
      <c r="V37" s="2">
        <f t="shared" si="41"/>
        <v>0</v>
      </c>
    </row>
    <row r="38" spans="1:22" x14ac:dyDescent="0.3">
      <c r="A38" s="2">
        <f t="shared" si="4"/>
        <v>33</v>
      </c>
      <c r="B38" s="2" t="str">
        <f>Data_base_case!D41</f>
        <v>H2 pipeline to Wheat-2</v>
      </c>
      <c r="C38" s="2">
        <f t="shared" si="42"/>
        <v>0</v>
      </c>
      <c r="D38" s="2">
        <f t="shared" si="42"/>
        <v>0</v>
      </c>
      <c r="E38" s="2">
        <f t="shared" si="42"/>
        <v>1</v>
      </c>
      <c r="F38" s="2">
        <f t="shared" si="42"/>
        <v>0</v>
      </c>
      <c r="G38" s="2">
        <f t="shared" si="42"/>
        <v>0</v>
      </c>
      <c r="H38" s="2">
        <f t="shared" si="42"/>
        <v>0</v>
      </c>
      <c r="I38" s="2">
        <f t="shared" si="42"/>
        <v>0</v>
      </c>
      <c r="J38" s="2">
        <f t="shared" si="42"/>
        <v>0</v>
      </c>
      <c r="K38" s="2">
        <f t="shared" si="42"/>
        <v>0</v>
      </c>
      <c r="L38" s="2">
        <f t="shared" si="42"/>
        <v>0</v>
      </c>
      <c r="M38" s="2">
        <f t="shared" si="42"/>
        <v>0</v>
      </c>
      <c r="N38" s="2">
        <f t="shared" si="42"/>
        <v>0</v>
      </c>
      <c r="O38" s="2">
        <f t="shared" si="42"/>
        <v>0</v>
      </c>
      <c r="P38" s="2">
        <f t="shared" si="42"/>
        <v>0</v>
      </c>
      <c r="Q38" s="2">
        <f t="shared" si="42"/>
        <v>0</v>
      </c>
      <c r="R38" s="2">
        <f t="shared" si="42"/>
        <v>0</v>
      </c>
      <c r="S38" s="2">
        <f t="shared" ref="S38" si="44">S22</f>
        <v>0</v>
      </c>
      <c r="T38" s="2">
        <f t="shared" si="39"/>
        <v>0</v>
      </c>
      <c r="U38" s="2">
        <f t="shared" si="39"/>
        <v>0</v>
      </c>
      <c r="V38" s="2">
        <f t="shared" si="41"/>
        <v>0</v>
      </c>
    </row>
    <row r="39" spans="1:22" x14ac:dyDescent="0.3">
      <c r="A39" s="2">
        <f t="shared" si="4"/>
        <v>34</v>
      </c>
      <c r="B39" s="2" t="str">
        <f>Data_base_case!D42</f>
        <v>H2 pipeline to Wheat-1</v>
      </c>
      <c r="C39" s="2">
        <f t="shared" si="42"/>
        <v>0</v>
      </c>
      <c r="D39" s="2">
        <f t="shared" si="42"/>
        <v>0</v>
      </c>
      <c r="E39" s="2">
        <f t="shared" si="42"/>
        <v>0</v>
      </c>
      <c r="F39" s="2">
        <f t="shared" si="42"/>
        <v>1</v>
      </c>
      <c r="G39" s="2">
        <f t="shared" si="42"/>
        <v>0</v>
      </c>
      <c r="H39" s="2">
        <f t="shared" si="42"/>
        <v>0</v>
      </c>
      <c r="I39" s="2">
        <f t="shared" si="42"/>
        <v>0</v>
      </c>
      <c r="J39" s="2">
        <f t="shared" si="42"/>
        <v>0</v>
      </c>
      <c r="K39" s="2">
        <f t="shared" si="42"/>
        <v>0</v>
      </c>
      <c r="L39" s="2">
        <f t="shared" si="42"/>
        <v>0</v>
      </c>
      <c r="M39" s="2">
        <f t="shared" si="42"/>
        <v>0</v>
      </c>
      <c r="N39" s="2">
        <f t="shared" si="42"/>
        <v>0</v>
      </c>
      <c r="O39" s="2">
        <f t="shared" si="42"/>
        <v>0</v>
      </c>
      <c r="P39" s="2">
        <f t="shared" si="42"/>
        <v>0</v>
      </c>
      <c r="Q39" s="2">
        <f t="shared" si="42"/>
        <v>0</v>
      </c>
      <c r="R39" s="2">
        <f t="shared" si="42"/>
        <v>0</v>
      </c>
      <c r="S39" s="2">
        <f t="shared" ref="S39" si="45">S23</f>
        <v>0</v>
      </c>
      <c r="T39" s="2">
        <f t="shared" si="39"/>
        <v>0</v>
      </c>
      <c r="U39" s="2">
        <f t="shared" si="39"/>
        <v>0</v>
      </c>
      <c r="V39" s="2">
        <f t="shared" si="41"/>
        <v>0</v>
      </c>
    </row>
    <row r="40" spans="1:22" x14ac:dyDescent="0.3">
      <c r="A40" s="2">
        <f t="shared" si="4"/>
        <v>35</v>
      </c>
      <c r="B40" s="2" t="str">
        <f>Data_base_case!D43</f>
        <v>H2 pipeline to NH3 plant</v>
      </c>
      <c r="C40" s="2">
        <f t="shared" ref="C40:V40" si="46">IF(C1 = "NH3",1,0)</f>
        <v>0</v>
      </c>
      <c r="D40" s="2">
        <f t="shared" si="46"/>
        <v>0</v>
      </c>
      <c r="E40" s="2">
        <f t="shared" si="46"/>
        <v>0</v>
      </c>
      <c r="F40" s="2">
        <f t="shared" si="46"/>
        <v>0</v>
      </c>
      <c r="G40" s="2">
        <f t="shared" si="46"/>
        <v>1</v>
      </c>
      <c r="H40" s="2">
        <f t="shared" si="46"/>
        <v>1</v>
      </c>
      <c r="I40" s="2">
        <f t="shared" si="46"/>
        <v>1</v>
      </c>
      <c r="J40" s="2">
        <f t="shared" si="46"/>
        <v>0</v>
      </c>
      <c r="K40" s="2">
        <f t="shared" si="46"/>
        <v>0</v>
      </c>
      <c r="L40" s="2">
        <f t="shared" si="46"/>
        <v>0</v>
      </c>
      <c r="M40" s="2">
        <f t="shared" si="46"/>
        <v>0</v>
      </c>
      <c r="N40" s="2">
        <f t="shared" si="46"/>
        <v>0</v>
      </c>
      <c r="O40" s="2">
        <f t="shared" si="46"/>
        <v>0</v>
      </c>
      <c r="P40" s="2">
        <f t="shared" si="46"/>
        <v>0</v>
      </c>
      <c r="Q40" s="2">
        <f t="shared" si="46"/>
        <v>0</v>
      </c>
      <c r="R40" s="2">
        <f t="shared" si="46"/>
        <v>0</v>
      </c>
      <c r="S40" s="2">
        <f t="shared" ref="S40" si="47">IF(S1 = "NH3",1,0)</f>
        <v>0</v>
      </c>
      <c r="T40" s="2">
        <f t="shared" si="46"/>
        <v>0</v>
      </c>
      <c r="U40" s="2">
        <f t="shared" si="46"/>
        <v>0</v>
      </c>
      <c r="V40" s="2">
        <f t="shared" si="46"/>
        <v>0</v>
      </c>
    </row>
    <row r="41" spans="1:22" x14ac:dyDescent="0.3">
      <c r="A41" s="2">
        <f t="shared" si="4"/>
        <v>36</v>
      </c>
      <c r="B41" s="2" t="str">
        <f>Data_base_case!D44</f>
        <v>H2 pipeline to client</v>
      </c>
      <c r="C41" s="2">
        <f t="shared" ref="C41:V41" si="48">IF(C1 = "H2",1,0)</f>
        <v>0</v>
      </c>
      <c r="D41" s="2">
        <f t="shared" si="48"/>
        <v>0</v>
      </c>
      <c r="E41" s="2">
        <f t="shared" si="48"/>
        <v>0</v>
      </c>
      <c r="F41" s="2">
        <f t="shared" si="48"/>
        <v>0</v>
      </c>
      <c r="G41" s="2">
        <f t="shared" si="48"/>
        <v>0</v>
      </c>
      <c r="H41" s="2">
        <f t="shared" si="48"/>
        <v>0</v>
      </c>
      <c r="I41" s="2">
        <f t="shared" si="48"/>
        <v>0</v>
      </c>
      <c r="J41" s="2">
        <f t="shared" si="48"/>
        <v>0</v>
      </c>
      <c r="K41" s="2">
        <f t="shared" si="48"/>
        <v>0</v>
      </c>
      <c r="L41" s="2">
        <f t="shared" si="48"/>
        <v>0</v>
      </c>
      <c r="M41" s="2">
        <f t="shared" si="48"/>
        <v>0</v>
      </c>
      <c r="N41" s="2">
        <f t="shared" si="48"/>
        <v>0</v>
      </c>
      <c r="O41" s="2">
        <f t="shared" si="48"/>
        <v>0</v>
      </c>
      <c r="P41" s="2">
        <f t="shared" si="48"/>
        <v>1</v>
      </c>
      <c r="Q41" s="2">
        <f t="shared" si="48"/>
        <v>1</v>
      </c>
      <c r="R41" s="2">
        <f t="shared" si="48"/>
        <v>1</v>
      </c>
      <c r="S41" s="2">
        <f t="shared" ref="S41" si="49">IF(S1 = "H2",1,0)</f>
        <v>0</v>
      </c>
      <c r="T41" s="2">
        <f t="shared" si="48"/>
        <v>0</v>
      </c>
      <c r="U41" s="2">
        <f t="shared" si="48"/>
        <v>0</v>
      </c>
      <c r="V41" s="2">
        <f t="shared" si="48"/>
        <v>0</v>
      </c>
    </row>
    <row r="42" spans="1:22" x14ac:dyDescent="0.3">
      <c r="A42" s="2">
        <f t="shared" si="4"/>
        <v>37</v>
      </c>
      <c r="B42" s="2" t="str">
        <f>Data_base_case!D45</f>
        <v>Heat from district heating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</row>
    <row r="43" spans="1:22" x14ac:dyDescent="0.3">
      <c r="A43" s="2">
        <f t="shared" si="4"/>
        <v>38</v>
      </c>
      <c r="B43" s="2" t="str">
        <f>Data_base_case!D46</f>
        <v>Heat sent to district heating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</row>
    <row r="44" spans="1:22" x14ac:dyDescent="0.3">
      <c r="A44" s="2">
        <f t="shared" si="4"/>
        <v>39</v>
      </c>
      <c r="B44" s="2" t="str">
        <f>Data_base_case!D47</f>
        <v>Heat sent to other process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</row>
    <row r="45" spans="1:22" x14ac:dyDescent="0.3">
      <c r="A45" s="2">
        <f t="shared" si="4"/>
        <v>40</v>
      </c>
      <c r="B45" s="2" t="str">
        <f>Data_base_case!D48</f>
        <v>Sale of oxygen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0</v>
      </c>
    </row>
    <row r="46" spans="1:22" x14ac:dyDescent="0.3">
      <c r="A46" s="2">
        <f t="shared" si="4"/>
        <v>41</v>
      </c>
      <c r="B46" s="2" t="str">
        <f>Data_base_case!D49</f>
        <v>H2 tank compressor</v>
      </c>
      <c r="C46" s="2">
        <f>C48</f>
        <v>0</v>
      </c>
      <c r="D46" s="2">
        <f t="shared" ref="D46:V46" si="50">D48</f>
        <v>0</v>
      </c>
      <c r="E46" s="2">
        <f t="shared" si="50"/>
        <v>0</v>
      </c>
      <c r="F46" s="2">
        <f t="shared" si="50"/>
        <v>0</v>
      </c>
      <c r="G46" s="2">
        <f t="shared" si="50"/>
        <v>0</v>
      </c>
      <c r="H46" s="2">
        <f t="shared" si="50"/>
        <v>0</v>
      </c>
      <c r="I46" s="2">
        <f t="shared" si="50"/>
        <v>0</v>
      </c>
      <c r="J46" s="2">
        <f t="shared" si="50"/>
        <v>0</v>
      </c>
      <c r="K46" s="2">
        <f t="shared" si="50"/>
        <v>0</v>
      </c>
      <c r="L46" s="2">
        <f t="shared" si="50"/>
        <v>0</v>
      </c>
      <c r="M46" s="2">
        <f t="shared" si="50"/>
        <v>0</v>
      </c>
      <c r="N46" s="2">
        <f t="shared" si="50"/>
        <v>0</v>
      </c>
      <c r="O46" s="2">
        <f t="shared" si="50"/>
        <v>0</v>
      </c>
      <c r="P46" s="2">
        <f t="shared" si="50"/>
        <v>0</v>
      </c>
      <c r="Q46" s="2">
        <f t="shared" si="50"/>
        <v>0</v>
      </c>
      <c r="R46" s="2">
        <f t="shared" si="50"/>
        <v>0</v>
      </c>
      <c r="S46" s="2">
        <f t="shared" ref="S46" si="51">S48</f>
        <v>0</v>
      </c>
      <c r="T46" s="2">
        <f t="shared" si="50"/>
        <v>0</v>
      </c>
      <c r="U46" s="2">
        <f t="shared" si="50"/>
        <v>0</v>
      </c>
      <c r="V46" s="2">
        <f t="shared" si="50"/>
        <v>0</v>
      </c>
    </row>
    <row r="47" spans="1:22" x14ac:dyDescent="0.3">
      <c r="A47" s="2">
        <f t="shared" si="4"/>
        <v>42</v>
      </c>
      <c r="B47" s="2" t="str">
        <f>Data_base_case!D50</f>
        <v>H2 tank valve</v>
      </c>
      <c r="C47" s="2">
        <f>C48</f>
        <v>0</v>
      </c>
      <c r="D47" s="2">
        <f t="shared" ref="D47:V47" si="52">D48</f>
        <v>0</v>
      </c>
      <c r="E47" s="2">
        <f t="shared" si="52"/>
        <v>0</v>
      </c>
      <c r="F47" s="2">
        <f t="shared" si="52"/>
        <v>0</v>
      </c>
      <c r="G47" s="2">
        <f t="shared" si="52"/>
        <v>0</v>
      </c>
      <c r="H47" s="2">
        <f t="shared" si="52"/>
        <v>0</v>
      </c>
      <c r="I47" s="2">
        <f t="shared" si="52"/>
        <v>0</v>
      </c>
      <c r="J47" s="2">
        <f t="shared" si="52"/>
        <v>0</v>
      </c>
      <c r="K47" s="2">
        <f t="shared" si="52"/>
        <v>0</v>
      </c>
      <c r="L47" s="2">
        <f t="shared" si="52"/>
        <v>0</v>
      </c>
      <c r="M47" s="2">
        <f t="shared" si="52"/>
        <v>0</v>
      </c>
      <c r="N47" s="2">
        <f t="shared" si="52"/>
        <v>0</v>
      </c>
      <c r="O47" s="2">
        <f t="shared" si="52"/>
        <v>0</v>
      </c>
      <c r="P47" s="2">
        <f t="shared" si="52"/>
        <v>0</v>
      </c>
      <c r="Q47" s="2">
        <f t="shared" si="52"/>
        <v>0</v>
      </c>
      <c r="R47" s="2">
        <f t="shared" si="52"/>
        <v>0</v>
      </c>
      <c r="S47" s="2">
        <f t="shared" si="52"/>
        <v>0</v>
      </c>
      <c r="T47" s="2">
        <f t="shared" si="52"/>
        <v>0</v>
      </c>
      <c r="U47" s="2">
        <f t="shared" si="52"/>
        <v>0</v>
      </c>
      <c r="V47" s="2">
        <f t="shared" si="52"/>
        <v>0</v>
      </c>
    </row>
    <row r="48" spans="1:22" x14ac:dyDescent="0.3">
      <c r="A48" s="2">
        <f t="shared" si="4"/>
        <v>43</v>
      </c>
      <c r="B48" s="2" t="str">
        <f>Data_base_case!D51</f>
        <v>H2 tank</v>
      </c>
      <c r="C48" s="2">
        <f>IF($B48=$A$4,1,0)</f>
        <v>0</v>
      </c>
      <c r="D48" s="2">
        <f t="shared" ref="D48:V48" si="53">IF($B45=$A$4,1,0)</f>
        <v>0</v>
      </c>
      <c r="E48" s="2">
        <f t="shared" si="53"/>
        <v>0</v>
      </c>
      <c r="F48" s="2">
        <f t="shared" si="53"/>
        <v>0</v>
      </c>
      <c r="G48" s="2">
        <f t="shared" si="53"/>
        <v>0</v>
      </c>
      <c r="H48" s="2">
        <f t="shared" si="53"/>
        <v>0</v>
      </c>
      <c r="I48" s="2">
        <f t="shared" si="53"/>
        <v>0</v>
      </c>
      <c r="J48" s="2">
        <f t="shared" si="53"/>
        <v>0</v>
      </c>
      <c r="K48" s="2">
        <f t="shared" si="53"/>
        <v>0</v>
      </c>
      <c r="L48" s="2">
        <f t="shared" si="53"/>
        <v>0</v>
      </c>
      <c r="M48" s="2">
        <f t="shared" si="53"/>
        <v>0</v>
      </c>
      <c r="N48" s="2">
        <f t="shared" si="53"/>
        <v>0</v>
      </c>
      <c r="O48" s="2">
        <f t="shared" si="53"/>
        <v>0</v>
      </c>
      <c r="P48" s="2">
        <f t="shared" si="53"/>
        <v>0</v>
      </c>
      <c r="Q48" s="2">
        <f t="shared" si="53"/>
        <v>0</v>
      </c>
      <c r="R48" s="2">
        <f t="shared" si="53"/>
        <v>0</v>
      </c>
      <c r="S48" s="2">
        <f t="shared" ref="S48" si="54">IF($B45=$A$4,1,0)</f>
        <v>0</v>
      </c>
      <c r="T48" s="2">
        <f t="shared" si="53"/>
        <v>0</v>
      </c>
      <c r="U48" s="2">
        <f t="shared" si="53"/>
        <v>0</v>
      </c>
      <c r="V48" s="2">
        <f t="shared" si="53"/>
        <v>0</v>
      </c>
    </row>
    <row r="49" spans="1:22" x14ac:dyDescent="0.3">
      <c r="A49" s="2">
        <f t="shared" si="4"/>
        <v>44</v>
      </c>
      <c r="B49" s="2" t="str">
        <f>Data_base_case!D52</f>
        <v>H2 pipes compressor</v>
      </c>
      <c r="C49" s="2">
        <f>C51</f>
        <v>1</v>
      </c>
      <c r="D49" s="2">
        <f t="shared" ref="D49:V49" si="55">D51</f>
        <v>1</v>
      </c>
      <c r="E49" s="2">
        <f t="shared" si="55"/>
        <v>1</v>
      </c>
      <c r="F49" s="2">
        <f t="shared" si="55"/>
        <v>1</v>
      </c>
      <c r="G49" s="2">
        <f t="shared" si="55"/>
        <v>1</v>
      </c>
      <c r="H49" s="2">
        <f t="shared" si="55"/>
        <v>1</v>
      </c>
      <c r="I49" s="2">
        <f t="shared" si="55"/>
        <v>1</v>
      </c>
      <c r="J49" s="2">
        <f t="shared" si="55"/>
        <v>1</v>
      </c>
      <c r="K49" s="2">
        <f t="shared" si="55"/>
        <v>1</v>
      </c>
      <c r="L49" s="2">
        <f t="shared" si="55"/>
        <v>1</v>
      </c>
      <c r="M49" s="2">
        <f t="shared" si="55"/>
        <v>1</v>
      </c>
      <c r="N49" s="2">
        <f t="shared" si="55"/>
        <v>1</v>
      </c>
      <c r="O49" s="2">
        <f t="shared" si="55"/>
        <v>1</v>
      </c>
      <c r="P49" s="2">
        <f t="shared" si="55"/>
        <v>1</v>
      </c>
      <c r="Q49" s="2">
        <f t="shared" si="55"/>
        <v>1</v>
      </c>
      <c r="R49" s="2">
        <f t="shared" si="55"/>
        <v>1</v>
      </c>
      <c r="S49" s="2">
        <f t="shared" ref="S49" si="56">S51</f>
        <v>1</v>
      </c>
      <c r="T49" s="2">
        <f t="shared" si="55"/>
        <v>1</v>
      </c>
      <c r="U49" s="2">
        <f t="shared" si="55"/>
        <v>1</v>
      </c>
      <c r="V49" s="2">
        <f t="shared" si="55"/>
        <v>1</v>
      </c>
    </row>
    <row r="50" spans="1:22" x14ac:dyDescent="0.3">
      <c r="A50" s="2">
        <f t="shared" si="4"/>
        <v>45</v>
      </c>
      <c r="B50" s="2" t="str">
        <f>Data_base_case!D53</f>
        <v>H2 pipes valve</v>
      </c>
      <c r="C50" s="2">
        <f>C51</f>
        <v>1</v>
      </c>
      <c r="D50" s="2">
        <f t="shared" ref="D50:V50" si="57">D51</f>
        <v>1</v>
      </c>
      <c r="E50" s="2">
        <f t="shared" si="57"/>
        <v>1</v>
      </c>
      <c r="F50" s="2">
        <f t="shared" si="57"/>
        <v>1</v>
      </c>
      <c r="G50" s="2">
        <f t="shared" si="57"/>
        <v>1</v>
      </c>
      <c r="H50" s="2">
        <f t="shared" si="57"/>
        <v>1</v>
      </c>
      <c r="I50" s="2">
        <f t="shared" si="57"/>
        <v>1</v>
      </c>
      <c r="J50" s="2">
        <f t="shared" si="57"/>
        <v>1</v>
      </c>
      <c r="K50" s="2">
        <f t="shared" si="57"/>
        <v>1</v>
      </c>
      <c r="L50" s="2">
        <f t="shared" si="57"/>
        <v>1</v>
      </c>
      <c r="M50" s="2">
        <f t="shared" si="57"/>
        <v>1</v>
      </c>
      <c r="N50" s="2">
        <f t="shared" si="57"/>
        <v>1</v>
      </c>
      <c r="O50" s="2">
        <f t="shared" si="57"/>
        <v>1</v>
      </c>
      <c r="P50" s="2">
        <f t="shared" si="57"/>
        <v>1</v>
      </c>
      <c r="Q50" s="2">
        <f t="shared" si="57"/>
        <v>1</v>
      </c>
      <c r="R50" s="2">
        <f t="shared" si="57"/>
        <v>1</v>
      </c>
      <c r="S50" s="2">
        <f t="shared" si="57"/>
        <v>1</v>
      </c>
      <c r="T50" s="2">
        <f t="shared" si="57"/>
        <v>1</v>
      </c>
      <c r="U50" s="2">
        <f t="shared" si="57"/>
        <v>1</v>
      </c>
      <c r="V50" s="2">
        <f t="shared" si="57"/>
        <v>1</v>
      </c>
    </row>
    <row r="51" spans="1:22" x14ac:dyDescent="0.3">
      <c r="A51" s="2">
        <f t="shared" si="4"/>
        <v>46</v>
      </c>
      <c r="B51" s="2" t="str">
        <f>Data_base_case!D54</f>
        <v>H2 buried pipes</v>
      </c>
      <c r="C51" s="2">
        <f>IF($B51=$A$4,1,0)</f>
        <v>1</v>
      </c>
      <c r="D51" s="2">
        <f t="shared" ref="D51:V51" si="58">IF($B51=$A$4,1,0)</f>
        <v>1</v>
      </c>
      <c r="E51" s="2">
        <f t="shared" si="58"/>
        <v>1</v>
      </c>
      <c r="F51" s="2">
        <f t="shared" si="58"/>
        <v>1</v>
      </c>
      <c r="G51" s="2">
        <f t="shared" si="58"/>
        <v>1</v>
      </c>
      <c r="H51" s="2">
        <f t="shared" si="58"/>
        <v>1</v>
      </c>
      <c r="I51" s="2">
        <f t="shared" si="58"/>
        <v>1</v>
      </c>
      <c r="J51" s="2">
        <f t="shared" si="58"/>
        <v>1</v>
      </c>
      <c r="K51" s="2">
        <f t="shared" si="58"/>
        <v>1</v>
      </c>
      <c r="L51" s="2">
        <f t="shared" si="58"/>
        <v>1</v>
      </c>
      <c r="M51" s="2">
        <f t="shared" si="58"/>
        <v>1</v>
      </c>
      <c r="N51" s="2">
        <f t="shared" si="58"/>
        <v>1</v>
      </c>
      <c r="O51" s="2">
        <f t="shared" si="58"/>
        <v>1</v>
      </c>
      <c r="P51" s="2">
        <f t="shared" si="58"/>
        <v>1</v>
      </c>
      <c r="Q51" s="2">
        <f t="shared" si="58"/>
        <v>1</v>
      </c>
      <c r="R51" s="2">
        <f t="shared" si="58"/>
        <v>1</v>
      </c>
      <c r="S51" s="2">
        <f t="shared" si="58"/>
        <v>1</v>
      </c>
      <c r="T51" s="2">
        <f t="shared" si="58"/>
        <v>1</v>
      </c>
      <c r="U51" s="2">
        <v>1</v>
      </c>
      <c r="V51" s="2">
        <f t="shared" si="58"/>
        <v>1</v>
      </c>
    </row>
    <row r="52" spans="1:22" x14ac:dyDescent="0.3">
      <c r="A52" s="2">
        <f t="shared" si="4"/>
        <v>47</v>
      </c>
      <c r="B52" s="2" t="str">
        <f>Data_base_case!D55</f>
        <v>Solar fixed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1</v>
      </c>
      <c r="U52" s="2">
        <v>0</v>
      </c>
      <c r="V52" s="2">
        <v>1</v>
      </c>
    </row>
    <row r="53" spans="1:22" x14ac:dyDescent="0.3">
      <c r="A53" s="2">
        <f t="shared" si="4"/>
        <v>48</v>
      </c>
      <c r="B53" s="2" t="str">
        <f>Data_base_case!D56</f>
        <v>Solar tracking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0</v>
      </c>
      <c r="V53" s="2">
        <v>1</v>
      </c>
    </row>
    <row r="54" spans="1:22" x14ac:dyDescent="0.3">
      <c r="A54" s="2">
        <f t="shared" si="4"/>
        <v>49</v>
      </c>
      <c r="B54" s="2" t="str">
        <f>Data_base_case!D57</f>
        <v>ON_SP198-HH100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">
      <c r="A55" s="2">
        <f t="shared" si="4"/>
        <v>50</v>
      </c>
      <c r="B55" s="2" t="str">
        <f>Data_base_case!D58</f>
        <v>ON_SP198-HH150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">
      <c r="A56" s="2">
        <f t="shared" si="4"/>
        <v>51</v>
      </c>
      <c r="B56" s="2" t="str">
        <f>Data_base_case!D59</f>
        <v>ON_SP237-HH100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">
      <c r="A57" s="2">
        <f t="shared" si="4"/>
        <v>52</v>
      </c>
      <c r="B57" s="2" t="str">
        <f>Data_base_case!D60</f>
        <v>ON_SP237-HH150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">
      <c r="A58" s="2">
        <f t="shared" si="4"/>
        <v>53</v>
      </c>
      <c r="B58" s="2" t="str">
        <f>Data_base_case!D61</f>
        <v>ON_SP277-HH100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">
      <c r="A59" s="2">
        <f t="shared" si="4"/>
        <v>54</v>
      </c>
      <c r="B59" s="2" t="str">
        <f>Data_base_case!D62</f>
        <v>ON_SP277-HH150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">
      <c r="A60" s="2">
        <f t="shared" si="4"/>
        <v>55</v>
      </c>
      <c r="B60" s="2" t="str">
        <f>Data_base_case!D63</f>
        <v>ON_SP321-HH100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">
      <c r="A61" s="2">
        <f t="shared" si="4"/>
        <v>56</v>
      </c>
      <c r="B61" s="2" t="str">
        <f>Data_base_case!D64</f>
        <v>ON_SP321-HH150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">
      <c r="A62" s="2">
        <f t="shared" si="4"/>
        <v>57</v>
      </c>
      <c r="B62" s="2" t="str">
        <f>Data_base_case!D65</f>
        <v>OFF_SP379-HH100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1</v>
      </c>
    </row>
    <row r="63" spans="1:22" x14ac:dyDescent="0.3">
      <c r="A63" s="2">
        <f t="shared" si="4"/>
        <v>58</v>
      </c>
      <c r="B63" s="2" t="str">
        <f>Data_base_case!D66</f>
        <v>OFF_SP379-HH150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1</v>
      </c>
      <c r="U63" s="2">
        <v>0</v>
      </c>
      <c r="V63" s="2">
        <v>1</v>
      </c>
    </row>
    <row r="64" spans="1:22" x14ac:dyDescent="0.3">
      <c r="A64" s="2">
        <f t="shared" si="4"/>
        <v>59</v>
      </c>
      <c r="B64" s="2" t="str">
        <f>Data_base_case!D67</f>
        <v>OFF_SP450-HH100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1</v>
      </c>
      <c r="U64" s="2">
        <v>0</v>
      </c>
      <c r="V64" s="2">
        <v>1</v>
      </c>
    </row>
    <row r="65" spans="1:22" x14ac:dyDescent="0.3">
      <c r="A65" s="2">
        <f t="shared" si="4"/>
        <v>60</v>
      </c>
      <c r="B65" s="2" t="str">
        <f>Data_base_case!D68</f>
        <v>OFF_SP450-HH150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1</v>
      </c>
      <c r="U65" s="2">
        <v>0</v>
      </c>
      <c r="V65" s="2">
        <v>1</v>
      </c>
    </row>
    <row r="66" spans="1:22" x14ac:dyDescent="0.3">
      <c r="A66" s="2">
        <f t="shared" si="4"/>
        <v>61</v>
      </c>
      <c r="B66" s="2" t="str">
        <f>Data_base_case!D69</f>
        <v>CSP_tower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">
      <c r="A67" s="2">
        <f t="shared" si="4"/>
        <v>62</v>
      </c>
      <c r="B67" s="2" t="str">
        <f>Data_base_case!D70</f>
        <v>Charge TES</v>
      </c>
      <c r="C67" s="2">
        <f>C66</f>
        <v>0</v>
      </c>
      <c r="D67" s="2">
        <f t="shared" ref="D67:V67" si="59">D66</f>
        <v>0</v>
      </c>
      <c r="E67" s="2">
        <f t="shared" si="59"/>
        <v>0</v>
      </c>
      <c r="F67" s="2">
        <f t="shared" si="59"/>
        <v>0</v>
      </c>
      <c r="G67" s="2">
        <f t="shared" si="59"/>
        <v>0</v>
      </c>
      <c r="H67" s="2">
        <f t="shared" si="59"/>
        <v>0</v>
      </c>
      <c r="I67" s="2">
        <f t="shared" si="59"/>
        <v>0</v>
      </c>
      <c r="J67" s="2">
        <f t="shared" si="59"/>
        <v>0</v>
      </c>
      <c r="K67" s="2">
        <f t="shared" si="59"/>
        <v>0</v>
      </c>
      <c r="L67" s="2">
        <f t="shared" si="59"/>
        <v>0</v>
      </c>
      <c r="M67" s="2">
        <f t="shared" si="59"/>
        <v>0</v>
      </c>
      <c r="N67" s="2">
        <f t="shared" si="59"/>
        <v>0</v>
      </c>
      <c r="O67" s="2">
        <f t="shared" si="59"/>
        <v>0</v>
      </c>
      <c r="P67" s="2">
        <f t="shared" si="59"/>
        <v>0</v>
      </c>
      <c r="Q67" s="2">
        <f t="shared" si="59"/>
        <v>0</v>
      </c>
      <c r="R67" s="2">
        <f t="shared" si="59"/>
        <v>0</v>
      </c>
      <c r="S67" s="2">
        <f t="shared" ref="S67" si="60">S66</f>
        <v>0</v>
      </c>
      <c r="T67" s="2">
        <f t="shared" si="59"/>
        <v>0</v>
      </c>
      <c r="U67" s="2">
        <f t="shared" si="59"/>
        <v>0</v>
      </c>
      <c r="V67" s="2">
        <f t="shared" si="59"/>
        <v>0</v>
      </c>
    </row>
    <row r="68" spans="1:22" x14ac:dyDescent="0.3">
      <c r="A68" s="2">
        <f t="shared" si="4"/>
        <v>63</v>
      </c>
      <c r="B68" s="2" t="str">
        <f>Data_base_case!D71</f>
        <v>Discharge TES</v>
      </c>
      <c r="C68" s="2">
        <f>C66</f>
        <v>0</v>
      </c>
      <c r="D68" s="2">
        <f t="shared" ref="D68:V68" si="61">D66</f>
        <v>0</v>
      </c>
      <c r="E68" s="2">
        <f t="shared" si="61"/>
        <v>0</v>
      </c>
      <c r="F68" s="2">
        <f t="shared" si="61"/>
        <v>0</v>
      </c>
      <c r="G68" s="2">
        <f t="shared" si="61"/>
        <v>0</v>
      </c>
      <c r="H68" s="2">
        <f t="shared" si="61"/>
        <v>0</v>
      </c>
      <c r="I68" s="2">
        <f t="shared" si="61"/>
        <v>0</v>
      </c>
      <c r="J68" s="2">
        <f t="shared" si="61"/>
        <v>0</v>
      </c>
      <c r="K68" s="2">
        <f t="shared" si="61"/>
        <v>0</v>
      </c>
      <c r="L68" s="2">
        <f t="shared" si="61"/>
        <v>0</v>
      </c>
      <c r="M68" s="2">
        <f t="shared" si="61"/>
        <v>0</v>
      </c>
      <c r="N68" s="2">
        <f t="shared" si="61"/>
        <v>0</v>
      </c>
      <c r="O68" s="2">
        <f t="shared" si="61"/>
        <v>0</v>
      </c>
      <c r="P68" s="2">
        <f t="shared" si="61"/>
        <v>0</v>
      </c>
      <c r="Q68" s="2">
        <f t="shared" si="61"/>
        <v>0</v>
      </c>
      <c r="R68" s="2">
        <f t="shared" si="61"/>
        <v>0</v>
      </c>
      <c r="S68" s="2">
        <f t="shared" ref="S68" si="62">S66</f>
        <v>0</v>
      </c>
      <c r="T68" s="2">
        <f t="shared" si="61"/>
        <v>0</v>
      </c>
      <c r="U68" s="2">
        <f t="shared" si="61"/>
        <v>0</v>
      </c>
      <c r="V68" s="2">
        <f t="shared" si="61"/>
        <v>0</v>
      </c>
    </row>
    <row r="69" spans="1:22" x14ac:dyDescent="0.3">
      <c r="A69" s="2">
        <f t="shared" si="4"/>
        <v>64</v>
      </c>
      <c r="B69" s="2" t="str">
        <f>Data_base_case!D72</f>
        <v>TES</v>
      </c>
      <c r="C69" s="2">
        <f>C66</f>
        <v>0</v>
      </c>
      <c r="D69" s="2">
        <f t="shared" ref="D69:V69" si="63">D66</f>
        <v>0</v>
      </c>
      <c r="E69" s="2">
        <f t="shared" si="63"/>
        <v>0</v>
      </c>
      <c r="F69" s="2">
        <f t="shared" si="63"/>
        <v>0</v>
      </c>
      <c r="G69" s="2">
        <f t="shared" si="63"/>
        <v>0</v>
      </c>
      <c r="H69" s="2">
        <f t="shared" si="63"/>
        <v>0</v>
      </c>
      <c r="I69" s="2">
        <f t="shared" si="63"/>
        <v>0</v>
      </c>
      <c r="J69" s="2">
        <f t="shared" si="63"/>
        <v>0</v>
      </c>
      <c r="K69" s="2">
        <f t="shared" si="63"/>
        <v>0</v>
      </c>
      <c r="L69" s="2">
        <f t="shared" si="63"/>
        <v>0</v>
      </c>
      <c r="M69" s="2">
        <f t="shared" si="63"/>
        <v>0</v>
      </c>
      <c r="N69" s="2">
        <f t="shared" si="63"/>
        <v>0</v>
      </c>
      <c r="O69" s="2">
        <f t="shared" si="63"/>
        <v>0</v>
      </c>
      <c r="P69" s="2">
        <f t="shared" si="63"/>
        <v>0</v>
      </c>
      <c r="Q69" s="2">
        <f t="shared" si="63"/>
        <v>0</v>
      </c>
      <c r="R69" s="2">
        <f t="shared" si="63"/>
        <v>0</v>
      </c>
      <c r="S69" s="2">
        <f t="shared" ref="S69" si="64">S66</f>
        <v>0</v>
      </c>
      <c r="T69" s="2">
        <f t="shared" si="63"/>
        <v>0</v>
      </c>
      <c r="U69" s="2">
        <f t="shared" si="63"/>
        <v>0</v>
      </c>
      <c r="V69" s="2">
        <f t="shared" si="63"/>
        <v>0</v>
      </c>
    </row>
    <row r="70" spans="1:22" x14ac:dyDescent="0.3">
      <c r="A70" s="2">
        <f t="shared" si="4"/>
        <v>65</v>
      </c>
      <c r="B70" s="2" t="str">
        <f>Data_base_case!D73</f>
        <v>CSP + TES</v>
      </c>
      <c r="C70" s="2">
        <f>C66</f>
        <v>0</v>
      </c>
      <c r="D70" s="2">
        <f t="shared" ref="D70:V70" si="65">D66</f>
        <v>0</v>
      </c>
      <c r="E70" s="2">
        <f t="shared" si="65"/>
        <v>0</v>
      </c>
      <c r="F70" s="2">
        <f t="shared" si="65"/>
        <v>0</v>
      </c>
      <c r="G70" s="2">
        <f t="shared" si="65"/>
        <v>0</v>
      </c>
      <c r="H70" s="2">
        <f t="shared" si="65"/>
        <v>0</v>
      </c>
      <c r="I70" s="2">
        <f t="shared" si="65"/>
        <v>0</v>
      </c>
      <c r="J70" s="2">
        <f t="shared" si="65"/>
        <v>0</v>
      </c>
      <c r="K70" s="2">
        <f t="shared" si="65"/>
        <v>0</v>
      </c>
      <c r="L70" s="2">
        <f t="shared" si="65"/>
        <v>0</v>
      </c>
      <c r="M70" s="2">
        <f t="shared" si="65"/>
        <v>0</v>
      </c>
      <c r="N70" s="2">
        <f t="shared" si="65"/>
        <v>0</v>
      </c>
      <c r="O70" s="2">
        <f t="shared" si="65"/>
        <v>0</v>
      </c>
      <c r="P70" s="2">
        <f t="shared" si="65"/>
        <v>0</v>
      </c>
      <c r="Q70" s="2">
        <f t="shared" si="65"/>
        <v>0</v>
      </c>
      <c r="R70" s="2">
        <f t="shared" si="65"/>
        <v>0</v>
      </c>
      <c r="S70" s="2">
        <f t="shared" ref="S70" si="66">S66</f>
        <v>0</v>
      </c>
      <c r="T70" s="2">
        <f t="shared" si="65"/>
        <v>0</v>
      </c>
      <c r="U70" s="2">
        <f t="shared" si="65"/>
        <v>0</v>
      </c>
      <c r="V70" s="2">
        <f t="shared" si="65"/>
        <v>0</v>
      </c>
    </row>
    <row r="71" spans="1:22" x14ac:dyDescent="0.3">
      <c r="A71" s="2">
        <f t="shared" si="4"/>
        <v>66</v>
      </c>
      <c r="B71" s="2" t="str">
        <f>Data_base_case!D74</f>
        <v>Electricity from the grid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</row>
    <row r="72" spans="1:22" x14ac:dyDescent="0.3">
      <c r="A72" s="2">
        <f t="shared" si="4"/>
        <v>67</v>
      </c>
      <c r="B72" s="2" t="str">
        <f>Data_base_case!D75</f>
        <v>Curtailment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</row>
    <row r="73" spans="1:22" x14ac:dyDescent="0.3">
      <c r="A73" s="2">
        <f t="shared" si="4"/>
        <v>68</v>
      </c>
      <c r="B73" s="2" t="str">
        <f>Data_base_case!D76</f>
        <v>Diesel generator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">
      <c r="A74" s="2">
        <f t="shared" si="4"/>
        <v>69</v>
      </c>
      <c r="B74" s="2" t="str">
        <f>Data_base_case!D77</f>
        <v>Charge batteries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</row>
    <row r="75" spans="1:22" x14ac:dyDescent="0.3">
      <c r="A75" s="2">
        <f t="shared" si="4"/>
        <v>70</v>
      </c>
      <c r="B75" s="2" t="str">
        <f>Data_base_case!D78</f>
        <v>Discharge batteries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</row>
    <row r="76" spans="1:22" x14ac:dyDescent="0.3">
      <c r="A76" s="2">
        <f t="shared" si="4"/>
        <v>71</v>
      </c>
      <c r="B76" s="2" t="str">
        <f>Data_base_case!D79</f>
        <v>Batteries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</row>
  </sheetData>
  <conditionalFormatting sqref="C6:U76">
    <cfRule type="cellIs" dxfId="25" priority="3" operator="equal">
      <formula>1</formula>
    </cfRule>
    <cfRule type="cellIs" dxfId="24" priority="4" operator="equal">
      <formula>0</formula>
    </cfRule>
  </conditionalFormatting>
  <conditionalFormatting sqref="V6:V76">
    <cfRule type="cellIs" dxfId="23" priority="1" operator="equal">
      <formula>1</formula>
    </cfRule>
    <cfRule type="cellIs" dxfId="22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213"/>
  <sheetViews>
    <sheetView topLeftCell="A181" workbookViewId="0">
      <selection activeCell="B210" sqref="B210"/>
    </sheetView>
  </sheetViews>
  <sheetFormatPr defaultColWidth="8.77734375" defaultRowHeight="14.4" x14ac:dyDescent="0.3"/>
  <cols>
    <col min="1" max="1" width="27.10937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5.3320312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1" t="s">
        <v>431</v>
      </c>
      <c r="B4" s="1" t="s">
        <v>431</v>
      </c>
      <c r="C4" s="13" t="s">
        <v>402</v>
      </c>
      <c r="D4" s="1" t="s">
        <v>78</v>
      </c>
      <c r="E4" s="11" t="s">
        <v>133</v>
      </c>
      <c r="F4" s="1">
        <v>10000000</v>
      </c>
      <c r="G4" s="69" t="s">
        <v>133</v>
      </c>
      <c r="H4" s="1">
        <f>INDEX(Data_base_case!$D$8:$FS$124,MATCH(Scenarios_definition!C4,Data_base_case!$D$8:$D$124,0),MATCH(Scenarios_definition!D4&amp;Scenarios_definition!G4,Data_base_case!$D$7:$FS$7,0))</f>
        <v>65700000</v>
      </c>
    </row>
    <row r="5" spans="1:140" ht="14.55" customHeight="1" x14ac:dyDescent="0.3">
      <c r="A5" s="1" t="s">
        <v>432</v>
      </c>
      <c r="B5" s="1" t="s">
        <v>432</v>
      </c>
      <c r="C5" s="13" t="s">
        <v>403</v>
      </c>
      <c r="D5" s="1" t="s">
        <v>78</v>
      </c>
      <c r="E5" s="11" t="s">
        <v>133</v>
      </c>
      <c r="F5" s="1">
        <v>10000000</v>
      </c>
      <c r="G5" s="69" t="s">
        <v>133</v>
      </c>
      <c r="H5" s="1">
        <f>INDEX(Data_base_case!$D$8:$FS$124,MATCH(Scenarios_definition!C5,Data_base_case!$D$8:$D$124,0),MATCH(Scenarios_definition!D5&amp;Scenarios_definition!G5,Data_base_case!$D$7:$FS$7,0))</f>
        <v>65700000</v>
      </c>
    </row>
    <row r="6" spans="1:140" ht="14.55" customHeight="1" x14ac:dyDescent="0.3">
      <c r="A6" s="98" t="s">
        <v>433</v>
      </c>
      <c r="B6" s="98" t="s">
        <v>433</v>
      </c>
      <c r="C6" s="93" t="s">
        <v>404</v>
      </c>
      <c r="D6" s="98" t="s">
        <v>78</v>
      </c>
      <c r="E6" s="100" t="s">
        <v>133</v>
      </c>
      <c r="F6" s="98">
        <f>H6</f>
        <v>24439560.439560439</v>
      </c>
      <c r="G6" s="101" t="s">
        <v>133</v>
      </c>
      <c r="H6" s="98">
        <f>INDEX(Data_base_case!$D$8:$FS$124,MATCH(Scenarios_definition!C6,Data_base_case!$D$8:$D$124,0),MATCH(Scenarios_definition!D6&amp;Scenarios_definition!G6,Data_base_case!$D$7:$FS$7,0))</f>
        <v>24439560.439560439</v>
      </c>
    </row>
    <row r="7" spans="1:140" x14ac:dyDescent="0.3">
      <c r="A7" s="1" t="s">
        <v>434</v>
      </c>
      <c r="B7" s="1" t="s">
        <v>434</v>
      </c>
      <c r="C7" s="13" t="s">
        <v>405</v>
      </c>
      <c r="D7" s="1" t="s">
        <v>78</v>
      </c>
      <c r="E7" s="11" t="s">
        <v>133</v>
      </c>
      <c r="F7" s="1">
        <v>10000000</v>
      </c>
      <c r="G7" s="69" t="s">
        <v>133</v>
      </c>
      <c r="H7" s="1">
        <f>INDEX(Data_base_case!$D$8:$FS$124,MATCH(Scenarios_definition!C7,Data_base_case!$D$8:$D$124,0),MATCH(Scenarios_definition!D7&amp;Scenarios_definition!G7,Data_base_case!$D$7:$FS$7,0))</f>
        <v>65700000</v>
      </c>
    </row>
    <row r="8" spans="1:140" x14ac:dyDescent="0.3">
      <c r="A8" s="1" t="s">
        <v>431</v>
      </c>
      <c r="B8" s="1" t="s">
        <v>506</v>
      </c>
      <c r="C8" s="11" t="s">
        <v>402</v>
      </c>
      <c r="D8" s="1" t="s">
        <v>81</v>
      </c>
      <c r="E8" s="11" t="s">
        <v>133</v>
      </c>
      <c r="F8" s="70">
        <v>1</v>
      </c>
      <c r="G8" s="69" t="s">
        <v>323</v>
      </c>
      <c r="H8" s="1">
        <f>INDEX(Data_base_case!$D$8:$FS$124,MATCH(Scenarios_definition!C8,Data_base_case!$D$8:$D$124,0),MATCH(Scenarios_definition!D8&amp;Scenarios_definition!G8,Data_base_case!$D$7:$FS$7,0))</f>
        <v>0.5</v>
      </c>
    </row>
    <row r="9" spans="1:140" x14ac:dyDescent="0.3">
      <c r="A9" s="1" t="s">
        <v>432</v>
      </c>
      <c r="B9" s="1" t="s">
        <v>507</v>
      </c>
      <c r="C9" s="11" t="s">
        <v>403</v>
      </c>
      <c r="D9" s="1" t="s">
        <v>81</v>
      </c>
      <c r="E9" s="11" t="s">
        <v>133</v>
      </c>
      <c r="F9" s="70">
        <v>1</v>
      </c>
      <c r="G9" s="69" t="s">
        <v>323</v>
      </c>
      <c r="H9" s="1">
        <f>INDEX(Data_base_case!$D$8:$FS$124,MATCH(Scenarios_definition!C9,Data_base_case!$D$8:$D$124,0),MATCH(Scenarios_definition!D9&amp;Scenarios_definition!G9,Data_base_case!$D$7:$FS$7,0))</f>
        <v>0.5</v>
      </c>
    </row>
    <row r="10" spans="1:140" x14ac:dyDescent="0.3">
      <c r="A10" s="1" t="s">
        <v>433</v>
      </c>
      <c r="B10" s="1" t="s">
        <v>508</v>
      </c>
      <c r="C10" s="11" t="s">
        <v>404</v>
      </c>
      <c r="D10" s="1" t="s">
        <v>81</v>
      </c>
      <c r="E10" s="11" t="s">
        <v>133</v>
      </c>
      <c r="F10" s="70">
        <v>1</v>
      </c>
      <c r="G10" s="69" t="s">
        <v>323</v>
      </c>
      <c r="H10" s="1">
        <f>INDEX(Data_base_case!$D$8:$FS$124,MATCH(Scenarios_definition!C10,Data_base_case!$D$8:$D$124,0),MATCH(Scenarios_definition!D10&amp;Scenarios_definition!G10,Data_base_case!$D$7:$FS$7,0))</f>
        <v>0.5</v>
      </c>
    </row>
    <row r="11" spans="1:140" x14ac:dyDescent="0.3">
      <c r="A11" s="1" t="s">
        <v>434</v>
      </c>
      <c r="B11" s="1" t="s">
        <v>509</v>
      </c>
      <c r="C11" s="11" t="s">
        <v>405</v>
      </c>
      <c r="D11" s="1" t="s">
        <v>81</v>
      </c>
      <c r="E11" s="11" t="s">
        <v>133</v>
      </c>
      <c r="F11" s="70">
        <v>1</v>
      </c>
      <c r="G11" s="69" t="s">
        <v>323</v>
      </c>
      <c r="H11" s="1">
        <f>INDEX(Data_base_case!$D$8:$FS$124,MATCH(Scenarios_definition!C11,Data_base_case!$D$8:$D$124,0),MATCH(Scenarios_definition!D11&amp;Scenarios_definition!G11,Data_base_case!$D$7:$FS$7,0))</f>
        <v>0.5</v>
      </c>
    </row>
    <row r="12" spans="1:140" x14ac:dyDescent="0.3">
      <c r="A12" s="1" t="s">
        <v>431</v>
      </c>
      <c r="B12" s="1" t="s">
        <v>458</v>
      </c>
      <c r="C12" s="11" t="s">
        <v>428</v>
      </c>
      <c r="D12" s="1" t="s">
        <v>186</v>
      </c>
      <c r="E12" s="11" t="s">
        <v>133</v>
      </c>
      <c r="F12" s="1">
        <v>0</v>
      </c>
      <c r="G12" s="69" t="s">
        <v>323</v>
      </c>
      <c r="H12" s="1">
        <f>INDEX(Data_base_case!$D$8:$FS$124,MATCH(Scenarios_definition!C12,Data_base_case!$D$8:$D$124,0),MATCH(Scenarios_definition!D12&amp;Scenarios_definition!G12,Data_base_case!$D$7:$FS$7,0))</f>
        <v>0.11849999999999999</v>
      </c>
    </row>
    <row r="13" spans="1:140" x14ac:dyDescent="0.3">
      <c r="A13" s="1" t="s">
        <v>432</v>
      </c>
      <c r="B13" s="1" t="s">
        <v>459</v>
      </c>
      <c r="C13" s="11" t="s">
        <v>428</v>
      </c>
      <c r="D13" s="1" t="s">
        <v>186</v>
      </c>
      <c r="E13" s="11" t="s">
        <v>133</v>
      </c>
      <c r="F13" s="1">
        <v>0</v>
      </c>
      <c r="G13" s="69" t="s">
        <v>323</v>
      </c>
      <c r="H13" s="1">
        <f>INDEX(Data_base_case!$D$8:$FS$124,MATCH(Scenarios_definition!C13,Data_base_case!$D$8:$D$124,0),MATCH(Scenarios_definition!D13&amp;Scenarios_definition!G13,Data_base_case!$D$7:$FS$7,0))</f>
        <v>0.11849999999999999</v>
      </c>
    </row>
    <row r="14" spans="1:140" x14ac:dyDescent="0.3">
      <c r="A14" s="1" t="s">
        <v>433</v>
      </c>
      <c r="B14" s="1" t="s">
        <v>460</v>
      </c>
      <c r="C14" s="11" t="s">
        <v>428</v>
      </c>
      <c r="D14" s="1" t="s">
        <v>186</v>
      </c>
      <c r="E14" s="11" t="s">
        <v>133</v>
      </c>
      <c r="F14" s="1">
        <v>0</v>
      </c>
      <c r="G14" s="69" t="s">
        <v>323</v>
      </c>
      <c r="H14" s="1">
        <f>INDEX(Data_base_case!$D$8:$FS$124,MATCH(Scenarios_definition!C14,Data_base_case!$D$8:$D$124,0),MATCH(Scenarios_definition!D14&amp;Scenarios_definition!G14,Data_base_case!$D$7:$FS$7,0))</f>
        <v>0.11849999999999999</v>
      </c>
    </row>
    <row r="15" spans="1:140" x14ac:dyDescent="0.3">
      <c r="A15" s="1" t="s">
        <v>434</v>
      </c>
      <c r="B15" s="1" t="s">
        <v>461</v>
      </c>
      <c r="C15" s="11" t="s">
        <v>428</v>
      </c>
      <c r="D15" s="1" t="s">
        <v>186</v>
      </c>
      <c r="E15" s="11" t="s">
        <v>133</v>
      </c>
      <c r="F15" s="1">
        <v>0</v>
      </c>
      <c r="G15" s="69" t="s">
        <v>323</v>
      </c>
      <c r="H15" s="1">
        <f>INDEX(Data_base_case!$D$8:$FS$124,MATCH(Scenarios_definition!C15,Data_base_case!$D$8:$D$124,0),MATCH(Scenarios_definition!D15&amp;Scenarios_definition!G15,Data_base_case!$D$7:$FS$7,0))</f>
        <v>0.11849999999999999</v>
      </c>
    </row>
    <row r="16" spans="1:140" x14ac:dyDescent="0.3">
      <c r="A16" s="1" t="s">
        <v>431</v>
      </c>
      <c r="B16" s="1" t="s">
        <v>462</v>
      </c>
      <c r="C16" s="11" t="s">
        <v>428</v>
      </c>
      <c r="D16" s="1" t="s">
        <v>186</v>
      </c>
      <c r="E16" s="11" t="s">
        <v>133</v>
      </c>
      <c r="F16" s="1">
        <v>0.16</v>
      </c>
      <c r="G16" s="69" t="s">
        <v>323</v>
      </c>
      <c r="H16" s="1">
        <f>INDEX(Data_base_case!$D$8:$FS$124,MATCH(Scenarios_definition!C16,Data_base_case!$D$8:$D$124,0),MATCH(Scenarios_definition!D16&amp;Scenarios_definition!G16,Data_base_case!$D$7:$FS$7,0))</f>
        <v>0.11849999999999999</v>
      </c>
    </row>
    <row r="17" spans="1:8" x14ac:dyDescent="0.3">
      <c r="A17" s="1" t="s">
        <v>432</v>
      </c>
      <c r="B17" s="1" t="s">
        <v>463</v>
      </c>
      <c r="C17" s="11" t="s">
        <v>428</v>
      </c>
      <c r="D17" s="1" t="s">
        <v>186</v>
      </c>
      <c r="E17" s="11" t="s">
        <v>133</v>
      </c>
      <c r="F17" s="1">
        <v>0.16</v>
      </c>
      <c r="G17" s="69" t="s">
        <v>323</v>
      </c>
      <c r="H17" s="1">
        <f>INDEX(Data_base_case!$D$8:$FS$124,MATCH(Scenarios_definition!C17,Data_base_case!$D$8:$D$124,0),MATCH(Scenarios_definition!D17&amp;Scenarios_definition!G17,Data_base_case!$D$7:$FS$7,0))</f>
        <v>0.11849999999999999</v>
      </c>
    </row>
    <row r="18" spans="1:8" x14ac:dyDescent="0.3">
      <c r="A18" s="1" t="s">
        <v>433</v>
      </c>
      <c r="B18" s="1" t="s">
        <v>464</v>
      </c>
      <c r="C18" s="11" t="s">
        <v>428</v>
      </c>
      <c r="D18" s="1" t="s">
        <v>186</v>
      </c>
      <c r="E18" s="11" t="s">
        <v>133</v>
      </c>
      <c r="F18" s="1">
        <v>0.16</v>
      </c>
      <c r="G18" s="69" t="s">
        <v>323</v>
      </c>
      <c r="H18" s="1">
        <f>INDEX(Data_base_case!$D$8:$FS$124,MATCH(Scenarios_definition!C18,Data_base_case!$D$8:$D$124,0),MATCH(Scenarios_definition!D18&amp;Scenarios_definition!G18,Data_base_case!$D$7:$FS$7,0))</f>
        <v>0.11849999999999999</v>
      </c>
    </row>
    <row r="19" spans="1:8" x14ac:dyDescent="0.3">
      <c r="A19" s="1" t="s">
        <v>434</v>
      </c>
      <c r="B19" s="1" t="s">
        <v>465</v>
      </c>
      <c r="C19" s="11" t="s">
        <v>428</v>
      </c>
      <c r="D19" s="1" t="s">
        <v>186</v>
      </c>
      <c r="E19" s="11" t="s">
        <v>133</v>
      </c>
      <c r="F19" s="1">
        <v>0.16</v>
      </c>
      <c r="G19" s="69" t="s">
        <v>323</v>
      </c>
      <c r="H19" s="1">
        <f>INDEX(Data_base_case!$D$8:$FS$124,MATCH(Scenarios_definition!C19,Data_base_case!$D$8:$D$124,0),MATCH(Scenarios_definition!D19&amp;Scenarios_definition!G19,Data_base_case!$D$7:$FS$7,0))</f>
        <v>0.11849999999999999</v>
      </c>
    </row>
    <row r="20" spans="1:8" x14ac:dyDescent="0.3">
      <c r="A20" s="1" t="s">
        <v>431</v>
      </c>
      <c r="B20" s="1" t="s">
        <v>466</v>
      </c>
      <c r="C20" s="1" t="s">
        <v>426</v>
      </c>
      <c r="D20" s="1" t="s">
        <v>186</v>
      </c>
      <c r="E20" s="11" t="s">
        <v>133</v>
      </c>
      <c r="F20" s="1">
        <f>H20</f>
        <v>0.02</v>
      </c>
      <c r="G20" s="69" t="s">
        <v>285</v>
      </c>
      <c r="H20" s="1">
        <f>INDEX(Data_base_case!$D$8:$FS$124,MATCH(Scenarios_definition!C20,Data_base_case!$D$8:$D$124,0),MATCH(Scenarios_definition!D20&amp;Scenarios_definition!G20,Data_base_case!$D$7:$FS$7,0))</f>
        <v>0.02</v>
      </c>
    </row>
    <row r="21" spans="1:8" x14ac:dyDescent="0.3">
      <c r="A21" s="1" t="s">
        <v>432</v>
      </c>
      <c r="B21" s="1" t="s">
        <v>467</v>
      </c>
      <c r="C21" s="1" t="s">
        <v>426</v>
      </c>
      <c r="D21" s="1" t="s">
        <v>186</v>
      </c>
      <c r="E21" s="11" t="s">
        <v>133</v>
      </c>
      <c r="F21" s="1">
        <f>H21</f>
        <v>0.02</v>
      </c>
      <c r="G21" s="69" t="s">
        <v>285</v>
      </c>
      <c r="H21" s="1">
        <f>INDEX(Data_base_case!$D$8:$FS$124,MATCH(Scenarios_definition!C21,Data_base_case!$D$8:$D$124,0),MATCH(Scenarios_definition!D21&amp;Scenarios_definition!G21,Data_base_case!$D$7:$FS$7,0))</f>
        <v>0.02</v>
      </c>
    </row>
    <row r="22" spans="1:8" x14ac:dyDescent="0.3">
      <c r="A22" s="1" t="s">
        <v>433</v>
      </c>
      <c r="B22" s="1" t="s">
        <v>468</v>
      </c>
      <c r="C22" s="1" t="s">
        <v>426</v>
      </c>
      <c r="D22" s="1" t="s">
        <v>186</v>
      </c>
      <c r="E22" s="11" t="s">
        <v>133</v>
      </c>
      <c r="F22" s="1">
        <f t="shared" ref="F22:F23" si="0">H22</f>
        <v>0.02</v>
      </c>
      <c r="G22" s="69" t="s">
        <v>285</v>
      </c>
      <c r="H22" s="1">
        <f>INDEX(Data_base_case!$D$8:$FS$124,MATCH(Scenarios_definition!C22,Data_base_case!$D$8:$D$124,0),MATCH(Scenarios_definition!D22&amp;Scenarios_definition!G22,Data_base_case!$D$7:$FS$7,0))</f>
        <v>0.02</v>
      </c>
    </row>
    <row r="23" spans="1:8" x14ac:dyDescent="0.3">
      <c r="A23" s="1" t="s">
        <v>434</v>
      </c>
      <c r="B23" s="1" t="s">
        <v>469</v>
      </c>
      <c r="C23" s="1" t="s">
        <v>426</v>
      </c>
      <c r="D23" s="1" t="s">
        <v>186</v>
      </c>
      <c r="E23" s="11" t="s">
        <v>133</v>
      </c>
      <c r="F23" s="1">
        <f t="shared" si="0"/>
        <v>0.02</v>
      </c>
      <c r="G23" s="69" t="s">
        <v>285</v>
      </c>
      <c r="H23" s="1">
        <f>INDEX(Data_base_case!$D$8:$FS$124,MATCH(Scenarios_definition!C23,Data_base_case!$D$8:$D$124,0),MATCH(Scenarios_definition!D23&amp;Scenarios_definition!G23,Data_base_case!$D$7:$FS$7,0))</f>
        <v>0.02</v>
      </c>
    </row>
    <row r="24" spans="1:8" x14ac:dyDescent="0.3">
      <c r="A24" s="1" t="s">
        <v>431</v>
      </c>
      <c r="B24" s="1" t="s">
        <v>470</v>
      </c>
      <c r="C24" s="1" t="s">
        <v>426</v>
      </c>
      <c r="D24" s="1" t="s">
        <v>186</v>
      </c>
      <c r="E24" s="11" t="s">
        <v>133</v>
      </c>
      <c r="F24" s="1">
        <f>H24</f>
        <v>6.7000000000000004E-2</v>
      </c>
      <c r="G24" s="69" t="s">
        <v>319</v>
      </c>
      <c r="H24" s="1">
        <f>INDEX(Data_base_case!$D$8:$FS$124,MATCH(Scenarios_definition!C24,Data_base_case!$D$8:$D$124,0),MATCH(Scenarios_definition!D24&amp;Scenarios_definition!G24,Data_base_case!$D$7:$FS$7,0))</f>
        <v>6.7000000000000004E-2</v>
      </c>
    </row>
    <row r="25" spans="1:8" x14ac:dyDescent="0.3">
      <c r="A25" s="1" t="s">
        <v>432</v>
      </c>
      <c r="B25" s="1" t="s">
        <v>471</v>
      </c>
      <c r="C25" s="1" t="s">
        <v>426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69" t="s">
        <v>319</v>
      </c>
      <c r="H25" s="1">
        <f>INDEX(Data_base_case!$D$8:$FS$124,MATCH(Scenarios_definition!C25,Data_base_case!$D$8:$D$124,0),MATCH(Scenarios_definition!D25&amp;Scenarios_definition!G25,Data_base_case!$D$7:$FS$7,0))</f>
        <v>6.7000000000000004E-2</v>
      </c>
    </row>
    <row r="26" spans="1:8" x14ac:dyDescent="0.3">
      <c r="A26" s="1" t="s">
        <v>433</v>
      </c>
      <c r="B26" s="1" t="s">
        <v>472</v>
      </c>
      <c r="C26" s="1" t="s">
        <v>426</v>
      </c>
      <c r="D26" s="1" t="s">
        <v>186</v>
      </c>
      <c r="E26" s="11" t="s">
        <v>133</v>
      </c>
      <c r="F26" s="1">
        <f t="shared" si="1"/>
        <v>6.7000000000000004E-2</v>
      </c>
      <c r="G26" s="69" t="s">
        <v>319</v>
      </c>
      <c r="H26" s="1">
        <f>INDEX(Data_base_case!$D$8:$FS$124,MATCH(Scenarios_definition!C26,Data_base_case!$D$8:$D$124,0),MATCH(Scenarios_definition!D26&amp;Scenarios_definition!G26,Data_base_case!$D$7:$FS$7,0))</f>
        <v>6.7000000000000004E-2</v>
      </c>
    </row>
    <row r="27" spans="1:8" x14ac:dyDescent="0.3">
      <c r="A27" s="1" t="s">
        <v>434</v>
      </c>
      <c r="B27" s="1" t="s">
        <v>473</v>
      </c>
      <c r="C27" s="1" t="s">
        <v>426</v>
      </c>
      <c r="D27" s="1" t="s">
        <v>186</v>
      </c>
      <c r="E27" s="11" t="s">
        <v>133</v>
      </c>
      <c r="F27" s="1">
        <f t="shared" si="1"/>
        <v>6.7000000000000004E-2</v>
      </c>
      <c r="G27" s="69" t="s">
        <v>319</v>
      </c>
      <c r="H27" s="1">
        <f>INDEX(Data_base_case!$D$8:$FS$124,MATCH(Scenarios_definition!C27,Data_base_case!$D$8:$D$124,0),MATCH(Scenarios_definition!D27&amp;Scenarios_definition!G27,Data_base_case!$D$7:$FS$7,0))</f>
        <v>6.7000000000000004E-2</v>
      </c>
    </row>
    <row r="28" spans="1:8" x14ac:dyDescent="0.3">
      <c r="A28" s="1" t="s">
        <v>431</v>
      </c>
      <c r="B28" s="1" t="s">
        <v>474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69" t="s">
        <v>285</v>
      </c>
      <c r="H28" s="1">
        <f>INDEX(Data_base_case!$D$8:$FS$124,MATCH(Scenarios_definition!C28,Data_base_case!$D$8:$D$124,0),MATCH(Scenarios_definition!D28&amp;Scenarios_definition!G28,Data_base_case!$D$7:$FS$7,0))</f>
        <v>0</v>
      </c>
    </row>
    <row r="29" spans="1:8" x14ac:dyDescent="0.3">
      <c r="A29" s="1" t="s">
        <v>432</v>
      </c>
      <c r="B29" s="1" t="s">
        <v>475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69" t="s">
        <v>285</v>
      </c>
      <c r="H29" s="1">
        <f>INDEX(Data_base_case!$D$8:$FS$124,MATCH(Scenarios_definition!C29,Data_base_case!$D$8:$D$124,0),MATCH(Scenarios_definition!D29&amp;Scenarios_definition!G29,Data_base_case!$D$7:$FS$7,0))</f>
        <v>0</v>
      </c>
    </row>
    <row r="30" spans="1:8" x14ac:dyDescent="0.3">
      <c r="A30" s="1" t="s">
        <v>433</v>
      </c>
      <c r="B30" s="1" t="s">
        <v>476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69" t="s">
        <v>285</v>
      </c>
      <c r="H30" s="1">
        <f>INDEX(Data_base_case!$D$8:$FS$124,MATCH(Scenarios_definition!C30,Data_base_case!$D$8:$D$124,0),MATCH(Scenarios_definition!D30&amp;Scenarios_definition!G30,Data_base_case!$D$7:$FS$7,0))</f>
        <v>0</v>
      </c>
    </row>
    <row r="31" spans="1:8" x14ac:dyDescent="0.3">
      <c r="A31" s="1" t="s">
        <v>434</v>
      </c>
      <c r="B31" s="1" t="s">
        <v>477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69" t="s">
        <v>285</v>
      </c>
      <c r="H31" s="1">
        <f>INDEX(Data_base_case!$D$8:$FS$124,MATCH(Scenarios_definition!C31,Data_base_case!$D$8:$D$124,0),MATCH(Scenarios_definition!D31&amp;Scenarios_definition!G31,Data_base_case!$D$7:$FS$7,0))</f>
        <v>0</v>
      </c>
    </row>
    <row r="32" spans="1:8" x14ac:dyDescent="0.3">
      <c r="A32" s="1" t="s">
        <v>431</v>
      </c>
      <c r="B32" s="1" t="s">
        <v>478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69" t="s">
        <v>319</v>
      </c>
      <c r="H32" s="1">
        <f>INDEX(Data_base_case!$D$8:$FS$124,MATCH(Scenarios_definition!C32,Data_base_case!$D$8:$D$124,0),MATCH(Scenarios_definition!D32&amp;Scenarios_definition!G32,Data_base_case!$D$7:$FS$7,0))</f>
        <v>3.3500000000000002E-2</v>
      </c>
    </row>
    <row r="33" spans="1:8" x14ac:dyDescent="0.3">
      <c r="A33" s="1" t="s">
        <v>432</v>
      </c>
      <c r="B33" s="1" t="s">
        <v>479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69" t="s">
        <v>319</v>
      </c>
      <c r="H33" s="1">
        <f>INDEX(Data_base_case!$D$8:$FS$124,MATCH(Scenarios_definition!C33,Data_base_case!$D$8:$D$124,0),MATCH(Scenarios_definition!D33&amp;Scenarios_definition!G33,Data_base_case!$D$7:$FS$7,0))</f>
        <v>3.3500000000000002E-2</v>
      </c>
    </row>
    <row r="34" spans="1:8" x14ac:dyDescent="0.3">
      <c r="A34" s="1" t="s">
        <v>433</v>
      </c>
      <c r="B34" s="1" t="s">
        <v>480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69" t="s">
        <v>319</v>
      </c>
      <c r="H34" s="1">
        <f>INDEX(Data_base_case!$D$8:$FS$124,MATCH(Scenarios_definition!C34,Data_base_case!$D$8:$D$124,0),MATCH(Scenarios_definition!D34&amp;Scenarios_definition!G34,Data_base_case!$D$7:$FS$7,0))</f>
        <v>3.3500000000000002E-2</v>
      </c>
    </row>
    <row r="35" spans="1:8" x14ac:dyDescent="0.3">
      <c r="A35" s="1" t="s">
        <v>434</v>
      </c>
      <c r="B35" s="1" t="s">
        <v>481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69" t="s">
        <v>319</v>
      </c>
      <c r="H35" s="1">
        <f>INDEX(Data_base_case!$D$8:$FS$124,MATCH(Scenarios_definition!C35,Data_base_case!$D$8:$D$124,0),MATCH(Scenarios_definition!D35&amp;Scenarios_definition!G35,Data_base_case!$D$7:$FS$7,0))</f>
        <v>3.3500000000000002E-2</v>
      </c>
    </row>
    <row r="36" spans="1:8" x14ac:dyDescent="0.3">
      <c r="A36" s="1" t="s">
        <v>431</v>
      </c>
      <c r="B36" s="1" t="s">
        <v>482</v>
      </c>
      <c r="C36" s="13" t="s">
        <v>439</v>
      </c>
      <c r="D36" s="1" t="s">
        <v>187</v>
      </c>
      <c r="E36" s="11" t="s">
        <v>133</v>
      </c>
      <c r="F36" s="1">
        <f t="shared" si="1"/>
        <v>0.18992999999999999</v>
      </c>
      <c r="G36" s="69" t="s">
        <v>285</v>
      </c>
      <c r="H36" s="1">
        <f>INDEX(Data_base_case!$D$8:$FS$124,MATCH(Scenarios_definition!C36,Data_base_case!$D$8:$D$124,0),MATCH(Scenarios_definition!D36&amp;Scenarios_definition!G36,Data_base_case!$D$7:$FS$7,0))</f>
        <v>0.18992999999999999</v>
      </c>
    </row>
    <row r="37" spans="1:8" x14ac:dyDescent="0.3">
      <c r="A37" s="1" t="s">
        <v>432</v>
      </c>
      <c r="B37" s="1" t="s">
        <v>483</v>
      </c>
      <c r="C37" s="13" t="s">
        <v>440</v>
      </c>
      <c r="D37" s="1" t="s">
        <v>187</v>
      </c>
      <c r="E37" s="11" t="s">
        <v>133</v>
      </c>
      <c r="F37" s="1">
        <f t="shared" si="1"/>
        <v>0.18992999999999999</v>
      </c>
      <c r="G37" s="69" t="s">
        <v>285</v>
      </c>
      <c r="H37" s="1">
        <f>INDEX(Data_base_case!$D$8:$FS$124,MATCH(Scenarios_definition!C37,Data_base_case!$D$8:$D$124,0),MATCH(Scenarios_definition!D37&amp;Scenarios_definition!G37,Data_base_case!$D$7:$FS$7,0))</f>
        <v>0.18992999999999999</v>
      </c>
    </row>
    <row r="38" spans="1:8" x14ac:dyDescent="0.3">
      <c r="A38" s="1" t="s">
        <v>433</v>
      </c>
      <c r="B38" s="1" t="s">
        <v>484</v>
      </c>
      <c r="C38" s="13" t="s">
        <v>441</v>
      </c>
      <c r="D38" s="1" t="s">
        <v>187</v>
      </c>
      <c r="E38" s="11" t="s">
        <v>133</v>
      </c>
      <c r="F38" s="1">
        <f t="shared" si="1"/>
        <v>0.13195000000000001</v>
      </c>
      <c r="G38" s="69" t="s">
        <v>285</v>
      </c>
      <c r="H38" s="1">
        <f>INDEX(Data_base_case!$D$8:$FS$124,MATCH(Scenarios_definition!C38,Data_base_case!$D$8:$D$124,0),MATCH(Scenarios_definition!D38&amp;Scenarios_definition!G38,Data_base_case!$D$7:$FS$7,0))</f>
        <v>0.13195000000000001</v>
      </c>
    </row>
    <row r="39" spans="1:8" x14ac:dyDescent="0.3">
      <c r="A39" s="1" t="s">
        <v>434</v>
      </c>
      <c r="B39" s="1" t="s">
        <v>485</v>
      </c>
      <c r="C39" s="13" t="s">
        <v>442</v>
      </c>
      <c r="D39" s="1" t="s">
        <v>187</v>
      </c>
      <c r="E39" s="11" t="s">
        <v>133</v>
      </c>
      <c r="F39" s="1">
        <f t="shared" si="1"/>
        <v>0.13195000000000001</v>
      </c>
      <c r="G39" s="69" t="s">
        <v>285</v>
      </c>
      <c r="H39" s="1">
        <f>INDEX(Data_base_case!$D$8:$FS$124,MATCH(Scenarios_definition!C39,Data_base_case!$D$8:$D$124,0),MATCH(Scenarios_definition!D39&amp;Scenarios_definition!G39,Data_base_case!$D$7:$FS$7,0))</f>
        <v>0.13195000000000001</v>
      </c>
    </row>
    <row r="40" spans="1:8" x14ac:dyDescent="0.3">
      <c r="A40" s="1" t="s">
        <v>431</v>
      </c>
      <c r="B40" s="1" t="s">
        <v>486</v>
      </c>
      <c r="C40" s="13" t="s">
        <v>439</v>
      </c>
      <c r="D40" s="1" t="s">
        <v>187</v>
      </c>
      <c r="E40" s="11" t="s">
        <v>133</v>
      </c>
      <c r="F40" s="1">
        <f t="shared" si="1"/>
        <v>9.4969999999999999E-2</v>
      </c>
      <c r="G40" s="69" t="s">
        <v>319</v>
      </c>
      <c r="H40" s="1">
        <f>INDEX(Data_base_case!$D$8:$FS$124,MATCH(Scenarios_definition!C40,Data_base_case!$D$8:$D$124,0),MATCH(Scenarios_definition!D40&amp;Scenarios_definition!G40,Data_base_case!$D$7:$FS$7,0))</f>
        <v>9.4969999999999999E-2</v>
      </c>
    </row>
    <row r="41" spans="1:8" x14ac:dyDescent="0.3">
      <c r="A41" s="1" t="s">
        <v>432</v>
      </c>
      <c r="B41" s="1" t="s">
        <v>487</v>
      </c>
      <c r="C41" s="13" t="s">
        <v>440</v>
      </c>
      <c r="D41" s="1" t="s">
        <v>187</v>
      </c>
      <c r="E41" s="11" t="s">
        <v>133</v>
      </c>
      <c r="F41" s="1">
        <f t="shared" si="1"/>
        <v>9.4969999999999999E-2</v>
      </c>
      <c r="G41" s="69" t="s">
        <v>319</v>
      </c>
      <c r="H41" s="1">
        <f>INDEX(Data_base_case!$D$8:$FS$124,MATCH(Scenarios_definition!C41,Data_base_case!$D$8:$D$124,0),MATCH(Scenarios_definition!D41&amp;Scenarios_definition!G41,Data_base_case!$D$7:$FS$7,0))</f>
        <v>9.4969999999999999E-2</v>
      </c>
    </row>
    <row r="42" spans="1:8" x14ac:dyDescent="0.3">
      <c r="A42" s="1" t="s">
        <v>433</v>
      </c>
      <c r="B42" s="1" t="s">
        <v>488</v>
      </c>
      <c r="C42" s="13" t="s">
        <v>441</v>
      </c>
      <c r="D42" s="1" t="s">
        <v>187</v>
      </c>
      <c r="E42" s="11" t="s">
        <v>133</v>
      </c>
      <c r="F42" s="1">
        <f t="shared" si="1"/>
        <v>7.2499999999999995E-2</v>
      </c>
      <c r="G42" s="69" t="s">
        <v>319</v>
      </c>
      <c r="H42" s="1">
        <f>INDEX(Data_base_case!$D$8:$FS$124,MATCH(Scenarios_definition!C42,Data_base_case!$D$8:$D$124,0),MATCH(Scenarios_definition!D42&amp;Scenarios_definition!G42,Data_base_case!$D$7:$FS$7,0))</f>
        <v>7.2499999999999995E-2</v>
      </c>
    </row>
    <row r="43" spans="1:8" x14ac:dyDescent="0.3">
      <c r="A43" s="1" t="s">
        <v>434</v>
      </c>
      <c r="B43" s="1" t="s">
        <v>489</v>
      </c>
      <c r="C43" s="13" t="s">
        <v>442</v>
      </c>
      <c r="D43" s="1" t="s">
        <v>187</v>
      </c>
      <c r="E43" s="11" t="s">
        <v>133</v>
      </c>
      <c r="F43" s="1">
        <f t="shared" si="1"/>
        <v>7.2499999999999995E-2</v>
      </c>
      <c r="G43" s="69" t="s">
        <v>319</v>
      </c>
      <c r="H43" s="1">
        <f>INDEX(Data_base_case!$D$8:$FS$124,MATCH(Scenarios_definition!C43,Data_base_case!$D$8:$D$124,0),MATCH(Scenarios_definition!D43&amp;Scenarios_definition!G43,Data_base_case!$D$7:$FS$7,0))</f>
        <v>7.2499999999999995E-2</v>
      </c>
    </row>
    <row r="44" spans="1:8" x14ac:dyDescent="0.3">
      <c r="A44" s="1" t="s">
        <v>431</v>
      </c>
      <c r="B44" s="1" t="s">
        <v>498</v>
      </c>
      <c r="C44" s="11" t="s">
        <v>402</v>
      </c>
      <c r="D44" s="1" t="s">
        <v>183</v>
      </c>
      <c r="E44" s="11" t="s">
        <v>133</v>
      </c>
      <c r="F44" s="1">
        <f t="shared" si="1"/>
        <v>12444.9</v>
      </c>
      <c r="G44" s="69" t="s">
        <v>285</v>
      </c>
      <c r="H44" s="1">
        <f>INDEX(Data_base_case!$D$8:$FS$124,MATCH(Scenarios_definition!C44,Data_base_case!$D$8:$D$124,0),MATCH(Scenarios_definition!D44&amp;Scenarios_definition!G44,Data_base_case!$D$7:$FS$7,0))</f>
        <v>12444.9</v>
      </c>
    </row>
    <row r="45" spans="1:8" x14ac:dyDescent="0.3">
      <c r="B45" s="1" t="s">
        <v>498</v>
      </c>
      <c r="C45" s="11" t="s">
        <v>402</v>
      </c>
      <c r="D45" s="1" t="s">
        <v>184</v>
      </c>
      <c r="E45" s="11" t="s">
        <v>133</v>
      </c>
      <c r="F45" s="1">
        <f t="shared" si="1"/>
        <v>1186</v>
      </c>
      <c r="G45" s="69" t="s">
        <v>285</v>
      </c>
      <c r="H45" s="1">
        <f>INDEX(Data_base_case!$D$8:$FS$124,MATCH(Scenarios_definition!C45,Data_base_case!$D$8:$D$124,0),MATCH(Scenarios_definition!D45&amp;Scenarios_definition!G45,Data_base_case!$D$7:$FS$7,0))</f>
        <v>1186</v>
      </c>
    </row>
    <row r="46" spans="1:8" x14ac:dyDescent="0.3">
      <c r="A46" s="1" t="s">
        <v>432</v>
      </c>
      <c r="B46" s="1" t="s">
        <v>499</v>
      </c>
      <c r="C46" s="11" t="s">
        <v>403</v>
      </c>
      <c r="D46" s="1" t="s">
        <v>183</v>
      </c>
      <c r="E46" s="11" t="s">
        <v>133</v>
      </c>
      <c r="F46" s="1">
        <f t="shared" si="1"/>
        <v>16131.25</v>
      </c>
      <c r="G46" s="69" t="s">
        <v>285</v>
      </c>
      <c r="H46" s="1">
        <f>INDEX(Data_base_case!$D$8:$FS$124,MATCH(Scenarios_definition!C46,Data_base_case!$D$8:$D$124,0),MATCH(Scenarios_definition!D46&amp;Scenarios_definition!G46,Data_base_case!$D$7:$FS$7,0))</f>
        <v>16131.25</v>
      </c>
    </row>
    <row r="47" spans="1:8" x14ac:dyDescent="0.3">
      <c r="B47" s="1" t="s">
        <v>499</v>
      </c>
      <c r="C47" s="11" t="s">
        <v>403</v>
      </c>
      <c r="D47" s="1" t="s">
        <v>184</v>
      </c>
      <c r="E47" s="11" t="s">
        <v>133</v>
      </c>
      <c r="F47" s="1">
        <f t="shared" si="1"/>
        <v>1209.51</v>
      </c>
      <c r="G47" s="69" t="s">
        <v>285</v>
      </c>
      <c r="H47" s="1">
        <f>INDEX(Data_base_case!$D$8:$FS$124,MATCH(Scenarios_definition!C47,Data_base_case!$D$8:$D$124,0),MATCH(Scenarios_definition!D47&amp;Scenarios_definition!G47,Data_base_case!$D$7:$FS$7,0))</f>
        <v>1209.51</v>
      </c>
    </row>
    <row r="48" spans="1:8" x14ac:dyDescent="0.3">
      <c r="A48" s="1" t="s">
        <v>433</v>
      </c>
      <c r="B48" s="1" t="s">
        <v>500</v>
      </c>
      <c r="C48" s="11" t="s">
        <v>404</v>
      </c>
      <c r="D48" s="1" t="s">
        <v>183</v>
      </c>
      <c r="E48" s="11" t="s">
        <v>133</v>
      </c>
      <c r="F48" s="1">
        <f t="shared" si="1"/>
        <v>15142.26</v>
      </c>
      <c r="G48" s="69" t="s">
        <v>285</v>
      </c>
      <c r="H48" s="1">
        <f>INDEX(Data_base_case!$D$8:$FS$124,MATCH(Scenarios_definition!C48,Data_base_case!$D$8:$D$124,0),MATCH(Scenarios_definition!D48&amp;Scenarios_definition!G48,Data_base_case!$D$7:$FS$7,0))</f>
        <v>15142.26</v>
      </c>
    </row>
    <row r="49" spans="1:8" x14ac:dyDescent="0.3">
      <c r="B49" s="1" t="s">
        <v>500</v>
      </c>
      <c r="C49" s="11" t="s">
        <v>404</v>
      </c>
      <c r="D49" s="1" t="s">
        <v>184</v>
      </c>
      <c r="E49" s="11" t="s">
        <v>133</v>
      </c>
      <c r="F49" s="1">
        <f t="shared" si="1"/>
        <v>1348.76</v>
      </c>
      <c r="G49" s="69" t="s">
        <v>285</v>
      </c>
      <c r="H49" s="1">
        <f>INDEX(Data_base_case!$D$8:$FS$124,MATCH(Scenarios_definition!C49,Data_base_case!$D$8:$D$124,0),MATCH(Scenarios_definition!D49&amp;Scenarios_definition!G49,Data_base_case!$D$7:$FS$7,0))</f>
        <v>1348.76</v>
      </c>
    </row>
    <row r="50" spans="1:8" x14ac:dyDescent="0.3">
      <c r="A50" s="1" t="s">
        <v>434</v>
      </c>
      <c r="B50" s="1" t="s">
        <v>501</v>
      </c>
      <c r="C50" s="11" t="s">
        <v>405</v>
      </c>
      <c r="D50" s="1" t="s">
        <v>183</v>
      </c>
      <c r="E50" s="11" t="s">
        <v>133</v>
      </c>
      <c r="F50" s="1">
        <f t="shared" si="1"/>
        <v>20860.61</v>
      </c>
      <c r="G50" s="69" t="s">
        <v>285</v>
      </c>
      <c r="H50" s="1">
        <f>INDEX(Data_base_case!$D$8:$FS$124,MATCH(Scenarios_definition!C50,Data_base_case!$D$8:$D$124,0),MATCH(Scenarios_definition!D50&amp;Scenarios_definition!G50,Data_base_case!$D$7:$FS$7,0))</f>
        <v>20860.61</v>
      </c>
    </row>
    <row r="51" spans="1:8" x14ac:dyDescent="0.3">
      <c r="B51" s="1" t="s">
        <v>501</v>
      </c>
      <c r="C51" s="11" t="s">
        <v>405</v>
      </c>
      <c r="D51" s="1" t="s">
        <v>184</v>
      </c>
      <c r="E51" s="11" t="s">
        <v>133</v>
      </c>
      <c r="F51" s="1">
        <f t="shared" si="1"/>
        <v>1698.86</v>
      </c>
      <c r="G51" s="69" t="s">
        <v>285</v>
      </c>
      <c r="H51" s="1">
        <f>INDEX(Data_base_case!$D$8:$FS$124,MATCH(Scenarios_definition!C51,Data_base_case!$D$8:$D$124,0),MATCH(Scenarios_definition!D51&amp;Scenarios_definition!G51,Data_base_case!$D$7:$FS$7,0))</f>
        <v>1698.86</v>
      </c>
    </row>
    <row r="52" spans="1:8" x14ac:dyDescent="0.3">
      <c r="A52" s="1" t="s">
        <v>431</v>
      </c>
      <c r="B52" s="1" t="s">
        <v>502</v>
      </c>
      <c r="C52" s="11" t="s">
        <v>402</v>
      </c>
      <c r="D52" s="1" t="s">
        <v>183</v>
      </c>
      <c r="E52" s="11" t="s">
        <v>133</v>
      </c>
      <c r="F52" s="1">
        <f t="shared" si="1"/>
        <v>7466.94</v>
      </c>
      <c r="G52" s="69" t="s">
        <v>319</v>
      </c>
      <c r="H52" s="1">
        <f>INDEX(Data_base_case!$D$8:$FS$124,MATCH(Scenarios_definition!C52,Data_base_case!$D$8:$D$124,0),MATCH(Scenarios_definition!D52&amp;Scenarios_definition!G52,Data_base_case!$D$7:$FS$7,0))</f>
        <v>7466.94</v>
      </c>
    </row>
    <row r="53" spans="1:8" x14ac:dyDescent="0.3">
      <c r="B53" s="1" t="s">
        <v>502</v>
      </c>
      <c r="C53" s="11" t="s">
        <v>402</v>
      </c>
      <c r="D53" s="1" t="s">
        <v>184</v>
      </c>
      <c r="E53" s="11" t="s">
        <v>133</v>
      </c>
      <c r="F53" s="1">
        <f t="shared" si="1"/>
        <v>887.32</v>
      </c>
      <c r="G53" s="69" t="s">
        <v>319</v>
      </c>
      <c r="H53" s="1">
        <f>INDEX(Data_base_case!$D$8:$FS$124,MATCH(Scenarios_definition!C53,Data_base_case!$D$8:$D$124,0),MATCH(Scenarios_definition!D53&amp;Scenarios_definition!G53,Data_base_case!$D$7:$FS$7,0))</f>
        <v>887.32</v>
      </c>
    </row>
    <row r="54" spans="1:8" x14ac:dyDescent="0.3">
      <c r="A54" s="1" t="s">
        <v>432</v>
      </c>
      <c r="B54" s="1" t="s">
        <v>503</v>
      </c>
      <c r="C54" s="11" t="s">
        <v>403</v>
      </c>
      <c r="D54" s="1" t="s">
        <v>183</v>
      </c>
      <c r="E54" s="11" t="s">
        <v>133</v>
      </c>
      <c r="F54" s="1">
        <f t="shared" si="1"/>
        <v>9678.75</v>
      </c>
      <c r="G54" s="69" t="s">
        <v>319</v>
      </c>
      <c r="H54" s="1">
        <f>INDEX(Data_base_case!$D$8:$FS$124,MATCH(Scenarios_definition!C54,Data_base_case!$D$8:$D$124,0),MATCH(Scenarios_definition!D54&amp;Scenarios_definition!G54,Data_base_case!$D$7:$FS$7,0))</f>
        <v>9678.75</v>
      </c>
    </row>
    <row r="55" spans="1:8" x14ac:dyDescent="0.3">
      <c r="B55" s="1" t="s">
        <v>503</v>
      </c>
      <c r="C55" s="11" t="s">
        <v>403</v>
      </c>
      <c r="D55" s="1" t="s">
        <v>184</v>
      </c>
      <c r="E55" s="11" t="s">
        <v>133</v>
      </c>
      <c r="F55" s="1">
        <f t="shared" si="1"/>
        <v>1209.51</v>
      </c>
      <c r="G55" s="69" t="s">
        <v>319</v>
      </c>
      <c r="H55" s="1">
        <f>INDEX(Data_base_case!$D$8:$FS$124,MATCH(Scenarios_definition!C55,Data_base_case!$D$8:$D$124,0),MATCH(Scenarios_definition!D55&amp;Scenarios_definition!G55,Data_base_case!$D$7:$FS$7,0))</f>
        <v>1209.51</v>
      </c>
    </row>
    <row r="56" spans="1:8" x14ac:dyDescent="0.3">
      <c r="A56" s="1" t="s">
        <v>433</v>
      </c>
      <c r="B56" s="1" t="s">
        <v>504</v>
      </c>
      <c r="C56" s="11" t="s">
        <v>404</v>
      </c>
      <c r="D56" s="1" t="s">
        <v>183</v>
      </c>
      <c r="E56" s="11" t="s">
        <v>133</v>
      </c>
      <c r="F56" s="1">
        <f t="shared" si="1"/>
        <v>9085.35</v>
      </c>
      <c r="G56" s="69" t="s">
        <v>319</v>
      </c>
      <c r="H56" s="1">
        <f>INDEX(Data_base_case!$D$8:$FS$124,MATCH(Scenarios_definition!C56,Data_base_case!$D$8:$D$124,0),MATCH(Scenarios_definition!D56&amp;Scenarios_definition!G56,Data_base_case!$D$7:$FS$7,0))</f>
        <v>9085.35</v>
      </c>
    </row>
    <row r="57" spans="1:8" x14ac:dyDescent="0.3">
      <c r="B57" s="1" t="s">
        <v>504</v>
      </c>
      <c r="C57" s="11" t="s">
        <v>404</v>
      </c>
      <c r="D57" s="1" t="s">
        <v>184</v>
      </c>
      <c r="E57" s="11" t="s">
        <v>133</v>
      </c>
      <c r="F57" s="1">
        <f t="shared" si="1"/>
        <v>985.35</v>
      </c>
      <c r="G57" s="69" t="s">
        <v>319</v>
      </c>
      <c r="H57" s="1">
        <f>INDEX(Data_base_case!$D$8:$FS$124,MATCH(Scenarios_definition!C57,Data_base_case!$D$8:$D$124,0),MATCH(Scenarios_definition!D57&amp;Scenarios_definition!G57,Data_base_case!$D$7:$FS$7,0))</f>
        <v>985.35</v>
      </c>
    </row>
    <row r="58" spans="1:8" x14ac:dyDescent="0.3">
      <c r="A58" s="1" t="s">
        <v>434</v>
      </c>
      <c r="B58" s="1" t="s">
        <v>505</v>
      </c>
      <c r="C58" s="11" t="s">
        <v>405</v>
      </c>
      <c r="D58" s="1" t="s">
        <v>183</v>
      </c>
      <c r="E58" s="11" t="s">
        <v>133</v>
      </c>
      <c r="F58" s="1">
        <f t="shared" si="1"/>
        <v>12516.37</v>
      </c>
      <c r="G58" s="69" t="s">
        <v>319</v>
      </c>
      <c r="H58" s="1">
        <f>INDEX(Data_base_case!$D$8:$FS$124,MATCH(Scenarios_definition!C58,Data_base_case!$D$8:$D$124,0),MATCH(Scenarios_definition!D58&amp;Scenarios_definition!G58,Data_base_case!$D$7:$FS$7,0))</f>
        <v>12516.37</v>
      </c>
    </row>
    <row r="59" spans="1:8" x14ac:dyDescent="0.3">
      <c r="B59" s="1" t="s">
        <v>505</v>
      </c>
      <c r="C59" s="11" t="s">
        <v>405</v>
      </c>
      <c r="D59" s="1" t="s">
        <v>184</v>
      </c>
      <c r="E59" s="11" t="s">
        <v>133</v>
      </c>
      <c r="F59" s="1">
        <f t="shared" si="1"/>
        <v>1198.2</v>
      </c>
      <c r="G59" s="69" t="s">
        <v>319</v>
      </c>
      <c r="H59" s="1">
        <f>INDEX(Data_base_case!$D$8:$FS$124,MATCH(Scenarios_definition!C59,Data_base_case!$D$8:$D$124,0),MATCH(Scenarios_definition!D59&amp;Scenarios_definition!G59,Data_base_case!$D$7:$FS$7,0))</f>
        <v>1198.2</v>
      </c>
    </row>
    <row r="60" spans="1:8" x14ac:dyDescent="0.3">
      <c r="A60" s="1" t="s">
        <v>431</v>
      </c>
      <c r="B60" t="s">
        <v>517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69" t="s">
        <v>322</v>
      </c>
      <c r="H60" s="1">
        <f>INDEX(Data_base_case!$D$8:$FS$124,MATCH(Scenarios_definition!C60,Data_base_case!$D$8:$D$124,0),MATCH(Scenarios_definition!D60&amp;Scenarios_definition!G60,Data_base_case!$D$7:$FS$7,0))</f>
        <v>105260</v>
      </c>
    </row>
    <row r="61" spans="1:8" x14ac:dyDescent="0.3">
      <c r="B61" t="s">
        <v>517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69" t="s">
        <v>322</v>
      </c>
      <c r="H61" s="1">
        <f>INDEX(Data_base_case!$D$8:$FS$124,MATCH(Scenarios_definition!C61,Data_base_case!$D$8:$D$124,0),MATCH(Scenarios_definition!D61&amp;Scenarios_definition!G61,Data_base_case!$D$7:$FS$7,0))</f>
        <v>8999.7300000000014</v>
      </c>
    </row>
    <row r="62" spans="1:8" x14ac:dyDescent="0.3">
      <c r="A62" s="1" t="s">
        <v>432</v>
      </c>
      <c r="B62" t="s">
        <v>518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69" t="s">
        <v>322</v>
      </c>
      <c r="H62" s="1">
        <f>INDEX(Data_base_case!$D$8:$FS$124,MATCH(Scenarios_definition!C62,Data_base_case!$D$8:$D$124,0),MATCH(Scenarios_definition!D62&amp;Scenarios_definition!G62,Data_base_case!$D$7:$FS$7,0))</f>
        <v>105260</v>
      </c>
    </row>
    <row r="63" spans="1:8" x14ac:dyDescent="0.3">
      <c r="B63" t="s">
        <v>518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69" t="s">
        <v>322</v>
      </c>
      <c r="H63" s="1">
        <f>INDEX(Data_base_case!$D$8:$FS$124,MATCH(Scenarios_definition!C63,Data_base_case!$D$8:$D$124,0),MATCH(Scenarios_definition!D63&amp;Scenarios_definition!G63,Data_base_case!$D$7:$FS$7,0))</f>
        <v>8999.7300000000014</v>
      </c>
    </row>
    <row r="64" spans="1:8" x14ac:dyDescent="0.3">
      <c r="A64" s="1" t="s">
        <v>433</v>
      </c>
      <c r="B64" t="s">
        <v>519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69" t="s">
        <v>322</v>
      </c>
      <c r="H64" s="1">
        <f>INDEX(Data_base_case!$D$8:$FS$124,MATCH(Scenarios_definition!C64,Data_base_case!$D$8:$D$124,0),MATCH(Scenarios_definition!D64&amp;Scenarios_definition!G64,Data_base_case!$D$7:$FS$7,0))</f>
        <v>105260</v>
      </c>
    </row>
    <row r="65" spans="1:8" x14ac:dyDescent="0.3">
      <c r="B65" t="s">
        <v>519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69" t="s">
        <v>322</v>
      </c>
      <c r="H65" s="1">
        <f>INDEX(Data_base_case!$D$8:$FS$124,MATCH(Scenarios_definition!C65,Data_base_case!$D$8:$D$124,0),MATCH(Scenarios_definition!D65&amp;Scenarios_definition!G65,Data_base_case!$D$7:$FS$7,0))</f>
        <v>8999.7300000000014</v>
      </c>
    </row>
    <row r="66" spans="1:8" x14ac:dyDescent="0.3">
      <c r="A66" s="1" t="s">
        <v>434</v>
      </c>
      <c r="B66" t="s">
        <v>520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69" t="s">
        <v>322</v>
      </c>
      <c r="H66" s="1">
        <f>INDEX(Data_base_case!$D$8:$FS$124,MATCH(Scenarios_definition!C66,Data_base_case!$D$8:$D$124,0),MATCH(Scenarios_definition!D66&amp;Scenarios_definition!G66,Data_base_case!$D$7:$FS$7,0))</f>
        <v>105260</v>
      </c>
    </row>
    <row r="67" spans="1:8" x14ac:dyDescent="0.3">
      <c r="B67" t="s">
        <v>520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69" t="s">
        <v>322</v>
      </c>
      <c r="H67" s="1">
        <f>INDEX(Data_base_case!$D$8:$FS$124,MATCH(Scenarios_definition!C67,Data_base_case!$D$8:$D$124,0),MATCH(Scenarios_definition!D67&amp;Scenarios_definition!G67,Data_base_case!$D$7:$FS$7,0))</f>
        <v>8999.7300000000014</v>
      </c>
    </row>
    <row r="68" spans="1:8" x14ac:dyDescent="0.3">
      <c r="A68" s="1" t="s">
        <v>431</v>
      </c>
      <c r="B68" t="s">
        <v>529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69" t="s">
        <v>325</v>
      </c>
      <c r="H68" s="1">
        <f>INDEX(Data_base_case!$D$8:$FS$124,MATCH(Scenarios_definition!C68,Data_base_case!$D$8:$D$124,0),MATCH(Scenarios_definition!D68&amp;Scenarios_definition!G68,Data_base_case!$D$7:$FS$7,0))</f>
        <v>15200</v>
      </c>
    </row>
    <row r="69" spans="1:8" x14ac:dyDescent="0.3">
      <c r="B69" t="s">
        <v>529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69" t="s">
        <v>325</v>
      </c>
      <c r="H69" s="1">
        <f>INDEX(Data_base_case!$D$8:$FS$124,MATCH(Scenarios_definition!C69,Data_base_case!$D$8:$D$124,0),MATCH(Scenarios_definition!D69&amp;Scenarios_definition!G69,Data_base_case!$D$7:$FS$7,0))</f>
        <v>1299.6000000000001</v>
      </c>
    </row>
    <row r="70" spans="1:8" x14ac:dyDescent="0.3">
      <c r="A70" s="1" t="s">
        <v>432</v>
      </c>
      <c r="B70" t="s">
        <v>530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69" t="s">
        <v>325</v>
      </c>
      <c r="H70" s="1">
        <f>INDEX(Data_base_case!$D$8:$FS$124,MATCH(Scenarios_definition!C70,Data_base_case!$D$8:$D$124,0),MATCH(Scenarios_definition!D70&amp;Scenarios_definition!G70,Data_base_case!$D$7:$FS$7,0))</f>
        <v>15200</v>
      </c>
    </row>
    <row r="71" spans="1:8" x14ac:dyDescent="0.3">
      <c r="B71" t="s">
        <v>530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69" t="s">
        <v>325</v>
      </c>
      <c r="H71" s="1">
        <f>INDEX(Data_base_case!$D$8:$FS$124,MATCH(Scenarios_definition!C71,Data_base_case!$D$8:$D$124,0),MATCH(Scenarios_definition!D71&amp;Scenarios_definition!G71,Data_base_case!$D$7:$FS$7,0))</f>
        <v>1299.6000000000001</v>
      </c>
    </row>
    <row r="72" spans="1:8" x14ac:dyDescent="0.3">
      <c r="A72" s="1" t="s">
        <v>433</v>
      </c>
      <c r="B72" t="s">
        <v>531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69" t="s">
        <v>325</v>
      </c>
      <c r="H72" s="1">
        <f>INDEX(Data_base_case!$D$8:$FS$124,MATCH(Scenarios_definition!C72,Data_base_case!$D$8:$D$124,0),MATCH(Scenarios_definition!D72&amp;Scenarios_definition!G72,Data_base_case!$D$7:$FS$7,0))</f>
        <v>15200</v>
      </c>
    </row>
    <row r="73" spans="1:8" x14ac:dyDescent="0.3">
      <c r="B73" t="s">
        <v>531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69" t="s">
        <v>325</v>
      </c>
      <c r="H73" s="1">
        <f>INDEX(Data_base_case!$D$8:$FS$124,MATCH(Scenarios_definition!C73,Data_base_case!$D$8:$D$124,0),MATCH(Scenarios_definition!D73&amp;Scenarios_definition!G73,Data_base_case!$D$7:$FS$7,0))</f>
        <v>1299.6000000000001</v>
      </c>
    </row>
    <row r="74" spans="1:8" x14ac:dyDescent="0.3">
      <c r="A74" s="1" t="s">
        <v>434</v>
      </c>
      <c r="B74" t="s">
        <v>532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69" t="s">
        <v>325</v>
      </c>
      <c r="H74" s="1">
        <f>INDEX(Data_base_case!$D$8:$FS$124,MATCH(Scenarios_definition!C74,Data_base_case!$D$8:$D$124,0),MATCH(Scenarios_definition!D74&amp;Scenarios_definition!G74,Data_base_case!$D$7:$FS$7,0))</f>
        <v>15200</v>
      </c>
    </row>
    <row r="75" spans="1:8" x14ac:dyDescent="0.3">
      <c r="B75" t="s">
        <v>532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69" t="s">
        <v>325</v>
      </c>
      <c r="H75" s="1">
        <f>INDEX(Data_base_case!$D$8:$FS$124,MATCH(Scenarios_definition!C75,Data_base_case!$D$8:$D$124,0),MATCH(Scenarios_definition!D75&amp;Scenarios_definition!G75,Data_base_case!$D$7:$FS$7,0))</f>
        <v>1299.6000000000001</v>
      </c>
    </row>
    <row r="76" spans="1:8" x14ac:dyDescent="0.3">
      <c r="A76" s="1" t="s">
        <v>431</v>
      </c>
      <c r="B76" t="s">
        <v>521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69" t="s">
        <v>322</v>
      </c>
      <c r="H76" s="1">
        <f>INDEX(Data_base_case!$D$8:$FS$124,MATCH(Scenarios_definition!C76,Data_base_case!$D$8:$D$124,0),MATCH(Scenarios_definition!D76&amp;Scenarios_definition!G76,Data_base_case!$D$7:$FS$7,0))</f>
        <v>250</v>
      </c>
    </row>
    <row r="77" spans="1:8" x14ac:dyDescent="0.3">
      <c r="B77" t="s">
        <v>521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69" t="s">
        <v>322</v>
      </c>
      <c r="H77" s="1">
        <f>INDEX(Data_base_case!$D$8:$FS$124,MATCH(Scenarios_definition!C77,Data_base_case!$D$8:$D$124,0),MATCH(Scenarios_definition!D77&amp;Scenarios_definition!G77,Data_base_case!$D$7:$FS$7,0))</f>
        <v>7.5</v>
      </c>
    </row>
    <row r="78" spans="1:8" x14ac:dyDescent="0.3">
      <c r="B78" t="s">
        <v>521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69" t="s">
        <v>322</v>
      </c>
      <c r="H78" s="1">
        <f>INDEX(Data_base_case!$D$8:$FS$124,MATCH(Scenarios_definition!C78,Data_base_case!$D$8:$D$124,0),MATCH(Scenarios_definition!D78&amp;Scenarios_definition!G78,Data_base_case!$D$7:$FS$7,0))</f>
        <v>550</v>
      </c>
    </row>
    <row r="79" spans="1:8" x14ac:dyDescent="0.3">
      <c r="B79" t="s">
        <v>521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69" t="s">
        <v>322</v>
      </c>
      <c r="H79" s="1">
        <f>INDEX(Data_base_case!$D$8:$FS$124,MATCH(Scenarios_definition!C79,Data_base_case!$D$8:$D$124,0),MATCH(Scenarios_definition!D79&amp;Scenarios_definition!G79,Data_base_case!$D$7:$FS$7,0))</f>
        <v>8.25</v>
      </c>
    </row>
    <row r="80" spans="1:8" x14ac:dyDescent="0.3">
      <c r="A80" s="1" t="s">
        <v>432</v>
      </c>
      <c r="B80" t="s">
        <v>522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69" t="s">
        <v>322</v>
      </c>
      <c r="H80" s="1">
        <f>INDEX(Data_base_case!$D$8:$FS$124,MATCH(Scenarios_definition!C80,Data_base_case!$D$8:$D$124,0),MATCH(Scenarios_definition!D80&amp;Scenarios_definition!G80,Data_base_case!$D$7:$FS$7,0))</f>
        <v>250</v>
      </c>
    </row>
    <row r="81" spans="1:8" x14ac:dyDescent="0.3">
      <c r="B81" t="s">
        <v>522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69" t="s">
        <v>322</v>
      </c>
      <c r="H81" s="1">
        <f>INDEX(Data_base_case!$D$8:$FS$124,MATCH(Scenarios_definition!C81,Data_base_case!$D$8:$D$124,0),MATCH(Scenarios_definition!D81&amp;Scenarios_definition!G81,Data_base_case!$D$7:$FS$7,0))</f>
        <v>7.5</v>
      </c>
    </row>
    <row r="82" spans="1:8" x14ac:dyDescent="0.3">
      <c r="B82" t="s">
        <v>522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69" t="s">
        <v>322</v>
      </c>
      <c r="H82" s="1">
        <f>INDEX(Data_base_case!$D$8:$FS$124,MATCH(Scenarios_definition!C82,Data_base_case!$D$8:$D$124,0),MATCH(Scenarios_definition!D82&amp;Scenarios_definition!G82,Data_base_case!$D$7:$FS$7,0))</f>
        <v>550</v>
      </c>
    </row>
    <row r="83" spans="1:8" x14ac:dyDescent="0.3">
      <c r="B83" t="s">
        <v>522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69" t="s">
        <v>322</v>
      </c>
      <c r="H83" s="1">
        <f>INDEX(Data_base_case!$D$8:$FS$124,MATCH(Scenarios_definition!C83,Data_base_case!$D$8:$D$124,0),MATCH(Scenarios_definition!D83&amp;Scenarios_definition!G83,Data_base_case!$D$7:$FS$7,0))</f>
        <v>8.25</v>
      </c>
    </row>
    <row r="84" spans="1:8" x14ac:dyDescent="0.3">
      <c r="A84" s="1" t="s">
        <v>433</v>
      </c>
      <c r="B84" t="s">
        <v>523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69" t="s">
        <v>322</v>
      </c>
      <c r="H84" s="1">
        <f>INDEX(Data_base_case!$D$8:$FS$124,MATCH(Scenarios_definition!C84,Data_base_case!$D$8:$D$124,0),MATCH(Scenarios_definition!D84&amp;Scenarios_definition!G84,Data_base_case!$D$7:$FS$7,0))</f>
        <v>250</v>
      </c>
    </row>
    <row r="85" spans="1:8" x14ac:dyDescent="0.3">
      <c r="B85" t="s">
        <v>523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69" t="s">
        <v>322</v>
      </c>
      <c r="H85" s="1">
        <f>INDEX(Data_base_case!$D$8:$FS$124,MATCH(Scenarios_definition!C85,Data_base_case!$D$8:$D$124,0),MATCH(Scenarios_definition!D85&amp;Scenarios_definition!G85,Data_base_case!$D$7:$FS$7,0))</f>
        <v>7.5</v>
      </c>
    </row>
    <row r="86" spans="1:8" x14ac:dyDescent="0.3">
      <c r="B86" t="s">
        <v>523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69" t="s">
        <v>322</v>
      </c>
      <c r="H86" s="1">
        <f>INDEX(Data_base_case!$D$8:$FS$124,MATCH(Scenarios_definition!C86,Data_base_case!$D$8:$D$124,0),MATCH(Scenarios_definition!D86&amp;Scenarios_definition!G86,Data_base_case!$D$7:$FS$7,0))</f>
        <v>550</v>
      </c>
    </row>
    <row r="87" spans="1:8" x14ac:dyDescent="0.3">
      <c r="B87" t="s">
        <v>523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69" t="s">
        <v>322</v>
      </c>
      <c r="H87" s="1">
        <f>INDEX(Data_base_case!$D$8:$FS$124,MATCH(Scenarios_definition!C87,Data_base_case!$D$8:$D$124,0),MATCH(Scenarios_definition!D87&amp;Scenarios_definition!G87,Data_base_case!$D$7:$FS$7,0))</f>
        <v>8.25</v>
      </c>
    </row>
    <row r="88" spans="1:8" x14ac:dyDescent="0.3">
      <c r="A88" s="1" t="s">
        <v>434</v>
      </c>
      <c r="B88" t="s">
        <v>524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69" t="s">
        <v>322</v>
      </c>
      <c r="H88" s="1">
        <f>INDEX(Data_base_case!$D$8:$FS$124,MATCH(Scenarios_definition!C88,Data_base_case!$D$8:$D$124,0),MATCH(Scenarios_definition!D88&amp;Scenarios_definition!G88,Data_base_case!$D$7:$FS$7,0))</f>
        <v>250</v>
      </c>
    </row>
    <row r="89" spans="1:8" x14ac:dyDescent="0.3">
      <c r="B89" t="s">
        <v>524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69" t="s">
        <v>322</v>
      </c>
      <c r="H89" s="1">
        <f>INDEX(Data_base_case!$D$8:$FS$124,MATCH(Scenarios_definition!C89,Data_base_case!$D$8:$D$124,0),MATCH(Scenarios_definition!D89&amp;Scenarios_definition!G89,Data_base_case!$D$7:$FS$7,0))</f>
        <v>7.5</v>
      </c>
    </row>
    <row r="90" spans="1:8" x14ac:dyDescent="0.3">
      <c r="B90" t="s">
        <v>524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69" t="s">
        <v>322</v>
      </c>
      <c r="H90" s="1">
        <f>INDEX(Data_base_case!$D$8:$FS$124,MATCH(Scenarios_definition!C90,Data_base_case!$D$8:$D$124,0),MATCH(Scenarios_definition!D90&amp;Scenarios_definition!G90,Data_base_case!$D$7:$FS$7,0))</f>
        <v>550</v>
      </c>
    </row>
    <row r="91" spans="1:8" x14ac:dyDescent="0.3">
      <c r="B91" t="s">
        <v>524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69" t="s">
        <v>322</v>
      </c>
      <c r="H91" s="1">
        <f>INDEX(Data_base_case!$D$8:$FS$124,MATCH(Scenarios_definition!C91,Data_base_case!$D$8:$D$124,0),MATCH(Scenarios_definition!D91&amp;Scenarios_definition!G91,Data_base_case!$D$7:$FS$7,0))</f>
        <v>8.25</v>
      </c>
    </row>
    <row r="92" spans="1:8" x14ac:dyDescent="0.3">
      <c r="A92" s="1" t="s">
        <v>431</v>
      </c>
      <c r="B92" t="s">
        <v>533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69" t="s">
        <v>325</v>
      </c>
      <c r="H92" s="1">
        <f>INDEX(Data_base_case!$D$8:$FS$124,MATCH(Scenarios_definition!C92,Data_base_case!$D$8:$D$124,0),MATCH(Scenarios_definition!D92&amp;Scenarios_definition!G92,Data_base_case!$D$7:$FS$7,0))</f>
        <v>250</v>
      </c>
    </row>
    <row r="93" spans="1:8" x14ac:dyDescent="0.3">
      <c r="B93" t="s">
        <v>533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69" t="s">
        <v>325</v>
      </c>
      <c r="H93" s="1">
        <f>INDEX(Data_base_case!$D$8:$FS$124,MATCH(Scenarios_definition!C93,Data_base_case!$D$8:$D$124,0),MATCH(Scenarios_definition!D93&amp;Scenarios_definition!G93,Data_base_case!$D$7:$FS$7,0))</f>
        <v>7.5</v>
      </c>
    </row>
    <row r="94" spans="1:8" x14ac:dyDescent="0.3">
      <c r="B94" t="s">
        <v>533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69" t="s">
        <v>325</v>
      </c>
      <c r="H94" s="1">
        <f>INDEX(Data_base_case!$D$8:$FS$124,MATCH(Scenarios_definition!C94,Data_base_case!$D$8:$D$124,0),MATCH(Scenarios_definition!D94&amp;Scenarios_definition!G94,Data_base_case!$D$7:$FS$7,0))</f>
        <v>180</v>
      </c>
    </row>
    <row r="95" spans="1:8" x14ac:dyDescent="0.3">
      <c r="B95" t="s">
        <v>533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69" t="s">
        <v>325</v>
      </c>
      <c r="H95" s="1">
        <f>INDEX(Data_base_case!$D$8:$FS$124,MATCH(Scenarios_definition!C95,Data_base_case!$D$8:$D$124,0),MATCH(Scenarios_definition!D95&amp;Scenarios_definition!G95,Data_base_case!$D$7:$FS$7,0))</f>
        <v>2.6999999999999997</v>
      </c>
    </row>
    <row r="96" spans="1:8" x14ac:dyDescent="0.3">
      <c r="A96" s="1" t="s">
        <v>432</v>
      </c>
      <c r="B96" t="s">
        <v>534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69" t="s">
        <v>325</v>
      </c>
      <c r="H96" s="1">
        <f>INDEX(Data_base_case!$D$8:$FS$124,MATCH(Scenarios_definition!C96,Data_base_case!$D$8:$D$124,0),MATCH(Scenarios_definition!D96&amp;Scenarios_definition!G96,Data_base_case!$D$7:$FS$7,0))</f>
        <v>250</v>
      </c>
    </row>
    <row r="97" spans="1:8" x14ac:dyDescent="0.3">
      <c r="B97" t="s">
        <v>534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69" t="s">
        <v>325</v>
      </c>
      <c r="H97" s="1">
        <f>INDEX(Data_base_case!$D$8:$FS$124,MATCH(Scenarios_definition!C97,Data_base_case!$D$8:$D$124,0),MATCH(Scenarios_definition!D97&amp;Scenarios_definition!G97,Data_base_case!$D$7:$FS$7,0))</f>
        <v>7.5</v>
      </c>
    </row>
    <row r="98" spans="1:8" x14ac:dyDescent="0.3">
      <c r="B98" t="s">
        <v>534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69" t="s">
        <v>325</v>
      </c>
      <c r="H98" s="1">
        <f>INDEX(Data_base_case!$D$8:$FS$124,MATCH(Scenarios_definition!C98,Data_base_case!$D$8:$D$124,0),MATCH(Scenarios_definition!D98&amp;Scenarios_definition!G98,Data_base_case!$D$7:$FS$7,0))</f>
        <v>180</v>
      </c>
    </row>
    <row r="99" spans="1:8" x14ac:dyDescent="0.3">
      <c r="B99" t="s">
        <v>534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69" t="s">
        <v>325</v>
      </c>
      <c r="H99" s="1">
        <f>INDEX(Data_base_case!$D$8:$FS$124,MATCH(Scenarios_definition!C99,Data_base_case!$D$8:$D$124,0),MATCH(Scenarios_definition!D99&amp;Scenarios_definition!G99,Data_base_case!$D$7:$FS$7,0))</f>
        <v>2.6999999999999997</v>
      </c>
    </row>
    <row r="100" spans="1:8" x14ac:dyDescent="0.3">
      <c r="A100" s="1" t="s">
        <v>433</v>
      </c>
      <c r="B100" t="s">
        <v>535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69" t="s">
        <v>325</v>
      </c>
      <c r="H100" s="1">
        <f>INDEX(Data_base_case!$D$8:$FS$124,MATCH(Scenarios_definition!C100,Data_base_case!$D$8:$D$124,0),MATCH(Scenarios_definition!D100&amp;Scenarios_definition!G100,Data_base_case!$D$7:$FS$7,0))</f>
        <v>250</v>
      </c>
    </row>
    <row r="101" spans="1:8" x14ac:dyDescent="0.3">
      <c r="B101" t="s">
        <v>535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69" t="s">
        <v>325</v>
      </c>
      <c r="H101" s="1">
        <f>INDEX(Data_base_case!$D$8:$FS$124,MATCH(Scenarios_definition!C101,Data_base_case!$D$8:$D$124,0),MATCH(Scenarios_definition!D101&amp;Scenarios_definition!G101,Data_base_case!$D$7:$FS$7,0))</f>
        <v>7.5</v>
      </c>
    </row>
    <row r="102" spans="1:8" x14ac:dyDescent="0.3">
      <c r="B102" t="s">
        <v>535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69" t="s">
        <v>325</v>
      </c>
      <c r="H102" s="1">
        <f>INDEX(Data_base_case!$D$8:$FS$124,MATCH(Scenarios_definition!C102,Data_base_case!$D$8:$D$124,0),MATCH(Scenarios_definition!D102&amp;Scenarios_definition!G102,Data_base_case!$D$7:$FS$7,0))</f>
        <v>180</v>
      </c>
    </row>
    <row r="103" spans="1:8" x14ac:dyDescent="0.3">
      <c r="B103" t="s">
        <v>535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69" t="s">
        <v>325</v>
      </c>
      <c r="H103" s="1">
        <f>INDEX(Data_base_case!$D$8:$FS$124,MATCH(Scenarios_definition!C103,Data_base_case!$D$8:$D$124,0),MATCH(Scenarios_definition!D103&amp;Scenarios_definition!G103,Data_base_case!$D$7:$FS$7,0))</f>
        <v>2.6999999999999997</v>
      </c>
    </row>
    <row r="104" spans="1:8" x14ac:dyDescent="0.3">
      <c r="A104" s="1" t="s">
        <v>434</v>
      </c>
      <c r="B104" t="s">
        <v>536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69" t="s">
        <v>325</v>
      </c>
      <c r="H104" s="1">
        <f>INDEX(Data_base_case!$D$8:$FS$124,MATCH(Scenarios_definition!C104,Data_base_case!$D$8:$D$124,0),MATCH(Scenarios_definition!D104&amp;Scenarios_definition!G104,Data_base_case!$D$7:$FS$7,0))</f>
        <v>250</v>
      </c>
    </row>
    <row r="105" spans="1:8" x14ac:dyDescent="0.3">
      <c r="B105" t="s">
        <v>536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69" t="s">
        <v>325</v>
      </c>
      <c r="H105" s="1">
        <f>INDEX(Data_base_case!$D$8:$FS$124,MATCH(Scenarios_definition!C105,Data_base_case!$D$8:$D$124,0),MATCH(Scenarios_definition!D105&amp;Scenarios_definition!G105,Data_base_case!$D$7:$FS$7,0))</f>
        <v>7.5</v>
      </c>
    </row>
    <row r="106" spans="1:8" x14ac:dyDescent="0.3">
      <c r="B106" t="s">
        <v>536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69" t="s">
        <v>325</v>
      </c>
      <c r="H106" s="1">
        <f>INDEX(Data_base_case!$D$8:$FS$124,MATCH(Scenarios_definition!C106,Data_base_case!$D$8:$D$124,0),MATCH(Scenarios_definition!D106&amp;Scenarios_definition!G106,Data_base_case!$D$7:$FS$7,0))</f>
        <v>180</v>
      </c>
    </row>
    <row r="107" spans="1:8" x14ac:dyDescent="0.3">
      <c r="B107" t="s">
        <v>536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69" t="s">
        <v>325</v>
      </c>
      <c r="H107" s="1">
        <f>INDEX(Data_base_case!$D$8:$FS$124,MATCH(Scenarios_definition!C107,Data_base_case!$D$8:$D$124,0),MATCH(Scenarios_definition!D107&amp;Scenarios_definition!G107,Data_base_case!$D$7:$FS$7,0))</f>
        <v>2.6999999999999997</v>
      </c>
    </row>
    <row r="108" spans="1:8" x14ac:dyDescent="0.3">
      <c r="A108" s="1" t="s">
        <v>431</v>
      </c>
      <c r="B108" t="s">
        <v>525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69" t="s">
        <v>322</v>
      </c>
      <c r="H108" s="1">
        <f>INDEX(Data_base_case!$D$8:$FS$124,MATCH(Scenarios_definition!C108,Data_base_case!$D$8:$D$124,0),MATCH(Scenarios_definition!D108&amp;Scenarios_definition!G108,Data_base_case!$D$7:$FS$7,0))</f>
        <v>646.52980000000002</v>
      </c>
    </row>
    <row r="109" spans="1:8" x14ac:dyDescent="0.3">
      <c r="B109" t="s">
        <v>525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69" t="s">
        <v>322</v>
      </c>
      <c r="H109" s="1">
        <f>INDEX(Data_base_case!$D$8:$FS$124,MATCH(Scenarios_definition!C109,Data_base_case!$D$8:$D$124,0),MATCH(Scenarios_definition!D109&amp;Scenarios_definition!G109,Data_base_case!$D$7:$FS$7,0))</f>
        <v>11.157853000000001</v>
      </c>
    </row>
    <row r="110" spans="1:8" x14ac:dyDescent="0.3">
      <c r="B110" t="s">
        <v>525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69" t="s">
        <v>322</v>
      </c>
      <c r="H110" s="1">
        <f>INDEX(Data_base_case!$D$8:$FS$124,MATCH(Scenarios_definition!C110,Data_base_case!$D$8:$D$124,0),MATCH(Scenarios_definition!D110&amp;Scenarios_definition!G110,Data_base_case!$D$7:$FS$7,0))</f>
        <v>0</v>
      </c>
    </row>
    <row r="111" spans="1:8" x14ac:dyDescent="0.3">
      <c r="B111" t="s">
        <v>525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69" t="s">
        <v>322</v>
      </c>
      <c r="H111" s="1">
        <f>INDEX(Data_base_case!$D$8:$FS$124,MATCH(Scenarios_definition!C111,Data_base_case!$D$8:$D$124,0),MATCH(Scenarios_definition!D111&amp;Scenarios_definition!G111,Data_base_case!$D$7:$FS$7,0))</f>
        <v>1758.6807528485745</v>
      </c>
    </row>
    <row r="112" spans="1:8" x14ac:dyDescent="0.3">
      <c r="B112" t="s">
        <v>525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69" t="s">
        <v>322</v>
      </c>
      <c r="H112" s="1">
        <f>INDEX(Data_base_case!$D$8:$FS$124,MATCH(Scenarios_definition!C112,Data_base_case!$D$8:$D$124,0),MATCH(Scenarios_definition!D112&amp;Scenarios_definition!G112,Data_base_case!$D$7:$FS$7,0))</f>
        <v>14.599060000000001</v>
      </c>
    </row>
    <row r="113" spans="1:8" x14ac:dyDescent="0.3">
      <c r="B113" t="s">
        <v>525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69" t="s">
        <v>322</v>
      </c>
      <c r="H113" s="1">
        <f>INDEX(Data_base_case!$D$8:$FS$124,MATCH(Scenarios_definition!C113,Data_base_case!$D$8:$D$124,0),MATCH(Scenarios_definition!D113&amp;Scenarios_definition!G113,Data_base_case!$D$7:$FS$7,0))</f>
        <v>1.5641850000000001E-3</v>
      </c>
    </row>
    <row r="114" spans="1:8" x14ac:dyDescent="0.3">
      <c r="B114" t="s">
        <v>525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69" t="s">
        <v>322</v>
      </c>
      <c r="H114" s="1">
        <f>INDEX(Data_base_case!$D$8:$FS$124,MATCH(Scenarios_definition!C114,Data_base_case!$D$8:$D$124,0),MATCH(Scenarios_definition!D114&amp;Scenarios_definition!G114,Data_base_case!$D$7:$FS$7,0))</f>
        <v>2188.7934195531479</v>
      </c>
    </row>
    <row r="115" spans="1:8" x14ac:dyDescent="0.3">
      <c r="B115" t="s">
        <v>525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69" t="s">
        <v>322</v>
      </c>
      <c r="H115" s="1">
        <f>INDEX(Data_base_case!$D$8:$FS$124,MATCH(Scenarios_definition!C115,Data_base_case!$D$8:$D$124,0),MATCH(Scenarios_definition!D115&amp;Scenarios_definition!G115,Data_base_case!$D$7:$FS$7,0))</f>
        <v>14.599060000000001</v>
      </c>
    </row>
    <row r="116" spans="1:8" x14ac:dyDescent="0.3">
      <c r="B116" t="s">
        <v>525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69" t="s">
        <v>322</v>
      </c>
      <c r="H116" s="1">
        <f>INDEX(Data_base_case!$D$8:$FS$124,MATCH(Scenarios_definition!C116,Data_base_case!$D$8:$D$124,0),MATCH(Scenarios_definition!D116&amp;Scenarios_definition!G116,Data_base_case!$D$7:$FS$7,0))</f>
        <v>1.5641850000000001E-3</v>
      </c>
    </row>
    <row r="117" spans="1:8" x14ac:dyDescent="0.3">
      <c r="A117" s="1" t="s">
        <v>432</v>
      </c>
      <c r="B117" t="s">
        <v>526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69" t="s">
        <v>322</v>
      </c>
      <c r="H117" s="1">
        <f>INDEX(Data_base_case!$D$8:$FS$124,MATCH(Scenarios_definition!C117,Data_base_case!$D$8:$D$124,0),MATCH(Scenarios_definition!D117&amp;Scenarios_definition!G117,Data_base_case!$D$7:$FS$7,0))</f>
        <v>646.52980000000002</v>
      </c>
    </row>
    <row r="118" spans="1:8" x14ac:dyDescent="0.3">
      <c r="B118" t="s">
        <v>526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69" t="s">
        <v>322</v>
      </c>
      <c r="H118" s="1">
        <f>INDEX(Data_base_case!$D$8:$FS$124,MATCH(Scenarios_definition!C118,Data_base_case!$D$8:$D$124,0),MATCH(Scenarios_definition!D118&amp;Scenarios_definition!G118,Data_base_case!$D$7:$FS$7,0))</f>
        <v>11.157853000000001</v>
      </c>
    </row>
    <row r="119" spans="1:8" x14ac:dyDescent="0.3">
      <c r="B119" t="s">
        <v>526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69" t="s">
        <v>322</v>
      </c>
      <c r="H119" s="1">
        <f>INDEX(Data_base_case!$D$8:$FS$124,MATCH(Scenarios_definition!C119,Data_base_case!$D$8:$D$124,0),MATCH(Scenarios_definition!D119&amp;Scenarios_definition!G119,Data_base_case!$D$7:$FS$7,0))</f>
        <v>0</v>
      </c>
    </row>
    <row r="120" spans="1:8" x14ac:dyDescent="0.3">
      <c r="B120" t="s">
        <v>526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69" t="s">
        <v>322</v>
      </c>
      <c r="H120" s="1">
        <f>INDEX(Data_base_case!$D$8:$FS$124,MATCH(Scenarios_definition!C120,Data_base_case!$D$8:$D$124,0),MATCH(Scenarios_definition!D120&amp;Scenarios_definition!G120,Data_base_case!$D$7:$FS$7,0))</f>
        <v>1758.6807528485745</v>
      </c>
    </row>
    <row r="121" spans="1:8" x14ac:dyDescent="0.3">
      <c r="B121" t="s">
        <v>526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69" t="s">
        <v>322</v>
      </c>
      <c r="H121" s="1">
        <f>INDEX(Data_base_case!$D$8:$FS$124,MATCH(Scenarios_definition!C121,Data_base_case!$D$8:$D$124,0),MATCH(Scenarios_definition!D121&amp;Scenarios_definition!G121,Data_base_case!$D$7:$FS$7,0))</f>
        <v>14.599060000000001</v>
      </c>
    </row>
    <row r="122" spans="1:8" x14ac:dyDescent="0.3">
      <c r="B122" t="s">
        <v>526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69" t="s">
        <v>322</v>
      </c>
      <c r="H122" s="1">
        <f>INDEX(Data_base_case!$D$8:$FS$124,MATCH(Scenarios_definition!C122,Data_base_case!$D$8:$D$124,0),MATCH(Scenarios_definition!D122&amp;Scenarios_definition!G122,Data_base_case!$D$7:$FS$7,0))</f>
        <v>1.5641850000000001E-3</v>
      </c>
    </row>
    <row r="123" spans="1:8" x14ac:dyDescent="0.3">
      <c r="B123" t="s">
        <v>526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69" t="s">
        <v>322</v>
      </c>
      <c r="H123" s="1">
        <f>INDEX(Data_base_case!$D$8:$FS$124,MATCH(Scenarios_definition!C123,Data_base_case!$D$8:$D$124,0),MATCH(Scenarios_definition!D123&amp;Scenarios_definition!G123,Data_base_case!$D$7:$FS$7,0))</f>
        <v>2188.7934195531479</v>
      </c>
    </row>
    <row r="124" spans="1:8" x14ac:dyDescent="0.3">
      <c r="B124" t="s">
        <v>526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69" t="s">
        <v>322</v>
      </c>
      <c r="H124" s="1">
        <f>INDEX(Data_base_case!$D$8:$FS$124,MATCH(Scenarios_definition!C124,Data_base_case!$D$8:$D$124,0),MATCH(Scenarios_definition!D124&amp;Scenarios_definition!G124,Data_base_case!$D$7:$FS$7,0))</f>
        <v>14.599060000000001</v>
      </c>
    </row>
    <row r="125" spans="1:8" x14ac:dyDescent="0.3">
      <c r="B125" t="s">
        <v>526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69" t="s">
        <v>322</v>
      </c>
      <c r="H125" s="1">
        <f>INDEX(Data_base_case!$D$8:$FS$124,MATCH(Scenarios_definition!C125,Data_base_case!$D$8:$D$124,0),MATCH(Scenarios_definition!D125&amp;Scenarios_definition!G125,Data_base_case!$D$7:$FS$7,0))</f>
        <v>1.5641850000000001E-3</v>
      </c>
    </row>
    <row r="126" spans="1:8" x14ac:dyDescent="0.3">
      <c r="A126" s="1" t="s">
        <v>433</v>
      </c>
      <c r="B126" t="s">
        <v>527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69" t="s">
        <v>322</v>
      </c>
      <c r="H126" s="1">
        <f>INDEX(Data_base_case!$D$8:$FS$124,MATCH(Scenarios_definition!C126,Data_base_case!$D$8:$D$124,0),MATCH(Scenarios_definition!D126&amp;Scenarios_definition!G126,Data_base_case!$D$7:$FS$7,0))</f>
        <v>646.52980000000002</v>
      </c>
    </row>
    <row r="127" spans="1:8" x14ac:dyDescent="0.3">
      <c r="B127" t="s">
        <v>527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69" t="s">
        <v>322</v>
      </c>
      <c r="H127" s="1">
        <f>INDEX(Data_base_case!$D$8:$FS$124,MATCH(Scenarios_definition!C127,Data_base_case!$D$8:$D$124,0),MATCH(Scenarios_definition!D127&amp;Scenarios_definition!G127,Data_base_case!$D$7:$FS$7,0))</f>
        <v>11.157853000000001</v>
      </c>
    </row>
    <row r="128" spans="1:8" x14ac:dyDescent="0.3">
      <c r="B128" t="s">
        <v>527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69" t="s">
        <v>322</v>
      </c>
      <c r="H128" s="1">
        <f>INDEX(Data_base_case!$D$8:$FS$124,MATCH(Scenarios_definition!C128,Data_base_case!$D$8:$D$124,0),MATCH(Scenarios_definition!D128&amp;Scenarios_definition!G128,Data_base_case!$D$7:$FS$7,0))</f>
        <v>0</v>
      </c>
    </row>
    <row r="129" spans="1:8" x14ac:dyDescent="0.3">
      <c r="B129" t="s">
        <v>527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69" t="s">
        <v>322</v>
      </c>
      <c r="H129" s="1">
        <f>INDEX(Data_base_case!$D$8:$FS$124,MATCH(Scenarios_definition!C129,Data_base_case!$D$8:$D$124,0),MATCH(Scenarios_definition!D129&amp;Scenarios_definition!G129,Data_base_case!$D$7:$FS$7,0))</f>
        <v>1758.6807528485745</v>
      </c>
    </row>
    <row r="130" spans="1:8" x14ac:dyDescent="0.3">
      <c r="B130" t="s">
        <v>527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69" t="s">
        <v>322</v>
      </c>
      <c r="H130" s="1">
        <f>INDEX(Data_base_case!$D$8:$FS$124,MATCH(Scenarios_definition!C130,Data_base_case!$D$8:$D$124,0),MATCH(Scenarios_definition!D130&amp;Scenarios_definition!G130,Data_base_case!$D$7:$FS$7,0))</f>
        <v>14.599060000000001</v>
      </c>
    </row>
    <row r="131" spans="1:8" x14ac:dyDescent="0.3">
      <c r="B131" t="s">
        <v>527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69" t="s">
        <v>322</v>
      </c>
      <c r="H131" s="1">
        <f>INDEX(Data_base_case!$D$8:$FS$124,MATCH(Scenarios_definition!C131,Data_base_case!$D$8:$D$124,0),MATCH(Scenarios_definition!D131&amp;Scenarios_definition!G131,Data_base_case!$D$7:$FS$7,0))</f>
        <v>1.5641850000000001E-3</v>
      </c>
    </row>
    <row r="132" spans="1:8" x14ac:dyDescent="0.3">
      <c r="B132" t="s">
        <v>527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69" t="s">
        <v>322</v>
      </c>
      <c r="H132" s="1">
        <f>INDEX(Data_base_case!$D$8:$FS$124,MATCH(Scenarios_definition!C132,Data_base_case!$D$8:$D$124,0),MATCH(Scenarios_definition!D132&amp;Scenarios_definition!G132,Data_base_case!$D$7:$FS$7,0))</f>
        <v>2188.7934195531479</v>
      </c>
    </row>
    <row r="133" spans="1:8" x14ac:dyDescent="0.3">
      <c r="B133" t="s">
        <v>527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69" t="s">
        <v>322</v>
      </c>
      <c r="H133" s="1">
        <f>INDEX(Data_base_case!$D$8:$FS$124,MATCH(Scenarios_definition!C133,Data_base_case!$D$8:$D$124,0),MATCH(Scenarios_definition!D133&amp;Scenarios_definition!G133,Data_base_case!$D$7:$FS$7,0))</f>
        <v>14.599060000000001</v>
      </c>
    </row>
    <row r="134" spans="1:8" x14ac:dyDescent="0.3">
      <c r="B134" t="s">
        <v>527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69" t="s">
        <v>322</v>
      </c>
      <c r="H134" s="1">
        <f>INDEX(Data_base_case!$D$8:$FS$124,MATCH(Scenarios_definition!C134,Data_base_case!$D$8:$D$124,0),MATCH(Scenarios_definition!D134&amp;Scenarios_definition!G134,Data_base_case!$D$7:$FS$7,0))</f>
        <v>1.5641850000000001E-3</v>
      </c>
    </row>
    <row r="135" spans="1:8" x14ac:dyDescent="0.3">
      <c r="A135" s="1" t="s">
        <v>434</v>
      </c>
      <c r="B135" t="s">
        <v>528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69" t="s">
        <v>322</v>
      </c>
      <c r="H135" s="1">
        <f>INDEX(Data_base_case!$D$8:$FS$124,MATCH(Scenarios_definition!C135,Data_base_case!$D$8:$D$124,0),MATCH(Scenarios_definition!D135&amp;Scenarios_definition!G135,Data_base_case!$D$7:$FS$7,0))</f>
        <v>646.52980000000002</v>
      </c>
    </row>
    <row r="136" spans="1:8" x14ac:dyDescent="0.3">
      <c r="B136" t="s">
        <v>528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69" t="s">
        <v>322</v>
      </c>
      <c r="H136" s="1">
        <f>INDEX(Data_base_case!$D$8:$FS$124,MATCH(Scenarios_definition!C136,Data_base_case!$D$8:$D$124,0),MATCH(Scenarios_definition!D136&amp;Scenarios_definition!G136,Data_base_case!$D$7:$FS$7,0))</f>
        <v>11.157853000000001</v>
      </c>
    </row>
    <row r="137" spans="1:8" x14ac:dyDescent="0.3">
      <c r="B137" t="s">
        <v>528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69" t="s">
        <v>322</v>
      </c>
      <c r="H137" s="1">
        <f>INDEX(Data_base_case!$D$8:$FS$124,MATCH(Scenarios_definition!C137,Data_base_case!$D$8:$D$124,0),MATCH(Scenarios_definition!D137&amp;Scenarios_definition!G137,Data_base_case!$D$7:$FS$7,0))</f>
        <v>0</v>
      </c>
    </row>
    <row r="138" spans="1:8" x14ac:dyDescent="0.3">
      <c r="B138" t="s">
        <v>528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69" t="s">
        <v>322</v>
      </c>
      <c r="H138" s="1">
        <f>INDEX(Data_base_case!$D$8:$FS$124,MATCH(Scenarios_definition!C138,Data_base_case!$D$8:$D$124,0),MATCH(Scenarios_definition!D138&amp;Scenarios_definition!G138,Data_base_case!$D$7:$FS$7,0))</f>
        <v>1758.6807528485745</v>
      </c>
    </row>
    <row r="139" spans="1:8" x14ac:dyDescent="0.3">
      <c r="B139" t="s">
        <v>528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69" t="s">
        <v>322</v>
      </c>
      <c r="H139" s="1">
        <f>INDEX(Data_base_case!$D$8:$FS$124,MATCH(Scenarios_definition!C139,Data_base_case!$D$8:$D$124,0),MATCH(Scenarios_definition!D139&amp;Scenarios_definition!G139,Data_base_case!$D$7:$FS$7,0))</f>
        <v>14.599060000000001</v>
      </c>
    </row>
    <row r="140" spans="1:8" x14ac:dyDescent="0.3">
      <c r="B140" t="s">
        <v>528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69" t="s">
        <v>322</v>
      </c>
      <c r="H140" s="1">
        <f>INDEX(Data_base_case!$D$8:$FS$124,MATCH(Scenarios_definition!C140,Data_base_case!$D$8:$D$124,0),MATCH(Scenarios_definition!D140&amp;Scenarios_definition!G140,Data_base_case!$D$7:$FS$7,0))</f>
        <v>1.5641850000000001E-3</v>
      </c>
    </row>
    <row r="141" spans="1:8" x14ac:dyDescent="0.3">
      <c r="B141" t="s">
        <v>528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69" t="s">
        <v>322</v>
      </c>
      <c r="H141" s="1">
        <f>INDEX(Data_base_case!$D$8:$FS$124,MATCH(Scenarios_definition!C141,Data_base_case!$D$8:$D$124,0),MATCH(Scenarios_definition!D141&amp;Scenarios_definition!G141,Data_base_case!$D$7:$FS$7,0))</f>
        <v>2188.7934195531479</v>
      </c>
    </row>
    <row r="142" spans="1:8" x14ac:dyDescent="0.3">
      <c r="B142" t="s">
        <v>528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69" t="s">
        <v>322</v>
      </c>
      <c r="H142" s="1">
        <f>INDEX(Data_base_case!$D$8:$FS$124,MATCH(Scenarios_definition!C142,Data_base_case!$D$8:$D$124,0),MATCH(Scenarios_definition!D142&amp;Scenarios_definition!G142,Data_base_case!$D$7:$FS$7,0))</f>
        <v>14.599060000000001</v>
      </c>
    </row>
    <row r="143" spans="1:8" x14ac:dyDescent="0.3">
      <c r="B143" t="s">
        <v>528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69" t="s">
        <v>322</v>
      </c>
      <c r="H143" s="1">
        <f>INDEX(Data_base_case!$D$8:$FS$124,MATCH(Scenarios_definition!C143,Data_base_case!$D$8:$D$124,0),MATCH(Scenarios_definition!D143&amp;Scenarios_definition!G143,Data_base_case!$D$7:$FS$7,0))</f>
        <v>1.5641850000000001E-3</v>
      </c>
    </row>
    <row r="144" spans="1:8" x14ac:dyDescent="0.3">
      <c r="A144" s="1" t="s">
        <v>431</v>
      </c>
      <c r="B144" t="s">
        <v>537</v>
      </c>
      <c r="C144" s="11" t="s">
        <v>49</v>
      </c>
      <c r="D144" s="1" t="s">
        <v>183</v>
      </c>
      <c r="E144" s="11" t="s">
        <v>133</v>
      </c>
      <c r="F144" s="1">
        <f t="shared" si="2"/>
        <v>646.52980000000002</v>
      </c>
      <c r="G144" s="69" t="s">
        <v>322</v>
      </c>
      <c r="H144" s="1">
        <f>INDEX(Data_base_case!$D$8:$FS$124,MATCH(Scenarios_definition!C144,Data_base_case!$D$8:$D$124,0),MATCH(Scenarios_definition!D144&amp;Scenarios_definition!G144,Data_base_case!$D$7:$FS$7,0))</f>
        <v>646.52980000000002</v>
      </c>
    </row>
    <row r="145" spans="1:8" x14ac:dyDescent="0.3">
      <c r="B145" t="s">
        <v>537</v>
      </c>
      <c r="C145" s="11" t="s">
        <v>49</v>
      </c>
      <c r="D145" s="1" t="s">
        <v>184</v>
      </c>
      <c r="E145" s="11" t="s">
        <v>133</v>
      </c>
      <c r="F145" s="1">
        <f t="shared" si="2"/>
        <v>11.157853000000001</v>
      </c>
      <c r="G145" s="69" t="s">
        <v>322</v>
      </c>
      <c r="H145" s="1">
        <f>INDEX(Data_base_case!$D$8:$FS$124,MATCH(Scenarios_definition!C145,Data_base_case!$D$8:$D$124,0),MATCH(Scenarios_definition!D145&amp;Scenarios_definition!G145,Data_base_case!$D$7:$FS$7,0))</f>
        <v>11.157853000000001</v>
      </c>
    </row>
    <row r="146" spans="1:8" x14ac:dyDescent="0.3">
      <c r="B146" t="s">
        <v>537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69" t="s">
        <v>322</v>
      </c>
      <c r="H146" s="1">
        <f>INDEX(Data_base_case!$D$8:$FS$124,MATCH(Scenarios_definition!C146,Data_base_case!$D$8:$D$124,0),MATCH(Scenarios_definition!D146&amp;Scenarios_definition!G146,Data_base_case!$D$7:$FS$7,0))</f>
        <v>0</v>
      </c>
    </row>
    <row r="147" spans="1:8" x14ac:dyDescent="0.3">
      <c r="B147" t="s">
        <v>537</v>
      </c>
      <c r="C147" s="11" t="s">
        <v>164</v>
      </c>
      <c r="D147" s="1" t="s">
        <v>183</v>
      </c>
      <c r="E147" s="11" t="s">
        <v>133</v>
      </c>
      <c r="F147" s="1">
        <f t="shared" si="2"/>
        <v>1758.6807528485745</v>
      </c>
      <c r="G147" s="69" t="s">
        <v>322</v>
      </c>
      <c r="H147" s="1">
        <f>INDEX(Data_base_case!$D$8:$FS$124,MATCH(Scenarios_definition!C147,Data_base_case!$D$8:$D$124,0),MATCH(Scenarios_definition!D147&amp;Scenarios_definition!G147,Data_base_case!$D$7:$FS$7,0))</f>
        <v>1758.6807528485745</v>
      </c>
    </row>
    <row r="148" spans="1:8" x14ac:dyDescent="0.3">
      <c r="B148" t="s">
        <v>537</v>
      </c>
      <c r="C148" s="11" t="s">
        <v>164</v>
      </c>
      <c r="D148" s="1" t="s">
        <v>184</v>
      </c>
      <c r="E148" s="11" t="s">
        <v>133</v>
      </c>
      <c r="F148" s="1">
        <f t="shared" si="2"/>
        <v>14.599060000000001</v>
      </c>
      <c r="G148" s="69" t="s">
        <v>322</v>
      </c>
      <c r="H148" s="1">
        <f>INDEX(Data_base_case!$D$8:$FS$124,MATCH(Scenarios_definition!C148,Data_base_case!$D$8:$D$124,0),MATCH(Scenarios_definition!D148&amp;Scenarios_definition!G148,Data_base_case!$D$7:$FS$7,0))</f>
        <v>14.599060000000001</v>
      </c>
    </row>
    <row r="149" spans="1:8" x14ac:dyDescent="0.3">
      <c r="B149" t="s">
        <v>537</v>
      </c>
      <c r="C149" s="11" t="s">
        <v>164</v>
      </c>
      <c r="D149" s="1" t="s">
        <v>185</v>
      </c>
      <c r="E149" s="11" t="s">
        <v>133</v>
      </c>
      <c r="F149" s="1">
        <f t="shared" si="2"/>
        <v>1.5641850000000001E-3</v>
      </c>
      <c r="G149" s="69" t="s">
        <v>322</v>
      </c>
      <c r="H149" s="1">
        <f>INDEX(Data_base_case!$D$8:$FS$124,MATCH(Scenarios_definition!C149,Data_base_case!$D$8:$D$124,0),MATCH(Scenarios_definition!D149&amp;Scenarios_definition!G149,Data_base_case!$D$7:$FS$7,0))</f>
        <v>1.5641850000000001E-3</v>
      </c>
    </row>
    <row r="150" spans="1:8" x14ac:dyDescent="0.3">
      <c r="B150" t="s">
        <v>537</v>
      </c>
      <c r="C150" s="11" t="s">
        <v>54</v>
      </c>
      <c r="D150" s="1" t="s">
        <v>183</v>
      </c>
      <c r="E150" s="11" t="s">
        <v>133</v>
      </c>
      <c r="F150" s="1">
        <f t="shared" si="2"/>
        <v>2188.7934195531479</v>
      </c>
      <c r="G150" s="69" t="s">
        <v>322</v>
      </c>
      <c r="H150" s="1">
        <f>INDEX(Data_base_case!$D$8:$FS$124,MATCH(Scenarios_definition!C150,Data_base_case!$D$8:$D$124,0),MATCH(Scenarios_definition!D150&amp;Scenarios_definition!G150,Data_base_case!$D$7:$FS$7,0))</f>
        <v>2188.7934195531479</v>
      </c>
    </row>
    <row r="151" spans="1:8" x14ac:dyDescent="0.3">
      <c r="B151" t="s">
        <v>537</v>
      </c>
      <c r="C151" s="11" t="s">
        <v>54</v>
      </c>
      <c r="D151" s="1" t="s">
        <v>184</v>
      </c>
      <c r="E151" s="11" t="s">
        <v>133</v>
      </c>
      <c r="F151" s="1">
        <f t="shared" si="2"/>
        <v>14.599060000000001</v>
      </c>
      <c r="G151" s="69" t="s">
        <v>322</v>
      </c>
      <c r="H151" s="1">
        <f>INDEX(Data_base_case!$D$8:$FS$124,MATCH(Scenarios_definition!C151,Data_base_case!$D$8:$D$124,0),MATCH(Scenarios_definition!D151&amp;Scenarios_definition!G151,Data_base_case!$D$7:$FS$7,0))</f>
        <v>14.599060000000001</v>
      </c>
    </row>
    <row r="152" spans="1:8" x14ac:dyDescent="0.3">
      <c r="B152" t="s">
        <v>537</v>
      </c>
      <c r="C152" s="11" t="s">
        <v>54</v>
      </c>
      <c r="D152" s="1" t="s">
        <v>185</v>
      </c>
      <c r="E152" s="11" t="s">
        <v>133</v>
      </c>
      <c r="F152" s="1">
        <f t="shared" si="2"/>
        <v>1.5641850000000001E-3</v>
      </c>
      <c r="G152" s="69" t="s">
        <v>322</v>
      </c>
      <c r="H152" s="1">
        <f>INDEX(Data_base_case!$D$8:$FS$124,MATCH(Scenarios_definition!C152,Data_base_case!$D$8:$D$124,0),MATCH(Scenarios_definition!D152&amp;Scenarios_definition!G152,Data_base_case!$D$7:$FS$7,0))</f>
        <v>1.5641850000000001E-3</v>
      </c>
    </row>
    <row r="153" spans="1:8" x14ac:dyDescent="0.3">
      <c r="A153" s="1" t="s">
        <v>432</v>
      </c>
      <c r="B153" t="s">
        <v>538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69" t="s">
        <v>325</v>
      </c>
      <c r="H153" s="1">
        <f>INDEX(Data_base_case!$D$8:$FS$124,MATCH(Scenarios_definition!C153,Data_base_case!$D$8:$D$124,0),MATCH(Scenarios_definition!D153&amp;Scenarios_definition!G153,Data_base_case!$D$7:$FS$7,0))</f>
        <v>375.40440000000001</v>
      </c>
    </row>
    <row r="154" spans="1:8" x14ac:dyDescent="0.3">
      <c r="B154" t="s">
        <v>538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69" t="s">
        <v>325</v>
      </c>
      <c r="H154" s="1">
        <f>INDEX(Data_base_case!$D$8:$FS$124,MATCH(Scenarios_definition!C154,Data_base_case!$D$8:$D$124,0),MATCH(Scenarios_definition!D154&amp;Scenarios_definition!G154,Data_base_case!$D$7:$FS$7,0))</f>
        <v>8.1337620000000008</v>
      </c>
    </row>
    <row r="155" spans="1:8" x14ac:dyDescent="0.3">
      <c r="B155" t="s">
        <v>538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69" t="s">
        <v>325</v>
      </c>
      <c r="H155" s="1">
        <f>INDEX(Data_base_case!$D$8:$FS$124,MATCH(Scenarios_definition!C155,Data_base_case!$D$8:$D$124,0),MATCH(Scenarios_definition!D155&amp;Scenarios_definition!G155,Data_base_case!$D$7:$FS$7,0))</f>
        <v>0</v>
      </c>
    </row>
    <row r="156" spans="1:8" x14ac:dyDescent="0.3">
      <c r="B156" t="s">
        <v>538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69" t="s">
        <v>325</v>
      </c>
      <c r="H156" s="1">
        <f>INDEX(Data_base_case!$D$8:$FS$124,MATCH(Scenarios_definition!C156,Data_base_case!$D$8:$D$124,0),MATCH(Scenarios_definition!D156&amp;Scenarios_definition!G156,Data_base_case!$D$7:$FS$7,0))</f>
        <v>1507.4406452987776</v>
      </c>
    </row>
    <row r="157" spans="1:8" x14ac:dyDescent="0.3">
      <c r="B157" t="s">
        <v>538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69" t="s">
        <v>325</v>
      </c>
      <c r="H157" s="1">
        <f>INDEX(Data_base_case!$D$8:$FS$124,MATCH(Scenarios_definition!C157,Data_base_case!$D$8:$D$124,0),MATCH(Scenarios_definition!D157&amp;Scenarios_definition!G157,Data_base_case!$D$7:$FS$7,0))</f>
        <v>11.8252386</v>
      </c>
    </row>
    <row r="158" spans="1:8" x14ac:dyDescent="0.3">
      <c r="B158" t="s">
        <v>538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69" t="s">
        <v>325</v>
      </c>
      <c r="H158" s="1">
        <f>INDEX(Data_base_case!$D$8:$FS$124,MATCH(Scenarios_definition!C158,Data_base_case!$D$8:$D$124,0),MATCH(Scenarios_definition!D158&amp;Scenarios_definition!G158,Data_base_case!$D$7:$FS$7,0))</f>
        <v>1.2722038E-3</v>
      </c>
    </row>
    <row r="159" spans="1:8" x14ac:dyDescent="0.3">
      <c r="B159" t="s">
        <v>538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69" t="s">
        <v>325</v>
      </c>
      <c r="H159" s="1">
        <f>INDEX(Data_base_case!$D$8:$FS$124,MATCH(Scenarios_definition!C159,Data_base_case!$D$8:$D$124,0),MATCH(Scenarios_definition!D159&amp;Scenarios_definition!G159,Data_base_case!$D$7:$FS$7,0))</f>
        <v>1876.1086453312696</v>
      </c>
    </row>
    <row r="160" spans="1:8" x14ac:dyDescent="0.3">
      <c r="B160" t="s">
        <v>538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69" t="s">
        <v>325</v>
      </c>
      <c r="H160" s="1">
        <f>INDEX(Data_base_case!$D$8:$FS$124,MATCH(Scenarios_definition!C160,Data_base_case!$D$8:$D$124,0),MATCH(Scenarios_definition!D160&amp;Scenarios_definition!G160,Data_base_case!$D$7:$FS$7,0))</f>
        <v>11.8252386</v>
      </c>
    </row>
    <row r="161" spans="1:8" x14ac:dyDescent="0.3">
      <c r="B161" t="s">
        <v>538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69" t="s">
        <v>325</v>
      </c>
      <c r="H161" s="1">
        <f>INDEX(Data_base_case!$D$8:$FS$124,MATCH(Scenarios_definition!C161,Data_base_case!$D$8:$D$124,0),MATCH(Scenarios_definition!D161&amp;Scenarios_definition!G161,Data_base_case!$D$7:$FS$7,0))</f>
        <v>1.2722038E-3</v>
      </c>
    </row>
    <row r="162" spans="1:8" x14ac:dyDescent="0.3">
      <c r="A162" s="1" t="s">
        <v>433</v>
      </c>
      <c r="B162" t="s">
        <v>539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69" t="s">
        <v>325</v>
      </c>
      <c r="H162" s="1">
        <f>INDEX(Data_base_case!$D$8:$FS$124,MATCH(Scenarios_definition!C162,Data_base_case!$D$8:$D$124,0),MATCH(Scenarios_definition!D162&amp;Scenarios_definition!G162,Data_base_case!$D$7:$FS$7,0))</f>
        <v>375.40440000000001</v>
      </c>
    </row>
    <row r="163" spans="1:8" x14ac:dyDescent="0.3">
      <c r="B163" t="s">
        <v>539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69" t="s">
        <v>325</v>
      </c>
      <c r="H163" s="1">
        <f>INDEX(Data_base_case!$D$8:$FS$124,MATCH(Scenarios_definition!C163,Data_base_case!$D$8:$D$124,0),MATCH(Scenarios_definition!D163&amp;Scenarios_definition!G163,Data_base_case!$D$7:$FS$7,0))</f>
        <v>8.1337620000000008</v>
      </c>
    </row>
    <row r="164" spans="1:8" x14ac:dyDescent="0.3">
      <c r="B164" t="s">
        <v>539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69" t="s">
        <v>325</v>
      </c>
      <c r="H164" s="1">
        <f>INDEX(Data_base_case!$D$8:$FS$124,MATCH(Scenarios_definition!C164,Data_base_case!$D$8:$D$124,0),MATCH(Scenarios_definition!D164&amp;Scenarios_definition!G164,Data_base_case!$D$7:$FS$7,0))</f>
        <v>0</v>
      </c>
    </row>
    <row r="165" spans="1:8" x14ac:dyDescent="0.3">
      <c r="B165" t="s">
        <v>539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69" t="s">
        <v>325</v>
      </c>
      <c r="H165" s="1">
        <f>INDEX(Data_base_case!$D$8:$FS$124,MATCH(Scenarios_definition!C165,Data_base_case!$D$8:$D$124,0),MATCH(Scenarios_definition!D165&amp;Scenarios_definition!G165,Data_base_case!$D$7:$FS$7,0))</f>
        <v>1507.4406452987776</v>
      </c>
    </row>
    <row r="166" spans="1:8" x14ac:dyDescent="0.3">
      <c r="B166" t="s">
        <v>539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69" t="s">
        <v>325</v>
      </c>
      <c r="H166" s="1">
        <f>INDEX(Data_base_case!$D$8:$FS$124,MATCH(Scenarios_definition!C166,Data_base_case!$D$8:$D$124,0),MATCH(Scenarios_definition!D166&amp;Scenarios_definition!G166,Data_base_case!$D$7:$FS$7,0))</f>
        <v>11.8252386</v>
      </c>
    </row>
    <row r="167" spans="1:8" x14ac:dyDescent="0.3">
      <c r="B167" t="s">
        <v>539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69" t="s">
        <v>325</v>
      </c>
      <c r="H167" s="1">
        <f>INDEX(Data_base_case!$D$8:$FS$124,MATCH(Scenarios_definition!C167,Data_base_case!$D$8:$D$124,0),MATCH(Scenarios_definition!D167&amp;Scenarios_definition!G167,Data_base_case!$D$7:$FS$7,0))</f>
        <v>1.2722038E-3</v>
      </c>
    </row>
    <row r="168" spans="1:8" x14ac:dyDescent="0.3">
      <c r="B168" t="s">
        <v>539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69" t="s">
        <v>325</v>
      </c>
      <c r="H168" s="1">
        <f>INDEX(Data_base_case!$D$8:$FS$124,MATCH(Scenarios_definition!C168,Data_base_case!$D$8:$D$124,0),MATCH(Scenarios_definition!D168&amp;Scenarios_definition!G168,Data_base_case!$D$7:$FS$7,0))</f>
        <v>1876.1086453312696</v>
      </c>
    </row>
    <row r="169" spans="1:8" x14ac:dyDescent="0.3">
      <c r="B169" t="s">
        <v>539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69" t="s">
        <v>325</v>
      </c>
      <c r="H169" s="1">
        <f>INDEX(Data_base_case!$D$8:$FS$124,MATCH(Scenarios_definition!C169,Data_base_case!$D$8:$D$124,0),MATCH(Scenarios_definition!D169&amp;Scenarios_definition!G169,Data_base_case!$D$7:$FS$7,0))</f>
        <v>11.8252386</v>
      </c>
    </row>
    <row r="170" spans="1:8" x14ac:dyDescent="0.3">
      <c r="B170" t="s">
        <v>539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69" t="s">
        <v>325</v>
      </c>
      <c r="H170" s="1">
        <f>INDEX(Data_base_case!$D$8:$FS$124,MATCH(Scenarios_definition!C170,Data_base_case!$D$8:$D$124,0),MATCH(Scenarios_definition!D170&amp;Scenarios_definition!G170,Data_base_case!$D$7:$FS$7,0))</f>
        <v>1.2722038E-3</v>
      </c>
    </row>
    <row r="171" spans="1:8" x14ac:dyDescent="0.3">
      <c r="A171" s="1" t="s">
        <v>434</v>
      </c>
      <c r="B171" t="s">
        <v>540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69" t="s">
        <v>325</v>
      </c>
      <c r="H171" s="1">
        <f>INDEX(Data_base_case!$D$8:$FS$124,MATCH(Scenarios_definition!C171,Data_base_case!$D$8:$D$124,0),MATCH(Scenarios_definition!D171&amp;Scenarios_definition!G171,Data_base_case!$D$7:$FS$7,0))</f>
        <v>375.40440000000001</v>
      </c>
    </row>
    <row r="172" spans="1:8" x14ac:dyDescent="0.3">
      <c r="B172" t="s">
        <v>540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69" t="s">
        <v>325</v>
      </c>
      <c r="H172" s="1">
        <f>INDEX(Data_base_case!$D$8:$FS$124,MATCH(Scenarios_definition!C172,Data_base_case!$D$8:$D$124,0),MATCH(Scenarios_definition!D172&amp;Scenarios_definition!G172,Data_base_case!$D$7:$FS$7,0))</f>
        <v>8.1337620000000008</v>
      </c>
    </row>
    <row r="173" spans="1:8" x14ac:dyDescent="0.3">
      <c r="B173" t="s">
        <v>540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69" t="s">
        <v>325</v>
      </c>
      <c r="H173" s="1">
        <f>INDEX(Data_base_case!$D$8:$FS$124,MATCH(Scenarios_definition!C173,Data_base_case!$D$8:$D$124,0),MATCH(Scenarios_definition!D173&amp;Scenarios_definition!G173,Data_base_case!$D$7:$FS$7,0))</f>
        <v>0</v>
      </c>
    </row>
    <row r="174" spans="1:8" x14ac:dyDescent="0.3">
      <c r="B174" t="s">
        <v>540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69" t="s">
        <v>325</v>
      </c>
      <c r="H174" s="1">
        <f>INDEX(Data_base_case!$D$8:$FS$124,MATCH(Scenarios_definition!C174,Data_base_case!$D$8:$D$124,0),MATCH(Scenarios_definition!D174&amp;Scenarios_definition!G174,Data_base_case!$D$7:$FS$7,0))</f>
        <v>1507.4406452987776</v>
      </c>
    </row>
    <row r="175" spans="1:8" x14ac:dyDescent="0.3">
      <c r="B175" t="s">
        <v>540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69" t="s">
        <v>325</v>
      </c>
      <c r="H175" s="1">
        <f>INDEX(Data_base_case!$D$8:$FS$124,MATCH(Scenarios_definition!C175,Data_base_case!$D$8:$D$124,0),MATCH(Scenarios_definition!D175&amp;Scenarios_definition!G175,Data_base_case!$D$7:$FS$7,0))</f>
        <v>11.8252386</v>
      </c>
    </row>
    <row r="176" spans="1:8" x14ac:dyDescent="0.3">
      <c r="B176" t="s">
        <v>540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69" t="s">
        <v>325</v>
      </c>
      <c r="H176" s="1">
        <f>INDEX(Data_base_case!$D$8:$FS$124,MATCH(Scenarios_definition!C176,Data_base_case!$D$8:$D$124,0),MATCH(Scenarios_definition!D176&amp;Scenarios_definition!G176,Data_base_case!$D$7:$FS$7,0))</f>
        <v>1.2722038E-3</v>
      </c>
    </row>
    <row r="177" spans="1:8" x14ac:dyDescent="0.3">
      <c r="B177" t="s">
        <v>540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69" t="s">
        <v>325</v>
      </c>
      <c r="H177" s="1">
        <f>INDEX(Data_base_case!$D$8:$FS$124,MATCH(Scenarios_definition!C177,Data_base_case!$D$8:$D$124,0),MATCH(Scenarios_definition!D177&amp;Scenarios_definition!G177,Data_base_case!$D$7:$FS$7,0))</f>
        <v>1876.1086453312696</v>
      </c>
    </row>
    <row r="178" spans="1:8" x14ac:dyDescent="0.3">
      <c r="B178" t="s">
        <v>540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69" t="s">
        <v>325</v>
      </c>
      <c r="H178" s="1">
        <f>INDEX(Data_base_case!$D$8:$FS$124,MATCH(Scenarios_definition!C178,Data_base_case!$D$8:$D$124,0),MATCH(Scenarios_definition!D178&amp;Scenarios_definition!G178,Data_base_case!$D$7:$FS$7,0))</f>
        <v>11.8252386</v>
      </c>
    </row>
    <row r="179" spans="1:8" x14ac:dyDescent="0.3">
      <c r="B179" t="s">
        <v>540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69" t="s">
        <v>325</v>
      </c>
      <c r="H179" s="1">
        <f>INDEX(Data_base_case!$D$8:$FS$124,MATCH(Scenarios_definition!C179,Data_base_case!$D$8:$D$124,0),MATCH(Scenarios_definition!D179&amp;Scenarios_definition!G179,Data_base_case!$D$7:$FS$7,0))</f>
        <v>1.2722038E-3</v>
      </c>
    </row>
    <row r="180" spans="1:8" s="80" customFormat="1" x14ac:dyDescent="0.3">
      <c r="A180" s="80" t="s">
        <v>578</v>
      </c>
      <c r="B180" s="97" t="s">
        <v>590</v>
      </c>
      <c r="C180" s="81" t="s">
        <v>546</v>
      </c>
      <c r="D180" s="80" t="s">
        <v>187</v>
      </c>
      <c r="E180" s="82" t="s">
        <v>133</v>
      </c>
      <c r="F180" s="80">
        <f t="shared" ref="F180:F187" si="4">H180</f>
        <v>0.35699999999999998</v>
      </c>
      <c r="G180" s="83" t="s">
        <v>323</v>
      </c>
      <c r="H180" s="80">
        <f>INDEX(Data_base_case!$D$8:$FS$124,MATCH(Scenarios_definition!C180,Data_base_case!$D$8:$D$124,0),MATCH(Scenarios_definition!D180&amp;Scenarios_definition!G180,Data_base_case!$D$7:$FS$7,0))</f>
        <v>0.35699999999999998</v>
      </c>
    </row>
    <row r="181" spans="1:8" x14ac:dyDescent="0.3">
      <c r="A181" s="80" t="s">
        <v>578</v>
      </c>
      <c r="B181" s="89" t="s">
        <v>589</v>
      </c>
      <c r="C181" s="13" t="s">
        <v>546</v>
      </c>
      <c r="D181" s="1" t="s">
        <v>187</v>
      </c>
      <c r="E181" s="11" t="s">
        <v>133</v>
      </c>
      <c r="F181" s="1">
        <f t="shared" si="4"/>
        <v>0.35699999999999998</v>
      </c>
      <c r="G181" s="69" t="s">
        <v>323</v>
      </c>
      <c r="H181" s="1">
        <f>INDEX(Data_base_case!$D$8:$FS$124,MATCH(Scenarios_definition!C181,Data_base_case!$D$8:$D$124,0),MATCH(Scenarios_definition!D181&amp;Scenarios_definition!G181,Data_base_case!$D$7:$FS$7,0))</f>
        <v>0.35699999999999998</v>
      </c>
    </row>
    <row r="182" spans="1:8" x14ac:dyDescent="0.3">
      <c r="A182" s="80" t="s">
        <v>578</v>
      </c>
      <c r="B182" s="89" t="s">
        <v>592</v>
      </c>
      <c r="C182" s="13" t="s">
        <v>546</v>
      </c>
      <c r="D182" s="1" t="s">
        <v>187</v>
      </c>
      <c r="E182" s="11" t="s">
        <v>133</v>
      </c>
      <c r="F182" s="1">
        <f t="shared" si="4"/>
        <v>0.503</v>
      </c>
      <c r="G182" s="69" t="s">
        <v>285</v>
      </c>
      <c r="H182" s="1">
        <f>INDEX(Data_base_case!$D$8:$FS$124,MATCH(Scenarios_definition!C182,Data_base_case!$D$8:$D$124,0),MATCH(Scenarios_definition!D182&amp;Scenarios_definition!G182,Data_base_case!$D$7:$FS$7,0))</f>
        <v>0.503</v>
      </c>
    </row>
    <row r="183" spans="1:8" x14ac:dyDescent="0.3">
      <c r="A183" s="80" t="s">
        <v>578</v>
      </c>
      <c r="B183" s="89" t="s">
        <v>593</v>
      </c>
      <c r="C183" s="13" t="s">
        <v>546</v>
      </c>
      <c r="D183" s="1" t="s">
        <v>79</v>
      </c>
      <c r="E183" s="11" t="s">
        <v>133</v>
      </c>
      <c r="F183" s="1">
        <v>1.08</v>
      </c>
      <c r="G183" s="69" t="s">
        <v>319</v>
      </c>
      <c r="H183" s="1">
        <f>INDEX(Data_base_case!$D$8:$FS$124,MATCH(Scenarios_definition!C183,Data_base_case!$D$8:$D$124,0),MATCH(Scenarios_definition!D183&amp;Scenarios_definition!G183,Data_base_case!$D$7:$FS$7,0))</f>
        <v>1.256830601092896</v>
      </c>
    </row>
    <row r="184" spans="1:8" x14ac:dyDescent="0.3">
      <c r="A184" s="1" t="s">
        <v>577</v>
      </c>
      <c r="B184" s="89" t="s">
        <v>585</v>
      </c>
      <c r="C184" s="13" t="s">
        <v>548</v>
      </c>
      <c r="D184" s="1" t="s">
        <v>187</v>
      </c>
      <c r="E184" s="11" t="s">
        <v>133</v>
      </c>
      <c r="F184" s="1">
        <f>H184</f>
        <v>0.35699999999999998</v>
      </c>
      <c r="G184" s="69" t="s">
        <v>323</v>
      </c>
      <c r="H184" s="1">
        <f>INDEX(Data_base_case!$D$8:$FS$124,MATCH(Scenarios_definition!C184,Data_base_case!$D$8:$D$124,0),MATCH(Scenarios_definition!D184&amp;Scenarios_definition!G184,Data_base_case!$D$7:$FS$7,0))</f>
        <v>0.35699999999999998</v>
      </c>
    </row>
    <row r="185" spans="1:8" x14ac:dyDescent="0.3">
      <c r="A185" s="1" t="s">
        <v>577</v>
      </c>
      <c r="B185" s="89" t="s">
        <v>583</v>
      </c>
      <c r="C185" s="13" t="s">
        <v>548</v>
      </c>
      <c r="D185" s="1" t="s">
        <v>187</v>
      </c>
      <c r="E185" s="11" t="s">
        <v>133</v>
      </c>
      <c r="F185" s="1">
        <f t="shared" si="4"/>
        <v>0.503</v>
      </c>
      <c r="G185" s="69" t="s">
        <v>285</v>
      </c>
      <c r="H185" s="1">
        <f>INDEX(Data_base_case!$D$8:$FS$124,MATCH(Scenarios_definition!C185,Data_base_case!$D$8:$D$124,0),MATCH(Scenarios_definition!D185&amp;Scenarios_definition!G185,Data_base_case!$D$7:$FS$7,0))</f>
        <v>0.503</v>
      </c>
    </row>
    <row r="186" spans="1:8" x14ac:dyDescent="0.3">
      <c r="A186" s="1" t="s">
        <v>577</v>
      </c>
      <c r="B186" s="89" t="s">
        <v>584</v>
      </c>
      <c r="C186" s="13" t="s">
        <v>544</v>
      </c>
      <c r="D186" s="1" t="s">
        <v>79</v>
      </c>
      <c r="E186" s="11" t="s">
        <v>133</v>
      </c>
      <c r="F186" s="1">
        <f t="shared" si="4"/>
        <v>0.56999999999999995</v>
      </c>
      <c r="G186" s="69" t="s">
        <v>319</v>
      </c>
      <c r="H186" s="1">
        <f>INDEX(Data_base_case!$D$8:$FS$124,MATCH(Scenarios_definition!C186,Data_base_case!$D$8:$D$124,0),MATCH(Scenarios_definition!D186&amp;Scenarios_definition!G186,Data_base_case!$D$7:$FS$7,0))</f>
        <v>0.56999999999999995</v>
      </c>
    </row>
    <row r="187" spans="1:8" x14ac:dyDescent="0.3">
      <c r="A187" s="1" t="s">
        <v>577</v>
      </c>
      <c r="B187" s="89" t="s">
        <v>584</v>
      </c>
      <c r="C187" s="13" t="s">
        <v>548</v>
      </c>
      <c r="D187" s="1" t="s">
        <v>187</v>
      </c>
      <c r="E187" s="11" t="s">
        <v>133</v>
      </c>
      <c r="F187" s="1">
        <f t="shared" si="4"/>
        <v>0.27700000000000002</v>
      </c>
      <c r="G187" s="69" t="s">
        <v>319</v>
      </c>
      <c r="H187" s="1">
        <f>INDEX(Data_base_case!$D$8:$FS$124,MATCH(Scenarios_definition!C187,Data_base_case!$D$8:$D$124,0),MATCH(Scenarios_definition!D187&amp;Scenarios_definition!G187,Data_base_case!$D$7:$FS$7,0))</f>
        <v>0.27700000000000002</v>
      </c>
    </row>
    <row r="188" spans="1:8" x14ac:dyDescent="0.3">
      <c r="A188" s="1" t="s">
        <v>579</v>
      </c>
      <c r="B188" s="89" t="s">
        <v>559</v>
      </c>
      <c r="C188" s="11" t="s">
        <v>43</v>
      </c>
      <c r="D188" s="85" t="s">
        <v>131</v>
      </c>
      <c r="E188" s="11" t="s">
        <v>133</v>
      </c>
      <c r="F188" s="1">
        <v>1</v>
      </c>
      <c r="G188" s="1" t="s">
        <v>133</v>
      </c>
      <c r="H188" s="1">
        <f>INDEX(Data_base_case!$D$8:$FS$124,MATCH(Scenarios_definition!C188,Data_base_case!$D$8:$D$124,0),MATCH(Scenarios_definition!D188&amp;Scenarios_definition!G188,Data_base_case!$D$7:$FS$7,0))</f>
        <v>0</v>
      </c>
    </row>
    <row r="189" spans="1:8" x14ac:dyDescent="0.3">
      <c r="B189" s="89" t="s">
        <v>559</v>
      </c>
      <c r="C189" s="13" t="s">
        <v>47</v>
      </c>
      <c r="D189" s="85" t="s">
        <v>131</v>
      </c>
      <c r="E189" s="11" t="s">
        <v>133</v>
      </c>
      <c r="F189" s="1">
        <v>1</v>
      </c>
      <c r="G189" s="1" t="s">
        <v>133</v>
      </c>
      <c r="H189" s="1">
        <f>INDEX(Data_base_case!$D$8:$FS$124,MATCH(Scenarios_definition!C189,Data_base_case!$D$8:$D$124,0),MATCH(Scenarios_definition!D189&amp;Scenarios_definition!G189,Data_base_case!$D$7:$FS$7,0))</f>
        <v>1</v>
      </c>
    </row>
    <row r="190" spans="1:8" x14ac:dyDescent="0.3">
      <c r="B190" s="89" t="s">
        <v>559</v>
      </c>
      <c r="C190" s="13" t="s">
        <v>49</v>
      </c>
      <c r="D190" s="85" t="s">
        <v>131</v>
      </c>
      <c r="E190" s="11" t="s">
        <v>133</v>
      </c>
      <c r="F190" s="1">
        <v>1</v>
      </c>
      <c r="G190" s="1" t="s">
        <v>133</v>
      </c>
      <c r="H190" s="1">
        <f>INDEX(Data_base_case!$D$8:$FS$124,MATCH(Scenarios_definition!C190,Data_base_case!$D$8:$D$124,0),MATCH(Scenarios_definition!D190&amp;Scenarios_definition!G190,Data_base_case!$D$7:$FS$7,0))</f>
        <v>1</v>
      </c>
    </row>
    <row r="191" spans="1:8" x14ac:dyDescent="0.3">
      <c r="B191" s="89" t="s">
        <v>559</v>
      </c>
      <c r="C191" s="13" t="s">
        <v>164</v>
      </c>
      <c r="D191" s="85" t="s">
        <v>131</v>
      </c>
      <c r="E191" s="11" t="s">
        <v>133</v>
      </c>
      <c r="F191" s="1">
        <v>1</v>
      </c>
      <c r="G191" s="1" t="s">
        <v>133</v>
      </c>
      <c r="H191" s="1">
        <f>INDEX(Data_base_case!$D$8:$FS$124,MATCH(Scenarios_definition!C191,Data_base_case!$D$8:$D$124,0),MATCH(Scenarios_definition!D191&amp;Scenarios_definition!G191,Data_base_case!$D$7:$FS$7,0))</f>
        <v>1</v>
      </c>
    </row>
    <row r="192" spans="1:8" x14ac:dyDescent="0.3">
      <c r="B192" s="89" t="s">
        <v>559</v>
      </c>
      <c r="C192" s="13" t="s">
        <v>54</v>
      </c>
      <c r="D192" s="85" t="s">
        <v>131</v>
      </c>
      <c r="E192" s="11" t="s">
        <v>133</v>
      </c>
      <c r="F192" s="1">
        <v>1</v>
      </c>
      <c r="G192" s="1" t="s">
        <v>133</v>
      </c>
      <c r="H192" s="1">
        <f>INDEX(Data_base_case!$D$8:$FS$124,MATCH(Scenarios_definition!C192,Data_base_case!$D$8:$D$124,0),MATCH(Scenarios_definition!D192&amp;Scenarios_definition!G192,Data_base_case!$D$7:$FS$7,0))</f>
        <v>1</v>
      </c>
    </row>
    <row r="193" spans="1:8" x14ac:dyDescent="0.3">
      <c r="B193" s="89" t="s">
        <v>559</v>
      </c>
      <c r="C193" s="13" t="s">
        <v>56</v>
      </c>
      <c r="D193" s="85" t="s">
        <v>131</v>
      </c>
      <c r="E193" s="11" t="s">
        <v>133</v>
      </c>
      <c r="F193" s="1">
        <v>1</v>
      </c>
      <c r="G193" s="1" t="s">
        <v>133</v>
      </c>
      <c r="H193" s="1">
        <f>INDEX(Data_base_case!$D$8:$FS$124,MATCH(Scenarios_definition!C193,Data_base_case!$D$8:$D$124,0),MATCH(Scenarios_definition!D193&amp;Scenarios_definition!G193,Data_base_case!$D$7:$FS$7,0))</f>
        <v>1</v>
      </c>
    </row>
    <row r="194" spans="1:8" x14ac:dyDescent="0.3">
      <c r="B194" s="89" t="s">
        <v>559</v>
      </c>
      <c r="C194" s="13" t="s">
        <v>58</v>
      </c>
      <c r="D194" s="85" t="s">
        <v>131</v>
      </c>
      <c r="E194" s="11" t="s">
        <v>133</v>
      </c>
      <c r="F194" s="1">
        <v>1</v>
      </c>
      <c r="G194" s="1" t="s">
        <v>133</v>
      </c>
      <c r="H194" s="1">
        <f>INDEX(Data_base_case!$D$8:$FS$124,MATCH(Scenarios_definition!C194,Data_base_case!$D$8:$D$124,0),MATCH(Scenarios_definition!D194&amp;Scenarios_definition!G194,Data_base_case!$D$7:$FS$7,0))</f>
        <v>1</v>
      </c>
    </row>
    <row r="195" spans="1:8" x14ac:dyDescent="0.3">
      <c r="B195" s="89" t="s">
        <v>559</v>
      </c>
      <c r="C195" s="13" t="s">
        <v>60</v>
      </c>
      <c r="D195" s="85" t="s">
        <v>131</v>
      </c>
      <c r="E195" s="11" t="s">
        <v>133</v>
      </c>
      <c r="F195" s="1">
        <v>1</v>
      </c>
      <c r="G195" s="1" t="s">
        <v>133</v>
      </c>
      <c r="H195" s="1">
        <f>INDEX(Data_base_case!$D$8:$FS$124,MATCH(Scenarios_definition!C195,Data_base_case!$D$8:$D$124,0),MATCH(Scenarios_definition!D195&amp;Scenarios_definition!G195,Data_base_case!$D$7:$FS$7,0))</f>
        <v>1</v>
      </c>
    </row>
    <row r="196" spans="1:8" x14ac:dyDescent="0.3">
      <c r="B196" s="89" t="s">
        <v>559</v>
      </c>
      <c r="C196" s="13" t="s">
        <v>62</v>
      </c>
      <c r="D196" s="85" t="s">
        <v>131</v>
      </c>
      <c r="E196" s="11" t="s">
        <v>133</v>
      </c>
      <c r="F196" s="1">
        <v>1</v>
      </c>
      <c r="G196" s="1" t="s">
        <v>133</v>
      </c>
      <c r="H196" s="1">
        <f>INDEX(Data_base_case!$D$8:$FS$124,MATCH(Scenarios_definition!C196,Data_base_case!$D$8:$D$124,0),MATCH(Scenarios_definition!D196&amp;Scenarios_definition!G196,Data_base_case!$D$7:$FS$7,0))</f>
        <v>1</v>
      </c>
    </row>
    <row r="197" spans="1:8" x14ac:dyDescent="0.3">
      <c r="B197" s="89" t="s">
        <v>559</v>
      </c>
      <c r="C197" s="13" t="s">
        <v>64</v>
      </c>
      <c r="D197" s="85" t="s">
        <v>131</v>
      </c>
      <c r="E197" s="11" t="s">
        <v>133</v>
      </c>
      <c r="F197" s="1">
        <v>1</v>
      </c>
      <c r="G197" s="1" t="s">
        <v>133</v>
      </c>
      <c r="H197" s="1">
        <f>INDEX(Data_base_case!$D$8:$FS$124,MATCH(Scenarios_definition!C197,Data_base_case!$D$8:$D$124,0),MATCH(Scenarios_definition!D197&amp;Scenarios_definition!G197,Data_base_case!$D$7:$FS$7,0))</f>
        <v>1</v>
      </c>
    </row>
    <row r="198" spans="1:8" x14ac:dyDescent="0.3">
      <c r="B198" s="89" t="s">
        <v>559</v>
      </c>
      <c r="C198" s="13" t="s">
        <v>66</v>
      </c>
      <c r="D198" s="85" t="s">
        <v>131</v>
      </c>
      <c r="E198" s="11" t="s">
        <v>133</v>
      </c>
      <c r="F198" s="1">
        <v>1</v>
      </c>
      <c r="G198" s="1" t="s">
        <v>133</v>
      </c>
      <c r="H198" s="1">
        <f>INDEX(Data_base_case!$D$8:$FS$124,MATCH(Scenarios_definition!C198,Data_base_case!$D$8:$D$124,0),MATCH(Scenarios_definition!D198&amp;Scenarios_definition!G198,Data_base_case!$D$7:$FS$7,0))</f>
        <v>1</v>
      </c>
    </row>
    <row r="199" spans="1:8" x14ac:dyDescent="0.3">
      <c r="B199" s="89" t="s">
        <v>559</v>
      </c>
      <c r="C199" s="13" t="s">
        <v>68</v>
      </c>
      <c r="D199" s="85" t="s">
        <v>131</v>
      </c>
      <c r="E199" s="11" t="s">
        <v>133</v>
      </c>
      <c r="F199" s="1">
        <v>1</v>
      </c>
      <c r="G199" s="1" t="s">
        <v>133</v>
      </c>
      <c r="H199" s="1">
        <f>INDEX(Data_base_case!$D$8:$FS$124,MATCH(Scenarios_definition!C199,Data_base_case!$D$8:$D$124,0),MATCH(Scenarios_definition!D199&amp;Scenarios_definition!G199,Data_base_case!$D$7:$FS$7,0))</f>
        <v>1</v>
      </c>
    </row>
    <row r="200" spans="1:8" x14ac:dyDescent="0.3">
      <c r="B200" s="89" t="s">
        <v>559</v>
      </c>
      <c r="C200" s="13" t="s">
        <v>70</v>
      </c>
      <c r="D200" s="85" t="s">
        <v>131</v>
      </c>
      <c r="E200" s="11" t="s">
        <v>133</v>
      </c>
      <c r="F200" s="1">
        <v>1</v>
      </c>
      <c r="G200" s="1" t="s">
        <v>133</v>
      </c>
      <c r="H200" s="1">
        <f>INDEX(Data_base_case!$D$8:$FS$124,MATCH(Scenarios_definition!C200,Data_base_case!$D$8:$D$124,0),MATCH(Scenarios_definition!D200&amp;Scenarios_definition!G200,Data_base_case!$D$7:$FS$7,0))</f>
        <v>1</v>
      </c>
    </row>
    <row r="201" spans="1:8" x14ac:dyDescent="0.3">
      <c r="B201" s="89" t="s">
        <v>559</v>
      </c>
      <c r="C201" s="13" t="s">
        <v>72</v>
      </c>
      <c r="D201" s="85" t="s">
        <v>131</v>
      </c>
      <c r="E201" s="11" t="s">
        <v>133</v>
      </c>
      <c r="F201" s="1">
        <v>1</v>
      </c>
      <c r="G201" s="1" t="s">
        <v>133</v>
      </c>
      <c r="H201" s="1">
        <f>INDEX(Data_base_case!$D$8:$FS$124,MATCH(Scenarios_definition!C201,Data_base_case!$D$8:$D$124,0),MATCH(Scenarios_definition!D201&amp;Scenarios_definition!G201,Data_base_case!$D$7:$FS$7,0))</f>
        <v>1</v>
      </c>
    </row>
    <row r="202" spans="1:8" x14ac:dyDescent="0.3">
      <c r="B202" s="89" t="s">
        <v>559</v>
      </c>
      <c r="C202" s="13" t="s">
        <v>165</v>
      </c>
      <c r="D202" s="85" t="s">
        <v>131</v>
      </c>
      <c r="E202" s="11" t="s">
        <v>133</v>
      </c>
      <c r="F202" s="1">
        <v>1</v>
      </c>
      <c r="G202" s="1" t="s">
        <v>133</v>
      </c>
      <c r="H202" s="1">
        <f>INDEX(Data_base_case!$D$8:$FS$124,MATCH(Scenarios_definition!C202,Data_base_case!$D$8:$D$124,0),MATCH(Scenarios_definition!D202&amp;Scenarios_definition!G202,Data_base_case!$D$7:$FS$7,0))</f>
        <v>1</v>
      </c>
    </row>
    <row r="203" spans="1:8" x14ac:dyDescent="0.3">
      <c r="A203" s="86" t="s">
        <v>590</v>
      </c>
      <c r="B203" s="89" t="s">
        <v>596</v>
      </c>
      <c r="C203" s="11" t="s">
        <v>43</v>
      </c>
      <c r="D203" s="85" t="s">
        <v>131</v>
      </c>
      <c r="E203" s="11" t="s">
        <v>133</v>
      </c>
      <c r="F203" s="1">
        <v>1</v>
      </c>
      <c r="G203" s="1" t="s">
        <v>133</v>
      </c>
      <c r="H203" s="1">
        <f>INDEX(Data_base_case!$D$8:$FS$124,MATCH(Scenarios_definition!C203,Data_base_case!$D$8:$D$124,0),MATCH(Scenarios_definition!D203&amp;Scenarios_definition!G203,Data_base_case!$D$7:$FS$7,0))</f>
        <v>0</v>
      </c>
    </row>
    <row r="204" spans="1:8" x14ac:dyDescent="0.3">
      <c r="A204" s="33" t="s">
        <v>589</v>
      </c>
      <c r="B204" s="89" t="s">
        <v>597</v>
      </c>
      <c r="C204" s="11" t="s">
        <v>43</v>
      </c>
      <c r="D204" s="85" t="s">
        <v>131</v>
      </c>
      <c r="E204" s="11" t="s">
        <v>133</v>
      </c>
      <c r="F204" s="1">
        <v>1</v>
      </c>
      <c r="G204" s="1" t="s">
        <v>133</v>
      </c>
      <c r="H204" s="1">
        <f>INDEX(Data_base_case!$D$8:$FS$124,MATCH(Scenarios_definition!C204,Data_base_case!$D$8:$D$124,0),MATCH(Scenarios_definition!D204&amp;Scenarios_definition!G204,Data_base_case!$D$7:$FS$7,0))</f>
        <v>0</v>
      </c>
    </row>
    <row r="205" spans="1:8" x14ac:dyDescent="0.3">
      <c r="A205" s="33" t="s">
        <v>592</v>
      </c>
      <c r="B205" s="89" t="s">
        <v>598</v>
      </c>
      <c r="C205" s="11" t="s">
        <v>43</v>
      </c>
      <c r="D205" s="85" t="s">
        <v>131</v>
      </c>
      <c r="E205" s="11" t="s">
        <v>133</v>
      </c>
      <c r="F205" s="1">
        <v>1</v>
      </c>
      <c r="G205" s="1" t="s">
        <v>133</v>
      </c>
      <c r="H205" s="1">
        <f>INDEX(Data_base_case!$D$8:$FS$124,MATCH(Scenarios_definition!C205,Data_base_case!$D$8:$D$124,0),MATCH(Scenarios_definition!D205&amp;Scenarios_definition!G205,Data_base_case!$D$7:$FS$7,0))</f>
        <v>0</v>
      </c>
    </row>
    <row r="206" spans="1:8" x14ac:dyDescent="0.3">
      <c r="A206" s="33" t="s">
        <v>593</v>
      </c>
      <c r="B206" s="89" t="s">
        <v>599</v>
      </c>
      <c r="C206" s="11" t="s">
        <v>43</v>
      </c>
      <c r="D206" s="85" t="s">
        <v>131</v>
      </c>
      <c r="E206" s="11" t="s">
        <v>133</v>
      </c>
      <c r="F206" s="1">
        <v>1</v>
      </c>
      <c r="G206" s="1" t="s">
        <v>133</v>
      </c>
      <c r="H206" s="1">
        <f>INDEX(Data_base_case!$D$8:$FS$124,MATCH(Scenarios_definition!C206,Data_base_case!$D$8:$D$124,0),MATCH(Scenarios_definition!D206&amp;Scenarios_definition!G206,Data_base_case!$D$7:$FS$7,0))</f>
        <v>0</v>
      </c>
    </row>
    <row r="207" spans="1:8" x14ac:dyDescent="0.3">
      <c r="A207" s="98" t="s">
        <v>433</v>
      </c>
      <c r="B207" s="53" t="s">
        <v>610</v>
      </c>
      <c r="C207" s="93" t="s">
        <v>441</v>
      </c>
      <c r="D207" s="98" t="s">
        <v>187</v>
      </c>
      <c r="E207" s="100" t="s">
        <v>133</v>
      </c>
      <c r="F207" s="98">
        <f>H207</f>
        <v>7.2499999999999995E-2</v>
      </c>
      <c r="G207" s="101" t="s">
        <v>319</v>
      </c>
      <c r="H207" s="98">
        <f>INDEX(Data_base_case!$D$8:$FS$124,MATCH(Scenarios_definition!C207,Data_base_case!$D$8:$D$124,0),MATCH(Scenarios_definition!D207&amp;Scenarios_definition!G207,Data_base_case!$D$7:$FS$7,0))</f>
        <v>7.2499999999999995E-2</v>
      </c>
    </row>
    <row r="208" spans="1:8" x14ac:dyDescent="0.3">
      <c r="A208" s="98" t="s">
        <v>433</v>
      </c>
      <c r="B208" s="53" t="s">
        <v>611</v>
      </c>
      <c r="C208" s="93" t="s">
        <v>441</v>
      </c>
      <c r="D208" s="98" t="s">
        <v>187</v>
      </c>
      <c r="E208" s="100" t="s">
        <v>133</v>
      </c>
      <c r="F208" s="98">
        <f>H208</f>
        <v>0.13195000000000001</v>
      </c>
      <c r="G208" s="101" t="s">
        <v>285</v>
      </c>
      <c r="H208" s="98">
        <f>INDEX(Data_base_case!$D$8:$FS$124,MATCH(Scenarios_definition!C208,Data_base_case!$D$8:$D$124,0),MATCH(Scenarios_definition!D208&amp;Scenarios_definition!G208,Data_base_case!$D$7:$FS$7,0))</f>
        <v>0.13195000000000001</v>
      </c>
    </row>
    <row r="209" spans="1:12" x14ac:dyDescent="0.3">
      <c r="A209" s="33" t="s">
        <v>619</v>
      </c>
      <c r="B209" s="89" t="s">
        <v>618</v>
      </c>
      <c r="C209" s="11" t="s">
        <v>43</v>
      </c>
      <c r="D209" s="85" t="s">
        <v>131</v>
      </c>
      <c r="E209" s="11" t="s">
        <v>133</v>
      </c>
      <c r="F209" s="1">
        <v>0</v>
      </c>
      <c r="G209" s="1" t="s">
        <v>133</v>
      </c>
      <c r="H209" s="1">
        <f>INDEX(Data_base_case!$D$8:$FS$124,MATCH(Scenarios_definition!C209,Data_base_case!$D$8:$D$124,0),MATCH(Scenarios_definition!D209&amp;Scenarios_definition!G209,Data_base_case!$D$7:$FS$7,0))</f>
        <v>0</v>
      </c>
    </row>
    <row r="210" spans="1:12" x14ac:dyDescent="0.3">
      <c r="B210" s="84"/>
      <c r="C210" s="13"/>
      <c r="E210" s="11"/>
      <c r="G210" s="69"/>
    </row>
    <row r="212" spans="1:12" x14ac:dyDescent="0.3">
      <c r="L212" s="1">
        <f>(277-357)/357</f>
        <v>-0.22408963585434175</v>
      </c>
    </row>
    <row r="213" spans="1:12" x14ac:dyDescent="0.3">
      <c r="L213" s="1">
        <f>(792.8-893.4)/893.4</f>
        <v>-0.11260353704947394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18"/>
  <sheetViews>
    <sheetView tabSelected="1" topLeftCell="A87" zoomScale="112" zoomScaleNormal="112" workbookViewId="0">
      <selection activeCell="E121" sqref="E121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4" t="s">
        <v>156</v>
      </c>
      <c r="C2" s="115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6" t="s">
        <v>182</v>
      </c>
      <c r="I2" s="116" t="s">
        <v>181</v>
      </c>
      <c r="J2" s="13" t="s">
        <v>87</v>
      </c>
      <c r="K2" s="13" t="s">
        <v>167</v>
      </c>
      <c r="L2" s="13" t="s">
        <v>167</v>
      </c>
      <c r="M2" s="116" t="s">
        <v>255</v>
      </c>
      <c r="N2" s="117" t="s">
        <v>256</v>
      </c>
      <c r="O2" s="118" t="s">
        <v>258</v>
      </c>
      <c r="P2" s="116" t="s">
        <v>173</v>
      </c>
      <c r="Q2" s="116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4"/>
      <c r="C3" s="115"/>
      <c r="D3" s="13" t="s">
        <v>260</v>
      </c>
      <c r="E3" s="13" t="s">
        <v>120</v>
      </c>
      <c r="F3" s="13" t="s">
        <v>93</v>
      </c>
      <c r="G3" s="13">
        <v>2030</v>
      </c>
      <c r="H3" s="116"/>
      <c r="I3" s="116"/>
      <c r="J3" s="13" t="s">
        <v>104</v>
      </c>
      <c r="M3" s="116"/>
      <c r="N3" s="117"/>
      <c r="O3" s="118"/>
      <c r="P3" s="116"/>
      <c r="Q3" s="116"/>
      <c r="R3" s="13"/>
      <c r="S3" s="13"/>
      <c r="T3" s="13"/>
    </row>
    <row r="4" spans="1:35" x14ac:dyDescent="0.3">
      <c r="B4" s="114"/>
      <c r="C4" s="115"/>
      <c r="D4" s="13" t="s">
        <v>240</v>
      </c>
      <c r="E4" s="13" t="s">
        <v>418</v>
      </c>
      <c r="F4" s="13" t="s">
        <v>122</v>
      </c>
      <c r="G4" s="13">
        <v>2050</v>
      </c>
      <c r="H4" s="13"/>
      <c r="I4" s="116"/>
      <c r="J4" s="13" t="s">
        <v>233</v>
      </c>
      <c r="K4" s="13"/>
      <c r="L4" s="13"/>
      <c r="M4" s="116"/>
      <c r="N4" s="117"/>
      <c r="O4" s="118"/>
      <c r="P4" s="116"/>
      <c r="Q4" s="116"/>
      <c r="R4" s="13"/>
      <c r="S4" s="13"/>
      <c r="T4" s="13"/>
    </row>
    <row r="5" spans="1:35" x14ac:dyDescent="0.3">
      <c r="B5" s="114"/>
      <c r="C5" s="115"/>
      <c r="D5" s="13"/>
      <c r="E5" s="13" t="s">
        <v>419</v>
      </c>
      <c r="F5" s="13"/>
      <c r="G5" s="13"/>
      <c r="H5" s="13"/>
      <c r="I5" s="40"/>
      <c r="J5" s="13"/>
      <c r="K5" s="13"/>
      <c r="L5" s="13"/>
      <c r="M5" s="116"/>
      <c r="N5" s="117"/>
      <c r="O5" s="118"/>
      <c r="P5" s="116"/>
      <c r="Q5" s="116"/>
      <c r="R5" s="13"/>
      <c r="S5" s="13"/>
      <c r="T5" s="13"/>
    </row>
    <row r="6" spans="1:35" x14ac:dyDescent="0.3">
      <c r="B6" s="114"/>
      <c r="C6" s="115"/>
      <c r="D6" s="13"/>
      <c r="E6" s="13" t="s">
        <v>420</v>
      </c>
      <c r="F6" s="13"/>
      <c r="G6" s="13"/>
      <c r="H6" s="13"/>
      <c r="I6" s="40"/>
      <c r="J6" s="13"/>
      <c r="K6" s="13"/>
      <c r="L6" s="13"/>
      <c r="M6" s="116"/>
      <c r="N6" s="117"/>
      <c r="O6" s="118"/>
      <c r="P6" s="116"/>
      <c r="Q6" s="116"/>
      <c r="R6" s="13"/>
      <c r="S6" s="13"/>
      <c r="T6" s="13"/>
    </row>
    <row r="7" spans="1:35" x14ac:dyDescent="0.3">
      <c r="B7" s="114"/>
      <c r="C7" s="115"/>
      <c r="E7" s="13" t="s">
        <v>421</v>
      </c>
      <c r="F7" s="13"/>
      <c r="G7" s="13"/>
      <c r="H7" s="13"/>
      <c r="I7" s="13"/>
      <c r="J7" s="13"/>
      <c r="K7" s="13"/>
      <c r="L7" s="13"/>
      <c r="M7" s="116"/>
      <c r="N7" s="117"/>
      <c r="O7" s="118"/>
      <c r="P7" s="116"/>
      <c r="Q7" s="116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3" t="s">
        <v>151</v>
      </c>
      <c r="AH7" s="110"/>
      <c r="AI7" s="110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435</v>
      </c>
      <c r="AE9" s="29" t="s">
        <v>436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44" si="0">ROW(A10)-ROW($A$9)</f>
        <v>1</v>
      </c>
      <c r="B10" s="13" t="s">
        <v>443</v>
      </c>
      <c r="C10" s="17" t="s">
        <v>431</v>
      </c>
      <c r="D10" t="s">
        <v>231</v>
      </c>
      <c r="E10" s="13" t="s">
        <v>418</v>
      </c>
      <c r="F10" s="17" t="s">
        <v>122</v>
      </c>
      <c r="G10" s="17" t="str">
        <f t="shared" ref="G10:G20" si="1">"2030 bench"</f>
        <v>2030 bench</v>
      </c>
      <c r="H10" s="17" t="s">
        <v>239</v>
      </c>
      <c r="I10" s="17" t="str">
        <f t="shared" ref="I10:I44" si="2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422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0</v>
      </c>
    </row>
    <row r="11" spans="1:35" x14ac:dyDescent="0.3">
      <c r="A11" s="13">
        <f t="shared" si="0"/>
        <v>2</v>
      </c>
      <c r="B11" s="13" t="s">
        <v>443</v>
      </c>
      <c r="C11" s="17" t="s">
        <v>432</v>
      </c>
      <c r="D11" t="s">
        <v>231</v>
      </c>
      <c r="E11" s="13" t="s">
        <v>419</v>
      </c>
      <c r="F11" s="17" t="s">
        <v>122</v>
      </c>
      <c r="G11" s="17" t="str">
        <f t="shared" si="1"/>
        <v>2030 bench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422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0</v>
      </c>
    </row>
    <row r="12" spans="1:35" x14ac:dyDescent="0.3">
      <c r="A12" s="13">
        <f>ROW(A12)-ROW($A$9)</f>
        <v>3</v>
      </c>
      <c r="B12" s="13" t="s">
        <v>443</v>
      </c>
      <c r="C12" s="17" t="s">
        <v>434</v>
      </c>
      <c r="D12" t="s">
        <v>231</v>
      </c>
      <c r="E12" s="13" t="s">
        <v>421</v>
      </c>
      <c r="F12" s="17" t="s">
        <v>122</v>
      </c>
      <c r="G12" s="17" t="str">
        <f t="shared" si="1"/>
        <v>2030 bench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422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0</v>
      </c>
    </row>
    <row r="13" spans="1:35" x14ac:dyDescent="0.3">
      <c r="A13" s="93">
        <f t="shared" si="0"/>
        <v>4</v>
      </c>
      <c r="B13" s="93" t="s">
        <v>443</v>
      </c>
      <c r="C13" s="94" t="s">
        <v>433</v>
      </c>
      <c r="D13" s="53" t="s">
        <v>231</v>
      </c>
      <c r="E13" s="93" t="s">
        <v>420</v>
      </c>
      <c r="F13" s="94" t="s">
        <v>122</v>
      </c>
      <c r="G13" s="94" t="str">
        <f t="shared" si="1"/>
        <v>2030 bench</v>
      </c>
      <c r="H13" s="94" t="s">
        <v>239</v>
      </c>
      <c r="I13" s="94" t="str">
        <f t="shared" si="2"/>
        <v>2019</v>
      </c>
      <c r="J13" s="94" t="s">
        <v>104</v>
      </c>
      <c r="K13" s="94">
        <v>0</v>
      </c>
      <c r="L13" s="94">
        <v>0</v>
      </c>
      <c r="M13" s="94">
        <v>-1</v>
      </c>
      <c r="N13" s="94" t="s">
        <v>122</v>
      </c>
      <c r="O13" s="94">
        <v>0</v>
      </c>
      <c r="P13" s="94">
        <v>1</v>
      </c>
      <c r="Q13" s="94">
        <v>0</v>
      </c>
      <c r="R13" s="53" t="s">
        <v>221</v>
      </c>
      <c r="S13" s="53" t="s">
        <v>222</v>
      </c>
      <c r="T13" s="53" t="s">
        <v>422</v>
      </c>
      <c r="U13" s="95" t="b">
        <v>0</v>
      </c>
      <c r="V13" s="53" t="b">
        <v>1</v>
      </c>
      <c r="W13" s="53" t="b">
        <v>0</v>
      </c>
      <c r="X13" s="53" t="b">
        <v>0</v>
      </c>
      <c r="Y13" s="53" t="b">
        <v>1</v>
      </c>
      <c r="Z13" s="53" t="b">
        <v>0</v>
      </c>
      <c r="AA13" s="53" t="b">
        <v>0</v>
      </c>
      <c r="AB13" s="53" t="b">
        <v>1</v>
      </c>
      <c r="AC13" s="53" t="b">
        <v>0</v>
      </c>
      <c r="AD13" s="53" t="b">
        <v>1</v>
      </c>
      <c r="AE13" s="53" t="b">
        <v>1</v>
      </c>
      <c r="AF13" s="96" t="b">
        <v>0</v>
      </c>
      <c r="AG13" s="53" t="b">
        <v>0</v>
      </c>
      <c r="AH13" s="53" t="b">
        <v>0</v>
      </c>
      <c r="AI13" s="53" t="b">
        <v>0</v>
      </c>
    </row>
    <row r="14" spans="1:35" x14ac:dyDescent="0.3">
      <c r="A14" s="93">
        <f>ROW(A14)-ROW($A$9)</f>
        <v>5</v>
      </c>
      <c r="B14" s="93" t="s">
        <v>612</v>
      </c>
      <c r="C14" s="94" t="s">
        <v>610</v>
      </c>
      <c r="D14" s="53" t="s">
        <v>231</v>
      </c>
      <c r="E14" s="93" t="s">
        <v>420</v>
      </c>
      <c r="F14" s="94" t="s">
        <v>122</v>
      </c>
      <c r="G14" s="94" t="str">
        <f t="shared" ref="G14:G118" si="3">"2030 bench"</f>
        <v>2030 bench</v>
      </c>
      <c r="H14" s="94" t="s">
        <v>239</v>
      </c>
      <c r="I14" s="94" t="str">
        <f t="shared" ref="I14:I16" si="4">"2019"</f>
        <v>2019</v>
      </c>
      <c r="J14" s="94" t="s">
        <v>104</v>
      </c>
      <c r="K14" s="94">
        <v>0</v>
      </c>
      <c r="L14" s="94">
        <v>0</v>
      </c>
      <c r="M14" s="94">
        <v>-1</v>
      </c>
      <c r="N14" s="94" t="s">
        <v>122</v>
      </c>
      <c r="O14" s="94">
        <v>0</v>
      </c>
      <c r="P14" s="94">
        <v>1</v>
      </c>
      <c r="Q14" s="94">
        <v>0</v>
      </c>
      <c r="R14" s="53" t="s">
        <v>221</v>
      </c>
      <c r="S14" s="53" t="s">
        <v>222</v>
      </c>
      <c r="T14" s="53" t="s">
        <v>422</v>
      </c>
      <c r="U14" s="95" t="b">
        <v>0</v>
      </c>
      <c r="V14" s="53" t="b">
        <v>1</v>
      </c>
      <c r="W14" s="53" t="b">
        <v>0</v>
      </c>
      <c r="X14" s="53" t="b">
        <v>0</v>
      </c>
      <c r="Y14" s="53" t="b">
        <v>1</v>
      </c>
      <c r="Z14" s="53" t="b">
        <v>0</v>
      </c>
      <c r="AA14" s="53" t="b">
        <v>0</v>
      </c>
      <c r="AB14" s="53" t="b">
        <v>1</v>
      </c>
      <c r="AC14" s="53" t="b">
        <v>0</v>
      </c>
      <c r="AD14" s="53" t="b">
        <v>1</v>
      </c>
      <c r="AE14" s="53" t="b">
        <v>1</v>
      </c>
      <c r="AF14" s="96" t="b">
        <v>0</v>
      </c>
      <c r="AG14" s="53" t="b">
        <v>0</v>
      </c>
      <c r="AH14" s="53" t="b">
        <v>0</v>
      </c>
      <c r="AI14" s="53" t="b">
        <v>0</v>
      </c>
    </row>
    <row r="15" spans="1:35" x14ac:dyDescent="0.3">
      <c r="A15" s="93">
        <f>ROW(A15)-ROW($A$9)</f>
        <v>6</v>
      </c>
      <c r="B15" s="93" t="s">
        <v>609</v>
      </c>
      <c r="C15" s="94" t="s">
        <v>611</v>
      </c>
      <c r="D15" s="53" t="s">
        <v>231</v>
      </c>
      <c r="E15" s="93" t="s">
        <v>420</v>
      </c>
      <c r="F15" s="94" t="s">
        <v>122</v>
      </c>
      <c r="G15" s="94" t="str">
        <f t="shared" si="3"/>
        <v>2030 bench</v>
      </c>
      <c r="H15" s="94" t="s">
        <v>239</v>
      </c>
      <c r="I15" s="94" t="str">
        <f t="shared" si="4"/>
        <v>2019</v>
      </c>
      <c r="J15" s="94" t="s">
        <v>104</v>
      </c>
      <c r="K15" s="94">
        <v>0</v>
      </c>
      <c r="L15" s="94">
        <v>0</v>
      </c>
      <c r="M15" s="94">
        <v>-1</v>
      </c>
      <c r="N15" s="94" t="s">
        <v>122</v>
      </c>
      <c r="O15" s="94">
        <v>0</v>
      </c>
      <c r="P15" s="94">
        <v>1</v>
      </c>
      <c r="Q15" s="94">
        <v>0</v>
      </c>
      <c r="R15" s="53" t="s">
        <v>221</v>
      </c>
      <c r="S15" s="53" t="s">
        <v>222</v>
      </c>
      <c r="T15" s="53" t="s">
        <v>422</v>
      </c>
      <c r="U15" s="95" t="b">
        <v>0</v>
      </c>
      <c r="V15" s="53" t="b">
        <v>1</v>
      </c>
      <c r="W15" s="53" t="b">
        <v>0</v>
      </c>
      <c r="X15" s="53" t="b">
        <v>0</v>
      </c>
      <c r="Y15" s="53" t="b">
        <v>1</v>
      </c>
      <c r="Z15" s="53" t="b">
        <v>0</v>
      </c>
      <c r="AA15" s="53" t="b">
        <v>0</v>
      </c>
      <c r="AB15" s="53" t="b">
        <v>1</v>
      </c>
      <c r="AC15" s="53" t="b">
        <v>0</v>
      </c>
      <c r="AD15" s="53" t="b">
        <v>1</v>
      </c>
      <c r="AE15" s="53" t="b">
        <v>1</v>
      </c>
      <c r="AF15" s="96" t="b">
        <v>0</v>
      </c>
      <c r="AG15" s="53" t="b">
        <v>0</v>
      </c>
      <c r="AH15" s="53" t="b">
        <v>0</v>
      </c>
      <c r="AI15" s="53" t="b">
        <v>0</v>
      </c>
    </row>
    <row r="16" spans="1:35" x14ac:dyDescent="0.3">
      <c r="A16" s="13">
        <f>ROW(A16)-ROW($A$9)</f>
        <v>7</v>
      </c>
      <c r="B16" s="13" t="s">
        <v>516</v>
      </c>
      <c r="C16" s="17" t="s">
        <v>539</v>
      </c>
      <c r="D16" t="s">
        <v>231</v>
      </c>
      <c r="E16" s="13" t="s">
        <v>420</v>
      </c>
      <c r="F16" s="17" t="s">
        <v>122</v>
      </c>
      <c r="G16" s="17" t="str">
        <f t="shared" si="3"/>
        <v>2030 bench</v>
      </c>
      <c r="H16" s="17" t="s">
        <v>239</v>
      </c>
      <c r="I16" s="17" t="str">
        <f t="shared" si="4"/>
        <v>2019</v>
      </c>
      <c r="J16" s="17" t="s">
        <v>104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422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s="21" t="b">
        <v>0</v>
      </c>
      <c r="AG16" t="b">
        <v>0</v>
      </c>
      <c r="AH16" t="b">
        <v>0</v>
      </c>
      <c r="AI16" t="b">
        <v>0</v>
      </c>
    </row>
    <row r="17" spans="1:35" x14ac:dyDescent="0.3">
      <c r="A17" s="13">
        <f t="shared" si="0"/>
        <v>8</v>
      </c>
      <c r="B17" s="13" t="s">
        <v>510</v>
      </c>
      <c r="C17" s="19" t="s">
        <v>506</v>
      </c>
      <c r="D17" t="s">
        <v>259</v>
      </c>
      <c r="E17" s="13" t="s">
        <v>418</v>
      </c>
      <c r="F17" s="17" t="s">
        <v>122</v>
      </c>
      <c r="G17" s="17" t="str">
        <f t="shared" si="1"/>
        <v>2030 bench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422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1</v>
      </c>
      <c r="AF17" s="21" t="b">
        <v>0</v>
      </c>
      <c r="AG17" t="b">
        <v>0</v>
      </c>
      <c r="AH17" t="b">
        <v>0</v>
      </c>
      <c r="AI17" t="b">
        <v>1</v>
      </c>
    </row>
    <row r="18" spans="1:35" x14ac:dyDescent="0.3">
      <c r="A18" s="13">
        <f t="shared" si="0"/>
        <v>9</v>
      </c>
      <c r="B18" s="13" t="s">
        <v>510</v>
      </c>
      <c r="C18" s="19" t="s">
        <v>507</v>
      </c>
      <c r="D18" t="s">
        <v>259</v>
      </c>
      <c r="E18" s="13" t="s">
        <v>419</v>
      </c>
      <c r="F18" s="17" t="s">
        <v>122</v>
      </c>
      <c r="G18" s="17" t="str">
        <f t="shared" si="1"/>
        <v>2030 bench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422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1</v>
      </c>
    </row>
    <row r="19" spans="1:35" x14ac:dyDescent="0.3">
      <c r="A19" s="13">
        <f t="shared" si="0"/>
        <v>10</v>
      </c>
      <c r="B19" s="13" t="s">
        <v>510</v>
      </c>
      <c r="C19" s="19" t="s">
        <v>508</v>
      </c>
      <c r="D19" t="s">
        <v>259</v>
      </c>
      <c r="E19" s="13" t="s">
        <v>420</v>
      </c>
      <c r="F19" s="17" t="s">
        <v>122</v>
      </c>
      <c r="G19" s="17" t="str">
        <f t="shared" si="1"/>
        <v>2030 bench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422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1</v>
      </c>
    </row>
    <row r="20" spans="1:35" x14ac:dyDescent="0.3">
      <c r="A20" s="13">
        <f t="shared" si="0"/>
        <v>11</v>
      </c>
      <c r="B20" s="13" t="s">
        <v>510</v>
      </c>
      <c r="C20" s="19" t="s">
        <v>509</v>
      </c>
      <c r="D20" t="s">
        <v>259</v>
      </c>
      <c r="E20" s="13" t="s">
        <v>421</v>
      </c>
      <c r="F20" s="17" t="s">
        <v>122</v>
      </c>
      <c r="G20" s="17" t="str">
        <f t="shared" si="1"/>
        <v>2030 bench</v>
      </c>
      <c r="H20" s="17" t="s">
        <v>239</v>
      </c>
      <c r="I20" s="17" t="str">
        <f t="shared" si="2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422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1</v>
      </c>
    </row>
    <row r="21" spans="1:35" x14ac:dyDescent="0.3">
      <c r="A21" s="13">
        <f t="shared" si="0"/>
        <v>12</v>
      </c>
      <c r="B21" s="13" t="s">
        <v>454</v>
      </c>
      <c r="C21" s="17" t="s">
        <v>431</v>
      </c>
      <c r="D21" t="s">
        <v>259</v>
      </c>
      <c r="E21" s="13" t="s">
        <v>418</v>
      </c>
      <c r="F21" s="17" t="s">
        <v>122</v>
      </c>
      <c r="G21" s="17" t="s">
        <v>285</v>
      </c>
      <c r="H21" s="17" t="s">
        <v>239</v>
      </c>
      <c r="I21" s="17" t="str">
        <f t="shared" si="2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422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454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285</v>
      </c>
      <c r="H22" s="17" t="s">
        <v>239</v>
      </c>
      <c r="I22" s="17" t="str">
        <f t="shared" si="2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422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454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285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422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454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285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422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455</v>
      </c>
      <c r="C25" s="17" t="s">
        <v>431</v>
      </c>
      <c r="D25" t="s">
        <v>259</v>
      </c>
      <c r="E25" s="13" t="s">
        <v>418</v>
      </c>
      <c r="F25" s="17" t="s">
        <v>122</v>
      </c>
      <c r="G25" s="17" t="s">
        <v>319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422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455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319</v>
      </c>
      <c r="H26" s="17" t="s">
        <v>239</v>
      </c>
      <c r="I26" s="17" t="str">
        <f t="shared" si="2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422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455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319</v>
      </c>
      <c r="H27" s="17" t="s">
        <v>239</v>
      </c>
      <c r="I27" s="17" t="str">
        <f t="shared" si="2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422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455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319</v>
      </c>
      <c r="H28" s="17" t="s">
        <v>239</v>
      </c>
      <c r="I28" s="17" t="str">
        <f t="shared" si="2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422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456</v>
      </c>
      <c r="C29" s="17" t="s">
        <v>431</v>
      </c>
      <c r="D29" t="s">
        <v>259</v>
      </c>
      <c r="E29" s="13" t="s">
        <v>418</v>
      </c>
      <c r="F29" s="17" t="s">
        <v>122</v>
      </c>
      <c r="G29" s="17" t="s">
        <v>322</v>
      </c>
      <c r="H29" s="17" t="s">
        <v>239</v>
      </c>
      <c r="I29" s="17" t="str">
        <f t="shared" si="2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422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456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322</v>
      </c>
      <c r="H30" s="17" t="s">
        <v>239</v>
      </c>
      <c r="I30" s="17" t="str">
        <f t="shared" si="2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422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456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322</v>
      </c>
      <c r="H31" s="17" t="s">
        <v>239</v>
      </c>
      <c r="I31" s="17" t="str">
        <f t="shared" si="2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422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456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322</v>
      </c>
      <c r="H32" s="17" t="s">
        <v>239</v>
      </c>
      <c r="I32" s="17" t="str">
        <f t="shared" si="2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422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457</v>
      </c>
      <c r="C33" s="17" t="s">
        <v>431</v>
      </c>
      <c r="D33" t="s">
        <v>259</v>
      </c>
      <c r="E33" s="13" t="s">
        <v>418</v>
      </c>
      <c r="F33" s="17" t="s">
        <v>122</v>
      </c>
      <c r="G33" s="17" t="s">
        <v>325</v>
      </c>
      <c r="H33" s="17" t="s">
        <v>239</v>
      </c>
      <c r="I33" s="17" t="str">
        <f t="shared" si="2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422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457</v>
      </c>
      <c r="C34" s="17" t="s">
        <v>432</v>
      </c>
      <c r="D34" t="s">
        <v>259</v>
      </c>
      <c r="E34" s="13" t="s">
        <v>419</v>
      </c>
      <c r="F34" s="17" t="s">
        <v>122</v>
      </c>
      <c r="G34" s="17" t="s">
        <v>325</v>
      </c>
      <c r="H34" s="17" t="s">
        <v>239</v>
      </c>
      <c r="I34" s="17" t="str">
        <f t="shared" si="2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422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457</v>
      </c>
      <c r="C35" s="17" t="s">
        <v>433</v>
      </c>
      <c r="D35" t="s">
        <v>259</v>
      </c>
      <c r="E35" s="13" t="s">
        <v>420</v>
      </c>
      <c r="F35" s="17" t="s">
        <v>122</v>
      </c>
      <c r="G35" s="17" t="s">
        <v>325</v>
      </c>
      <c r="H35" s="17" t="s">
        <v>239</v>
      </c>
      <c r="I35" s="17" t="str">
        <f t="shared" si="2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422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457</v>
      </c>
      <c r="C36" s="17" t="s">
        <v>434</v>
      </c>
      <c r="D36" t="s">
        <v>259</v>
      </c>
      <c r="E36" s="13" t="s">
        <v>421</v>
      </c>
      <c r="F36" s="17" t="s">
        <v>122</v>
      </c>
      <c r="G36" s="17" t="s">
        <v>325</v>
      </c>
      <c r="H36" s="17" t="s">
        <v>239</v>
      </c>
      <c r="I36" s="17" t="str">
        <f t="shared" si="2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422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444</v>
      </c>
      <c r="C37" s="17" t="s">
        <v>458</v>
      </c>
      <c r="D37" t="s">
        <v>259</v>
      </c>
      <c r="E37" s="13" t="s">
        <v>418</v>
      </c>
      <c r="F37" s="17" t="s">
        <v>122</v>
      </c>
      <c r="G37" s="17" t="str">
        <f t="shared" ref="G37:G78" si="5">"2030 bench"</f>
        <v>2030 bench</v>
      </c>
      <c r="H37" s="17" t="s">
        <v>239</v>
      </c>
      <c r="I37" s="17" t="str">
        <f t="shared" si="2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422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444</v>
      </c>
      <c r="C38" s="17" t="s">
        <v>459</v>
      </c>
      <c r="D38" t="s">
        <v>259</v>
      </c>
      <c r="E38" s="13" t="s">
        <v>419</v>
      </c>
      <c r="F38" s="17" t="s">
        <v>122</v>
      </c>
      <c r="G38" s="17" t="str">
        <f t="shared" si="5"/>
        <v>2030 bench</v>
      </c>
      <c r="H38" s="17" t="s">
        <v>239</v>
      </c>
      <c r="I38" s="17" t="str">
        <f t="shared" si="2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422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444</v>
      </c>
      <c r="C39" s="17" t="s">
        <v>460</v>
      </c>
      <c r="D39" t="s">
        <v>259</v>
      </c>
      <c r="E39" s="13" t="s">
        <v>420</v>
      </c>
      <c r="F39" s="17" t="s">
        <v>122</v>
      </c>
      <c r="G39" s="17" t="str">
        <f t="shared" si="5"/>
        <v>2030 bench</v>
      </c>
      <c r="H39" s="17" t="s">
        <v>239</v>
      </c>
      <c r="I39" s="17" t="str">
        <f t="shared" si="2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422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444</v>
      </c>
      <c r="C40" s="17" t="s">
        <v>461</v>
      </c>
      <c r="D40" t="s">
        <v>259</v>
      </c>
      <c r="E40" s="13" t="s">
        <v>421</v>
      </c>
      <c r="F40" s="17" t="s">
        <v>122</v>
      </c>
      <c r="G40" s="17" t="str">
        <f t="shared" si="5"/>
        <v>2030 bench</v>
      </c>
      <c r="H40" s="17" t="s">
        <v>239</v>
      </c>
      <c r="I40" s="17" t="str">
        <f t="shared" si="2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422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445</v>
      </c>
      <c r="C41" s="17" t="s">
        <v>462</v>
      </c>
      <c r="D41" t="s">
        <v>259</v>
      </c>
      <c r="E41" s="13" t="s">
        <v>418</v>
      </c>
      <c r="F41" s="17" t="s">
        <v>122</v>
      </c>
      <c r="G41" s="17" t="str">
        <f t="shared" si="5"/>
        <v>2030 bench</v>
      </c>
      <c r="H41" s="17" t="s">
        <v>239</v>
      </c>
      <c r="I41" s="17" t="str">
        <f t="shared" si="2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422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445</v>
      </c>
      <c r="C42" s="17" t="s">
        <v>463</v>
      </c>
      <c r="D42" t="s">
        <v>259</v>
      </c>
      <c r="E42" s="13" t="s">
        <v>419</v>
      </c>
      <c r="F42" s="17" t="s">
        <v>122</v>
      </c>
      <c r="G42" s="17" t="str">
        <f t="shared" si="5"/>
        <v>2030 bench</v>
      </c>
      <c r="H42" s="17" t="s">
        <v>239</v>
      </c>
      <c r="I42" s="17" t="str">
        <f t="shared" si="2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422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445</v>
      </c>
      <c r="C43" s="17" t="s">
        <v>464</v>
      </c>
      <c r="D43" t="s">
        <v>259</v>
      </c>
      <c r="E43" s="13" t="s">
        <v>420</v>
      </c>
      <c r="F43" s="17" t="s">
        <v>122</v>
      </c>
      <c r="G43" s="17" t="str">
        <f t="shared" si="5"/>
        <v>2030 bench</v>
      </c>
      <c r="H43" s="17" t="s">
        <v>239</v>
      </c>
      <c r="I43" s="17" t="str">
        <f t="shared" si="2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422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445</v>
      </c>
      <c r="C44" s="17" t="s">
        <v>465</v>
      </c>
      <c r="D44" t="s">
        <v>259</v>
      </c>
      <c r="E44" s="13" t="s">
        <v>421</v>
      </c>
      <c r="F44" s="17" t="s">
        <v>122</v>
      </c>
      <c r="G44" s="17" t="str">
        <f t="shared" si="5"/>
        <v>2030 bench</v>
      </c>
      <c r="H44" s="17" t="s">
        <v>239</v>
      </c>
      <c r="I44" s="17" t="str">
        <f t="shared" si="2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422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ref="A45:A77" si="6">ROW(A45)-ROW($A$9)</f>
        <v>36</v>
      </c>
      <c r="B45" s="13" t="s">
        <v>446</v>
      </c>
      <c r="C45" s="17" t="s">
        <v>466</v>
      </c>
      <c r="D45" t="s">
        <v>259</v>
      </c>
      <c r="E45" s="13" t="s">
        <v>418</v>
      </c>
      <c r="F45" s="17" t="s">
        <v>122</v>
      </c>
      <c r="G45" s="17" t="str">
        <f t="shared" si="5"/>
        <v>2030 bench</v>
      </c>
      <c r="H45" s="17" t="s">
        <v>239</v>
      </c>
      <c r="I45" s="17" t="str">
        <f t="shared" ref="I45:I77" si="7">"2019"</f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422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6"/>
        <v>37</v>
      </c>
      <c r="B46" s="13" t="s">
        <v>446</v>
      </c>
      <c r="C46" s="17" t="s">
        <v>467</v>
      </c>
      <c r="D46" t="s">
        <v>259</v>
      </c>
      <c r="E46" s="13" t="s">
        <v>419</v>
      </c>
      <c r="F46" s="17" t="s">
        <v>122</v>
      </c>
      <c r="G46" s="17" t="str">
        <f t="shared" si="5"/>
        <v>2030 bench</v>
      </c>
      <c r="H46" s="17" t="s">
        <v>239</v>
      </c>
      <c r="I46" s="17" t="str">
        <f t="shared" si="7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422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6"/>
        <v>38</v>
      </c>
      <c r="B47" s="13" t="s">
        <v>446</v>
      </c>
      <c r="C47" s="17" t="s">
        <v>468</v>
      </c>
      <c r="D47" t="s">
        <v>259</v>
      </c>
      <c r="E47" s="13" t="s">
        <v>420</v>
      </c>
      <c r="F47" s="17" t="s">
        <v>122</v>
      </c>
      <c r="G47" s="17" t="str">
        <f t="shared" si="5"/>
        <v>2030 bench</v>
      </c>
      <c r="H47" s="17" t="s">
        <v>239</v>
      </c>
      <c r="I47" s="17" t="str">
        <f t="shared" si="7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422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6"/>
        <v>39</v>
      </c>
      <c r="B48" s="13" t="s">
        <v>446</v>
      </c>
      <c r="C48" s="17" t="s">
        <v>469</v>
      </c>
      <c r="D48" t="s">
        <v>259</v>
      </c>
      <c r="E48" s="13" t="s">
        <v>421</v>
      </c>
      <c r="F48" s="17" t="s">
        <v>122</v>
      </c>
      <c r="G48" s="17" t="str">
        <f t="shared" si="5"/>
        <v>2030 bench</v>
      </c>
      <c r="H48" s="17" t="s">
        <v>239</v>
      </c>
      <c r="I48" s="17" t="str">
        <f t="shared" si="7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422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6"/>
        <v>40</v>
      </c>
      <c r="B49" s="13" t="s">
        <v>447</v>
      </c>
      <c r="C49" s="17" t="s">
        <v>470</v>
      </c>
      <c r="D49" t="s">
        <v>259</v>
      </c>
      <c r="E49" s="13" t="s">
        <v>418</v>
      </c>
      <c r="F49" s="17" t="s">
        <v>122</v>
      </c>
      <c r="G49" s="17" t="str">
        <f t="shared" si="5"/>
        <v>2030 bench</v>
      </c>
      <c r="H49" s="17" t="s">
        <v>239</v>
      </c>
      <c r="I49" s="17" t="str">
        <f t="shared" si="7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422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6"/>
        <v>41</v>
      </c>
      <c r="B50" s="13" t="s">
        <v>447</v>
      </c>
      <c r="C50" s="17" t="s">
        <v>471</v>
      </c>
      <c r="D50" t="s">
        <v>259</v>
      </c>
      <c r="E50" s="13" t="s">
        <v>419</v>
      </c>
      <c r="F50" s="17" t="s">
        <v>122</v>
      </c>
      <c r="G50" s="17" t="str">
        <f t="shared" si="5"/>
        <v>2030 bench</v>
      </c>
      <c r="H50" s="17" t="s">
        <v>239</v>
      </c>
      <c r="I50" s="17" t="str">
        <f t="shared" si="7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422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6"/>
        <v>42</v>
      </c>
      <c r="B51" s="13" t="s">
        <v>447</v>
      </c>
      <c r="C51" s="17" t="s">
        <v>472</v>
      </c>
      <c r="D51" t="s">
        <v>259</v>
      </c>
      <c r="E51" s="13" t="s">
        <v>420</v>
      </c>
      <c r="F51" s="17" t="s">
        <v>122</v>
      </c>
      <c r="G51" s="17" t="str">
        <f t="shared" si="5"/>
        <v>2030 bench</v>
      </c>
      <c r="H51" s="17" t="s">
        <v>239</v>
      </c>
      <c r="I51" s="17" t="str">
        <f t="shared" si="7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422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6"/>
        <v>43</v>
      </c>
      <c r="B52" s="13" t="s">
        <v>447</v>
      </c>
      <c r="C52" s="17" t="s">
        <v>473</v>
      </c>
      <c r="D52" t="s">
        <v>259</v>
      </c>
      <c r="E52" s="13" t="s">
        <v>421</v>
      </c>
      <c r="F52" s="17" t="s">
        <v>122</v>
      </c>
      <c r="G52" s="17" t="str">
        <f t="shared" si="5"/>
        <v>2030 bench</v>
      </c>
      <c r="H52" s="17" t="s">
        <v>239</v>
      </c>
      <c r="I52" s="17" t="str">
        <f t="shared" si="7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422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6"/>
        <v>44</v>
      </c>
      <c r="B53" s="13" t="s">
        <v>448</v>
      </c>
      <c r="C53" s="17" t="s">
        <v>474</v>
      </c>
      <c r="D53" t="s">
        <v>259</v>
      </c>
      <c r="E53" s="13" t="s">
        <v>418</v>
      </c>
      <c r="F53" s="17" t="s">
        <v>122</v>
      </c>
      <c r="G53" s="17" t="str">
        <f t="shared" si="5"/>
        <v>2030 bench</v>
      </c>
      <c r="H53" s="17" t="s">
        <v>239</v>
      </c>
      <c r="I53" s="17" t="str">
        <f t="shared" si="7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422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6"/>
        <v>45</v>
      </c>
      <c r="B54" s="13" t="s">
        <v>448</v>
      </c>
      <c r="C54" s="17" t="s">
        <v>475</v>
      </c>
      <c r="D54" t="s">
        <v>259</v>
      </c>
      <c r="E54" s="13" t="s">
        <v>419</v>
      </c>
      <c r="F54" s="17" t="s">
        <v>122</v>
      </c>
      <c r="G54" s="17" t="str">
        <f t="shared" si="5"/>
        <v>2030 bench</v>
      </c>
      <c r="H54" s="17" t="s">
        <v>239</v>
      </c>
      <c r="I54" s="17" t="str">
        <f t="shared" si="7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422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6"/>
        <v>46</v>
      </c>
      <c r="B55" s="13" t="s">
        <v>448</v>
      </c>
      <c r="C55" s="17" t="s">
        <v>476</v>
      </c>
      <c r="D55" t="s">
        <v>259</v>
      </c>
      <c r="E55" s="13" t="s">
        <v>420</v>
      </c>
      <c r="F55" s="17" t="s">
        <v>122</v>
      </c>
      <c r="G55" s="17" t="str">
        <f t="shared" si="5"/>
        <v>2030 bench</v>
      </c>
      <c r="H55" s="17" t="s">
        <v>239</v>
      </c>
      <c r="I55" s="17" t="str">
        <f t="shared" si="7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422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6"/>
        <v>47</v>
      </c>
      <c r="B56" s="13" t="s">
        <v>448</v>
      </c>
      <c r="C56" s="17" t="s">
        <v>477</v>
      </c>
      <c r="D56" t="s">
        <v>259</v>
      </c>
      <c r="E56" s="13" t="s">
        <v>421</v>
      </c>
      <c r="F56" s="17" t="s">
        <v>122</v>
      </c>
      <c r="G56" s="17" t="str">
        <f t="shared" si="5"/>
        <v>2030 bench</v>
      </c>
      <c r="H56" s="17" t="s">
        <v>239</v>
      </c>
      <c r="I56" s="17" t="str">
        <f t="shared" si="7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422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6"/>
        <v>48</v>
      </c>
      <c r="B57" s="13" t="s">
        <v>449</v>
      </c>
      <c r="C57" s="17" t="s">
        <v>478</v>
      </c>
      <c r="D57" t="s">
        <v>259</v>
      </c>
      <c r="E57" s="13" t="s">
        <v>418</v>
      </c>
      <c r="F57" s="17" t="s">
        <v>122</v>
      </c>
      <c r="G57" s="17" t="str">
        <f t="shared" si="5"/>
        <v>2030 bench</v>
      </c>
      <c r="H57" s="17" t="s">
        <v>239</v>
      </c>
      <c r="I57" s="17" t="str">
        <f t="shared" si="7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422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6"/>
        <v>49</v>
      </c>
      <c r="B58" s="13" t="s">
        <v>449</v>
      </c>
      <c r="C58" s="17" t="s">
        <v>479</v>
      </c>
      <c r="D58" t="s">
        <v>259</v>
      </c>
      <c r="E58" s="13" t="s">
        <v>419</v>
      </c>
      <c r="F58" s="17" t="s">
        <v>122</v>
      </c>
      <c r="G58" s="17" t="str">
        <f t="shared" si="5"/>
        <v>2030 bench</v>
      </c>
      <c r="H58" s="17" t="s">
        <v>239</v>
      </c>
      <c r="I58" s="17" t="str">
        <f t="shared" si="7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422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6"/>
        <v>50</v>
      </c>
      <c r="B59" s="13" t="s">
        <v>449</v>
      </c>
      <c r="C59" s="17" t="s">
        <v>480</v>
      </c>
      <c r="D59" t="s">
        <v>259</v>
      </c>
      <c r="E59" s="13" t="s">
        <v>420</v>
      </c>
      <c r="F59" s="17" t="s">
        <v>122</v>
      </c>
      <c r="G59" s="17" t="str">
        <f t="shared" si="5"/>
        <v>2030 bench</v>
      </c>
      <c r="H59" s="17" t="s">
        <v>239</v>
      </c>
      <c r="I59" s="17" t="str">
        <f t="shared" si="7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422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6"/>
        <v>51</v>
      </c>
      <c r="B60" s="13" t="s">
        <v>449</v>
      </c>
      <c r="C60" s="17" t="s">
        <v>481</v>
      </c>
      <c r="D60" t="s">
        <v>259</v>
      </c>
      <c r="E60" s="13" t="s">
        <v>421</v>
      </c>
      <c r="F60" s="17" t="s">
        <v>122</v>
      </c>
      <c r="G60" s="17" t="str">
        <f t="shared" si="5"/>
        <v>2030 bench</v>
      </c>
      <c r="H60" s="17" t="s">
        <v>239</v>
      </c>
      <c r="I60" s="17" t="str">
        <f t="shared" si="7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422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6"/>
        <v>52</v>
      </c>
      <c r="B61" s="13" t="s">
        <v>450</v>
      </c>
      <c r="C61" s="17" t="s">
        <v>482</v>
      </c>
      <c r="D61" t="s">
        <v>259</v>
      </c>
      <c r="E61" s="13" t="s">
        <v>418</v>
      </c>
      <c r="F61" s="17" t="s">
        <v>122</v>
      </c>
      <c r="G61" s="17" t="str">
        <f t="shared" si="5"/>
        <v>2030 bench</v>
      </c>
      <c r="H61" s="17" t="s">
        <v>239</v>
      </c>
      <c r="I61" s="17" t="str">
        <f t="shared" si="7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422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6"/>
        <v>53</v>
      </c>
      <c r="B62" s="13" t="s">
        <v>450</v>
      </c>
      <c r="C62" s="17" t="s">
        <v>483</v>
      </c>
      <c r="D62" t="s">
        <v>259</v>
      </c>
      <c r="E62" s="13" t="s">
        <v>419</v>
      </c>
      <c r="F62" s="17" t="s">
        <v>122</v>
      </c>
      <c r="G62" s="17" t="str">
        <f t="shared" si="5"/>
        <v>2030 bench</v>
      </c>
      <c r="H62" s="17" t="s">
        <v>239</v>
      </c>
      <c r="I62" s="17" t="str">
        <f t="shared" si="7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422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6"/>
        <v>54</v>
      </c>
      <c r="B63" s="13" t="s">
        <v>450</v>
      </c>
      <c r="C63" s="17" t="s">
        <v>484</v>
      </c>
      <c r="D63" t="s">
        <v>259</v>
      </c>
      <c r="E63" s="13" t="s">
        <v>420</v>
      </c>
      <c r="F63" s="17" t="s">
        <v>122</v>
      </c>
      <c r="G63" s="17" t="str">
        <f t="shared" si="5"/>
        <v>2030 bench</v>
      </c>
      <c r="H63" s="17" t="s">
        <v>239</v>
      </c>
      <c r="I63" s="17" t="str">
        <f t="shared" si="7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422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6"/>
        <v>55</v>
      </c>
      <c r="B64" s="13" t="s">
        <v>450</v>
      </c>
      <c r="C64" s="17" t="s">
        <v>485</v>
      </c>
      <c r="D64" t="s">
        <v>259</v>
      </c>
      <c r="E64" s="13" t="s">
        <v>421</v>
      </c>
      <c r="F64" s="17" t="s">
        <v>122</v>
      </c>
      <c r="G64" s="17" t="str">
        <f t="shared" si="5"/>
        <v>2030 bench</v>
      </c>
      <c r="H64" s="17" t="s">
        <v>239</v>
      </c>
      <c r="I64" s="17" t="str">
        <f t="shared" si="7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422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6"/>
        <v>56</v>
      </c>
      <c r="B65" s="13" t="s">
        <v>451</v>
      </c>
      <c r="C65" s="17" t="s">
        <v>486</v>
      </c>
      <c r="D65" t="s">
        <v>259</v>
      </c>
      <c r="E65" s="13" t="s">
        <v>418</v>
      </c>
      <c r="F65" s="17" t="s">
        <v>122</v>
      </c>
      <c r="G65" s="17" t="str">
        <f t="shared" si="5"/>
        <v>2030 bench</v>
      </c>
      <c r="H65" s="17" t="s">
        <v>239</v>
      </c>
      <c r="I65" s="17" t="str">
        <f t="shared" si="7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422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6"/>
        <v>57</v>
      </c>
      <c r="B66" s="13" t="s">
        <v>451</v>
      </c>
      <c r="C66" s="17" t="s">
        <v>487</v>
      </c>
      <c r="D66" t="s">
        <v>259</v>
      </c>
      <c r="E66" s="13" t="s">
        <v>419</v>
      </c>
      <c r="F66" s="17" t="s">
        <v>122</v>
      </c>
      <c r="G66" s="17" t="str">
        <f t="shared" si="5"/>
        <v>2030 bench</v>
      </c>
      <c r="H66" s="17" t="s">
        <v>239</v>
      </c>
      <c r="I66" s="17" t="str">
        <f t="shared" si="7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422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6"/>
        <v>58</v>
      </c>
      <c r="B67" s="13" t="s">
        <v>451</v>
      </c>
      <c r="C67" s="17" t="s">
        <v>488</v>
      </c>
      <c r="D67" t="s">
        <v>259</v>
      </c>
      <c r="E67" s="13" t="s">
        <v>420</v>
      </c>
      <c r="F67" s="17" t="s">
        <v>122</v>
      </c>
      <c r="G67" s="17" t="str">
        <f t="shared" si="5"/>
        <v>2030 bench</v>
      </c>
      <c r="H67" s="17" t="s">
        <v>239</v>
      </c>
      <c r="I67" s="17" t="str">
        <f t="shared" si="7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422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6"/>
        <v>59</v>
      </c>
      <c r="B68" s="13" t="s">
        <v>451</v>
      </c>
      <c r="C68" s="17" t="s">
        <v>489</v>
      </c>
      <c r="D68" t="s">
        <v>259</v>
      </c>
      <c r="E68" s="13" t="s">
        <v>421</v>
      </c>
      <c r="F68" s="17" t="s">
        <v>122</v>
      </c>
      <c r="G68" s="17" t="str">
        <f t="shared" si="5"/>
        <v>2030 bench</v>
      </c>
      <c r="H68" s="17" t="s">
        <v>239</v>
      </c>
      <c r="I68" s="17" t="str">
        <f t="shared" si="7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422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6"/>
        <v>60</v>
      </c>
      <c r="B69" s="13" t="s">
        <v>452</v>
      </c>
      <c r="C69" s="17" t="s">
        <v>490</v>
      </c>
      <c r="D69" t="s">
        <v>259</v>
      </c>
      <c r="E69" s="13" t="s">
        <v>418</v>
      </c>
      <c r="F69" s="17" t="s">
        <v>122</v>
      </c>
      <c r="G69" s="17" t="str">
        <f t="shared" si="5"/>
        <v>2030 bench</v>
      </c>
      <c r="H69" s="17" t="s">
        <v>239</v>
      </c>
      <c r="I69" s="17" t="str">
        <f t="shared" si="7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422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6"/>
        <v>61</v>
      </c>
      <c r="B70" s="13" t="s">
        <v>452</v>
      </c>
      <c r="C70" s="17" t="s">
        <v>491</v>
      </c>
      <c r="D70" t="s">
        <v>259</v>
      </c>
      <c r="E70" s="13" t="s">
        <v>419</v>
      </c>
      <c r="F70" s="17" t="s">
        <v>122</v>
      </c>
      <c r="G70" s="17" t="str">
        <f t="shared" si="5"/>
        <v>2030 bench</v>
      </c>
      <c r="H70" s="17" t="s">
        <v>239</v>
      </c>
      <c r="I70" s="17" t="str">
        <f t="shared" si="7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422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6"/>
        <v>62</v>
      </c>
      <c r="B71" s="13" t="s">
        <v>452</v>
      </c>
      <c r="C71" s="17" t="s">
        <v>492</v>
      </c>
      <c r="D71" t="s">
        <v>259</v>
      </c>
      <c r="E71" s="13" t="s">
        <v>420</v>
      </c>
      <c r="F71" s="17" t="s">
        <v>122</v>
      </c>
      <c r="G71" s="17" t="str">
        <f t="shared" si="5"/>
        <v>2030 bench</v>
      </c>
      <c r="H71" s="17" t="s">
        <v>239</v>
      </c>
      <c r="I71" s="17" t="str">
        <f t="shared" si="7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422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6"/>
        <v>63</v>
      </c>
      <c r="B72" s="13" t="s">
        <v>452</v>
      </c>
      <c r="C72" s="17" t="s">
        <v>493</v>
      </c>
      <c r="D72" t="s">
        <v>259</v>
      </c>
      <c r="E72" s="13" t="s">
        <v>421</v>
      </c>
      <c r="F72" s="17" t="s">
        <v>122</v>
      </c>
      <c r="G72" s="17" t="str">
        <f t="shared" si="5"/>
        <v>2030 bench</v>
      </c>
      <c r="H72" s="17" t="s">
        <v>239</v>
      </c>
      <c r="I72" s="17" t="str">
        <f t="shared" si="7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422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6"/>
        <v>64</v>
      </c>
      <c r="B73" s="13" t="s">
        <v>453</v>
      </c>
      <c r="C73" s="17" t="s">
        <v>494</v>
      </c>
      <c r="D73" t="s">
        <v>259</v>
      </c>
      <c r="E73" s="13" t="s">
        <v>418</v>
      </c>
      <c r="F73" s="17" t="s">
        <v>122</v>
      </c>
      <c r="G73" s="17" t="str">
        <f t="shared" si="5"/>
        <v>2030 bench</v>
      </c>
      <c r="H73" s="17" t="s">
        <v>239</v>
      </c>
      <c r="I73" s="17" t="str">
        <f t="shared" si="7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422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6"/>
        <v>65</v>
      </c>
      <c r="B74" s="13" t="s">
        <v>453</v>
      </c>
      <c r="C74" s="17" t="s">
        <v>495</v>
      </c>
      <c r="D74" t="s">
        <v>259</v>
      </c>
      <c r="E74" s="13" t="s">
        <v>419</v>
      </c>
      <c r="F74" s="17" t="s">
        <v>122</v>
      </c>
      <c r="G74" s="17" t="str">
        <f t="shared" si="5"/>
        <v>2030 bench</v>
      </c>
      <c r="H74" s="17" t="s">
        <v>239</v>
      </c>
      <c r="I74" s="17" t="str">
        <f t="shared" si="7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422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si="6"/>
        <v>66</v>
      </c>
      <c r="B75" s="13" t="s">
        <v>453</v>
      </c>
      <c r="C75" s="17" t="s">
        <v>496</v>
      </c>
      <c r="D75" t="s">
        <v>259</v>
      </c>
      <c r="E75" s="13" t="s">
        <v>420</v>
      </c>
      <c r="F75" s="17" t="s">
        <v>122</v>
      </c>
      <c r="G75" s="17" t="str">
        <f t="shared" si="5"/>
        <v>2030 bench</v>
      </c>
      <c r="H75" s="17" t="s">
        <v>239</v>
      </c>
      <c r="I75" s="17" t="str">
        <f t="shared" si="7"/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422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6"/>
        <v>67</v>
      </c>
      <c r="B76" s="13" t="s">
        <v>453</v>
      </c>
      <c r="C76" s="17" t="s">
        <v>497</v>
      </c>
      <c r="D76" t="s">
        <v>259</v>
      </c>
      <c r="E76" s="13" t="s">
        <v>421</v>
      </c>
      <c r="F76" s="17" t="s">
        <v>122</v>
      </c>
      <c r="G76" s="17" t="str">
        <f t="shared" si="5"/>
        <v>2030 bench</v>
      </c>
      <c r="H76" s="17" t="s">
        <v>239</v>
      </c>
      <c r="I76" s="17" t="str">
        <f t="shared" si="7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422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6"/>
        <v>68</v>
      </c>
      <c r="B77" s="13" t="s">
        <v>511</v>
      </c>
      <c r="C77" s="17" t="s">
        <v>517</v>
      </c>
      <c r="D77" t="s">
        <v>259</v>
      </c>
      <c r="E77" s="13" t="s">
        <v>418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7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422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ref="A78:A103" si="8">ROW(A78)-ROW($A$9)</f>
        <v>69</v>
      </c>
      <c r="B78" s="13" t="s">
        <v>511</v>
      </c>
      <c r="C78" s="17" t="s">
        <v>518</v>
      </c>
      <c r="D78" t="s">
        <v>259</v>
      </c>
      <c r="E78" s="13" t="s">
        <v>419</v>
      </c>
      <c r="F78" s="17" t="s">
        <v>122</v>
      </c>
      <c r="G78" s="17" t="str">
        <f t="shared" si="5"/>
        <v>2030 bench</v>
      </c>
      <c r="H78" s="17" t="s">
        <v>239</v>
      </c>
      <c r="I78" s="17" t="str">
        <f t="shared" ref="I78:I111" si="9">"2019"</f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422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8"/>
        <v>70</v>
      </c>
      <c r="B79" s="13" t="s">
        <v>511</v>
      </c>
      <c r="C79" s="17" t="s">
        <v>519</v>
      </c>
      <c r="D79" t="s">
        <v>259</v>
      </c>
      <c r="E79" s="13" t="s">
        <v>420</v>
      </c>
      <c r="F79" s="17" t="s">
        <v>122</v>
      </c>
      <c r="G79" s="17" t="str">
        <f t="shared" ref="G79:G80" si="10">"2030 bench"</f>
        <v>2030 bench</v>
      </c>
      <c r="H79" s="17" t="s">
        <v>239</v>
      </c>
      <c r="I79" s="17" t="str">
        <f t="shared" si="9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422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8"/>
        <v>71</v>
      </c>
      <c r="B80" s="13" t="s">
        <v>511</v>
      </c>
      <c r="C80" s="17" t="s">
        <v>520</v>
      </c>
      <c r="D80" t="s">
        <v>259</v>
      </c>
      <c r="E80" s="13" t="s">
        <v>421</v>
      </c>
      <c r="F80" s="17" t="s">
        <v>122</v>
      </c>
      <c r="G80" s="17" t="str">
        <f t="shared" si="10"/>
        <v>2030 bench</v>
      </c>
      <c r="H80" s="17" t="s">
        <v>239</v>
      </c>
      <c r="I80" s="17" t="str">
        <f t="shared" si="9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422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8"/>
        <v>72</v>
      </c>
      <c r="B81" s="13" t="s">
        <v>512</v>
      </c>
      <c r="C81" s="17" t="s">
        <v>529</v>
      </c>
      <c r="D81" t="s">
        <v>259</v>
      </c>
      <c r="E81" s="13" t="s">
        <v>418</v>
      </c>
      <c r="F81" s="17" t="s">
        <v>122</v>
      </c>
      <c r="G81" s="17" t="str">
        <f>"2030 bench"</f>
        <v>2030 bench</v>
      </c>
      <c r="H81" s="17" t="s">
        <v>239</v>
      </c>
      <c r="I81" s="17" t="str">
        <f t="shared" si="9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422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8"/>
        <v>73</v>
      </c>
      <c r="B82" s="13" t="s">
        <v>512</v>
      </c>
      <c r="C82" s="17" t="s">
        <v>530</v>
      </c>
      <c r="D82" t="s">
        <v>259</v>
      </c>
      <c r="E82" s="13" t="s">
        <v>419</v>
      </c>
      <c r="F82" s="17" t="s">
        <v>122</v>
      </c>
      <c r="G82" s="17" t="str">
        <f t="shared" ref="G82:G84" si="11">"2030 bench"</f>
        <v>2030 bench</v>
      </c>
      <c r="H82" s="17" t="s">
        <v>239</v>
      </c>
      <c r="I82" s="17" t="str">
        <f t="shared" si="9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422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8"/>
        <v>74</v>
      </c>
      <c r="B83" s="13" t="s">
        <v>512</v>
      </c>
      <c r="C83" s="17" t="s">
        <v>531</v>
      </c>
      <c r="D83" t="s">
        <v>259</v>
      </c>
      <c r="E83" s="13" t="s">
        <v>420</v>
      </c>
      <c r="F83" s="17" t="s">
        <v>122</v>
      </c>
      <c r="G83" s="17" t="str">
        <f t="shared" si="11"/>
        <v>2030 bench</v>
      </c>
      <c r="H83" s="17" t="s">
        <v>239</v>
      </c>
      <c r="I83" s="17" t="str">
        <f t="shared" si="9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422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8"/>
        <v>75</v>
      </c>
      <c r="B84" s="13" t="s">
        <v>512</v>
      </c>
      <c r="C84" s="17" t="s">
        <v>532</v>
      </c>
      <c r="D84" t="s">
        <v>259</v>
      </c>
      <c r="E84" s="13" t="s">
        <v>421</v>
      </c>
      <c r="F84" s="17" t="s">
        <v>122</v>
      </c>
      <c r="G84" s="17" t="str">
        <f t="shared" si="11"/>
        <v>2030 bench</v>
      </c>
      <c r="H84" s="17" t="s">
        <v>239</v>
      </c>
      <c r="I84" s="17" t="str">
        <f t="shared" si="9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422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8"/>
        <v>76</v>
      </c>
      <c r="B85" s="13" t="s">
        <v>513</v>
      </c>
      <c r="C85" s="17" t="s">
        <v>521</v>
      </c>
      <c r="D85" t="s">
        <v>259</v>
      </c>
      <c r="E85" s="13" t="s">
        <v>418</v>
      </c>
      <c r="F85" s="17" t="s">
        <v>122</v>
      </c>
      <c r="G85" s="17" t="str">
        <f>"2030 bench"</f>
        <v>2030 bench</v>
      </c>
      <c r="H85" s="17" t="s">
        <v>239</v>
      </c>
      <c r="I85" s="17" t="str">
        <f t="shared" si="9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422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8"/>
        <v>77</v>
      </c>
      <c r="B86" s="13" t="s">
        <v>513</v>
      </c>
      <c r="C86" s="17" t="s">
        <v>522</v>
      </c>
      <c r="D86" t="s">
        <v>259</v>
      </c>
      <c r="E86" s="13" t="s">
        <v>419</v>
      </c>
      <c r="F86" s="17" t="s">
        <v>122</v>
      </c>
      <c r="G86" s="17" t="str">
        <f t="shared" ref="G86:G96" si="12">"2030 bench"</f>
        <v>2030 bench</v>
      </c>
      <c r="H86" s="17" t="s">
        <v>239</v>
      </c>
      <c r="I86" s="17" t="str">
        <f t="shared" si="9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422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8"/>
        <v>78</v>
      </c>
      <c r="B87" s="13" t="s">
        <v>513</v>
      </c>
      <c r="C87" s="17" t="s">
        <v>523</v>
      </c>
      <c r="D87" t="s">
        <v>259</v>
      </c>
      <c r="E87" s="13" t="s">
        <v>420</v>
      </c>
      <c r="F87" s="17" t="s">
        <v>122</v>
      </c>
      <c r="G87" s="17" t="str">
        <f t="shared" si="12"/>
        <v>2030 bench</v>
      </c>
      <c r="H87" s="17" t="s">
        <v>239</v>
      </c>
      <c r="I87" s="17" t="str">
        <f t="shared" si="9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422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8"/>
        <v>79</v>
      </c>
      <c r="B88" s="13" t="s">
        <v>513</v>
      </c>
      <c r="C88" s="17" t="s">
        <v>524</v>
      </c>
      <c r="D88" t="s">
        <v>259</v>
      </c>
      <c r="E88" s="13" t="s">
        <v>421</v>
      </c>
      <c r="F88" s="17" t="s">
        <v>122</v>
      </c>
      <c r="G88" s="17" t="str">
        <f t="shared" si="12"/>
        <v>2030 bench</v>
      </c>
      <c r="H88" s="17" t="s">
        <v>239</v>
      </c>
      <c r="I88" s="17" t="str">
        <f t="shared" si="9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422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8"/>
        <v>80</v>
      </c>
      <c r="B89" s="13" t="s">
        <v>514</v>
      </c>
      <c r="C89" s="17" t="s">
        <v>533</v>
      </c>
      <c r="D89" t="s">
        <v>259</v>
      </c>
      <c r="E89" s="13" t="s">
        <v>418</v>
      </c>
      <c r="F89" s="17" t="s">
        <v>122</v>
      </c>
      <c r="G89" s="17" t="str">
        <f>"2030 bench"</f>
        <v>2030 bench</v>
      </c>
      <c r="H89" s="17" t="s">
        <v>239</v>
      </c>
      <c r="I89" s="17" t="str">
        <f t="shared" si="9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422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8"/>
        <v>81</v>
      </c>
      <c r="B90" s="13" t="s">
        <v>514</v>
      </c>
      <c r="C90" s="17" t="s">
        <v>534</v>
      </c>
      <c r="D90" t="s">
        <v>259</v>
      </c>
      <c r="E90" s="13" t="s">
        <v>419</v>
      </c>
      <c r="F90" s="17" t="s">
        <v>122</v>
      </c>
      <c r="G90" s="17" t="str">
        <f t="shared" ref="G90:G92" si="13">"2030 bench"</f>
        <v>2030 bench</v>
      </c>
      <c r="H90" s="17" t="s">
        <v>239</v>
      </c>
      <c r="I90" s="17" t="str">
        <f t="shared" si="9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422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8"/>
        <v>82</v>
      </c>
      <c r="B91" s="13" t="s">
        <v>514</v>
      </c>
      <c r="C91" s="17" t="s">
        <v>535</v>
      </c>
      <c r="D91" t="s">
        <v>259</v>
      </c>
      <c r="E91" s="13" t="s">
        <v>420</v>
      </c>
      <c r="F91" s="17" t="s">
        <v>122</v>
      </c>
      <c r="G91" s="17" t="str">
        <f t="shared" si="13"/>
        <v>2030 bench</v>
      </c>
      <c r="H91" s="17" t="s">
        <v>239</v>
      </c>
      <c r="I91" s="17" t="str">
        <f t="shared" si="9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422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8"/>
        <v>83</v>
      </c>
      <c r="B92" s="13" t="s">
        <v>514</v>
      </c>
      <c r="C92" s="17" t="s">
        <v>536</v>
      </c>
      <c r="D92" t="s">
        <v>259</v>
      </c>
      <c r="E92" s="13" t="s">
        <v>421</v>
      </c>
      <c r="F92" s="17" t="s">
        <v>122</v>
      </c>
      <c r="G92" s="17" t="str">
        <f t="shared" si="13"/>
        <v>2030 bench</v>
      </c>
      <c r="H92" s="17" t="s">
        <v>239</v>
      </c>
      <c r="I92" s="17" t="str">
        <f t="shared" si="9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422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8"/>
        <v>84</v>
      </c>
      <c r="B93" s="13" t="s">
        <v>515</v>
      </c>
      <c r="C93" s="17" t="s">
        <v>525</v>
      </c>
      <c r="D93" t="s">
        <v>259</v>
      </c>
      <c r="E93" s="13" t="s">
        <v>418</v>
      </c>
      <c r="F93" s="17" t="s">
        <v>122</v>
      </c>
      <c r="G93" s="17" t="str">
        <f>"2030 bench"</f>
        <v>2030 bench</v>
      </c>
      <c r="H93" s="17" t="s">
        <v>239</v>
      </c>
      <c r="I93" s="17" t="str">
        <f t="shared" si="9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422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8"/>
        <v>85</v>
      </c>
      <c r="B94" s="13" t="s">
        <v>515</v>
      </c>
      <c r="C94" s="17" t="s">
        <v>526</v>
      </c>
      <c r="D94" t="s">
        <v>259</v>
      </c>
      <c r="E94" s="13" t="s">
        <v>419</v>
      </c>
      <c r="F94" s="17" t="s">
        <v>122</v>
      </c>
      <c r="G94" s="17" t="str">
        <f t="shared" si="12"/>
        <v>2030 bench</v>
      </c>
      <c r="H94" s="17" t="s">
        <v>239</v>
      </c>
      <c r="I94" s="17" t="str">
        <f t="shared" si="9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422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8"/>
        <v>86</v>
      </c>
      <c r="B95" s="13" t="s">
        <v>515</v>
      </c>
      <c r="C95" s="17" t="s">
        <v>527</v>
      </c>
      <c r="D95" t="s">
        <v>259</v>
      </c>
      <c r="E95" s="13" t="s">
        <v>420</v>
      </c>
      <c r="F95" s="17" t="s">
        <v>122</v>
      </c>
      <c r="G95" s="17" t="str">
        <f t="shared" si="12"/>
        <v>2030 bench</v>
      </c>
      <c r="H95" s="17" t="s">
        <v>239</v>
      </c>
      <c r="I95" s="17" t="str">
        <f t="shared" si="9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422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8"/>
        <v>87</v>
      </c>
      <c r="B96" s="13" t="s">
        <v>515</v>
      </c>
      <c r="C96" s="17" t="s">
        <v>528</v>
      </c>
      <c r="D96" t="s">
        <v>259</v>
      </c>
      <c r="E96" s="13" t="s">
        <v>421</v>
      </c>
      <c r="F96" s="17" t="s">
        <v>122</v>
      </c>
      <c r="G96" s="17" t="str">
        <f t="shared" si="12"/>
        <v>2030 bench</v>
      </c>
      <c r="H96" s="17" t="s">
        <v>239</v>
      </c>
      <c r="I96" s="17" t="str">
        <f t="shared" si="9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422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8"/>
        <v>88</v>
      </c>
      <c r="B97" s="13" t="s">
        <v>516</v>
      </c>
      <c r="C97" s="17" t="s">
        <v>537</v>
      </c>
      <c r="D97" t="s">
        <v>231</v>
      </c>
      <c r="E97" s="13" t="s">
        <v>418</v>
      </c>
      <c r="F97" s="17" t="s">
        <v>122</v>
      </c>
      <c r="G97" s="17" t="str">
        <f>"2030 bench"</f>
        <v>2030 bench</v>
      </c>
      <c r="H97" s="17" t="s">
        <v>239</v>
      </c>
      <c r="I97" s="17" t="str">
        <f t="shared" si="9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422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8"/>
        <v>89</v>
      </c>
      <c r="B98" s="13" t="s">
        <v>516</v>
      </c>
      <c r="C98" s="17" t="s">
        <v>538</v>
      </c>
      <c r="D98" t="s">
        <v>231</v>
      </c>
      <c r="E98" s="13" t="s">
        <v>419</v>
      </c>
      <c r="F98" s="17" t="s">
        <v>122</v>
      </c>
      <c r="G98" s="17" t="str">
        <f t="shared" ref="G98:G103" si="14">"2030 bench"</f>
        <v>2030 bench</v>
      </c>
      <c r="H98" s="17" t="s">
        <v>239</v>
      </c>
      <c r="I98" s="17" t="str">
        <f t="shared" si="9"/>
        <v>2019</v>
      </c>
      <c r="J98" s="17" t="s">
        <v>104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422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0</v>
      </c>
    </row>
    <row r="99" spans="1:35" x14ac:dyDescent="0.3">
      <c r="A99" s="13">
        <f t="shared" si="8"/>
        <v>90</v>
      </c>
      <c r="B99" s="13" t="s">
        <v>516</v>
      </c>
      <c r="C99" s="17" t="s">
        <v>539</v>
      </c>
      <c r="D99" t="s">
        <v>231</v>
      </c>
      <c r="E99" s="13" t="s">
        <v>420</v>
      </c>
      <c r="F99" s="17" t="s">
        <v>122</v>
      </c>
      <c r="G99" s="17" t="str">
        <f t="shared" si="14"/>
        <v>2030 bench</v>
      </c>
      <c r="H99" s="17" t="s">
        <v>239</v>
      </c>
      <c r="I99" s="17" t="str">
        <f t="shared" si="9"/>
        <v>2019</v>
      </c>
      <c r="J99" s="17" t="s">
        <v>104</v>
      </c>
      <c r="K99" s="17">
        <v>0</v>
      </c>
      <c r="L99" s="17">
        <v>0</v>
      </c>
      <c r="M99" s="17">
        <v>-1</v>
      </c>
      <c r="N99" s="17" t="s">
        <v>122</v>
      </c>
      <c r="O99" s="17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422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1</v>
      </c>
      <c r="AC99" t="b">
        <v>0</v>
      </c>
      <c r="AD99" t="b">
        <v>1</v>
      </c>
      <c r="AE99" t="b">
        <v>1</v>
      </c>
      <c r="AF99" s="21" t="b">
        <v>0</v>
      </c>
      <c r="AG99" t="b">
        <v>0</v>
      </c>
      <c r="AH99" t="b">
        <v>0</v>
      </c>
      <c r="AI99" t="b">
        <v>0</v>
      </c>
    </row>
    <row r="100" spans="1:35" x14ac:dyDescent="0.3">
      <c r="A100" s="13">
        <f t="shared" si="8"/>
        <v>91</v>
      </c>
      <c r="B100" s="13" t="s">
        <v>516</v>
      </c>
      <c r="C100" s="17" t="s">
        <v>540</v>
      </c>
      <c r="D100" t="s">
        <v>231</v>
      </c>
      <c r="E100" s="13" t="s">
        <v>421</v>
      </c>
      <c r="F100" s="17" t="s">
        <v>122</v>
      </c>
      <c r="G100" s="17" t="str">
        <f t="shared" si="14"/>
        <v>2030 bench</v>
      </c>
      <c r="H100" s="17" t="s">
        <v>239</v>
      </c>
      <c r="I100" s="17" t="str">
        <f t="shared" si="9"/>
        <v>2019</v>
      </c>
      <c r="J100" s="17" t="s">
        <v>104</v>
      </c>
      <c r="K100" s="17">
        <v>0</v>
      </c>
      <c r="L100" s="17">
        <v>0</v>
      </c>
      <c r="M100" s="17">
        <v>-1</v>
      </c>
      <c r="N100" s="17" t="s">
        <v>122</v>
      </c>
      <c r="O100" s="17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422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1</v>
      </c>
      <c r="AC100" t="b">
        <v>0</v>
      </c>
      <c r="AD100" t="b">
        <v>1</v>
      </c>
      <c r="AE100" t="b">
        <v>1</v>
      </c>
      <c r="AF100" s="21" t="b">
        <v>0</v>
      </c>
      <c r="AG100" t="b">
        <v>0</v>
      </c>
      <c r="AH100" t="b">
        <v>0</v>
      </c>
      <c r="AI100" t="b">
        <v>0</v>
      </c>
    </row>
    <row r="101" spans="1:35" x14ac:dyDescent="0.3">
      <c r="A101" s="102">
        <f t="shared" si="8"/>
        <v>92</v>
      </c>
      <c r="B101" s="102" t="s">
        <v>580</v>
      </c>
      <c r="C101" s="103" t="s">
        <v>585</v>
      </c>
      <c r="D101" s="104" t="s">
        <v>231</v>
      </c>
      <c r="E101" s="102" t="s">
        <v>103</v>
      </c>
      <c r="F101" s="105" t="s">
        <v>122</v>
      </c>
      <c r="G101" s="105" t="str">
        <f t="shared" si="14"/>
        <v>2030 bench</v>
      </c>
      <c r="H101" s="105" t="s">
        <v>239</v>
      </c>
      <c r="I101" s="105" t="str">
        <f t="shared" si="9"/>
        <v>2019</v>
      </c>
      <c r="J101" s="105" t="s">
        <v>122</v>
      </c>
      <c r="K101" s="105">
        <v>0</v>
      </c>
      <c r="L101" s="105">
        <v>0</v>
      </c>
      <c r="M101" s="105">
        <v>-1</v>
      </c>
      <c r="N101" s="105" t="s">
        <v>122</v>
      </c>
      <c r="O101" s="105">
        <v>0</v>
      </c>
      <c r="P101" s="105">
        <v>1</v>
      </c>
      <c r="Q101" s="105">
        <v>0</v>
      </c>
      <c r="R101" s="104" t="s">
        <v>221</v>
      </c>
      <c r="S101" s="104" t="s">
        <v>222</v>
      </c>
      <c r="T101" s="104" t="s">
        <v>422</v>
      </c>
      <c r="U101" s="106" t="b">
        <v>0</v>
      </c>
      <c r="V101" s="104" t="b">
        <v>1</v>
      </c>
      <c r="W101" s="104" t="b">
        <v>0</v>
      </c>
      <c r="X101" s="104" t="b">
        <v>0</v>
      </c>
      <c r="Y101" s="104" t="b">
        <v>1</v>
      </c>
      <c r="Z101" s="104" t="b">
        <v>0</v>
      </c>
      <c r="AA101" s="104" t="b">
        <v>0</v>
      </c>
      <c r="AB101" s="104" t="b">
        <v>1</v>
      </c>
      <c r="AC101" s="104" t="b">
        <v>0</v>
      </c>
      <c r="AD101" s="104" t="b">
        <v>1</v>
      </c>
      <c r="AE101" s="104" t="b">
        <v>1</v>
      </c>
      <c r="AF101" s="107" t="b">
        <v>0</v>
      </c>
      <c r="AG101" s="104" t="b">
        <v>0</v>
      </c>
      <c r="AH101" s="104" t="b">
        <v>0</v>
      </c>
      <c r="AI101" s="104" t="b">
        <v>0</v>
      </c>
    </row>
    <row r="102" spans="1:35" x14ac:dyDescent="0.3">
      <c r="A102" s="102">
        <f t="shared" si="8"/>
        <v>93</v>
      </c>
      <c r="B102" s="102" t="s">
        <v>581</v>
      </c>
      <c r="C102" s="103" t="s">
        <v>583</v>
      </c>
      <c r="D102" s="104" t="s">
        <v>231</v>
      </c>
      <c r="E102" s="102" t="s">
        <v>103</v>
      </c>
      <c r="F102" s="105" t="s">
        <v>122</v>
      </c>
      <c r="G102" s="105" t="str">
        <f t="shared" si="14"/>
        <v>2030 bench</v>
      </c>
      <c r="H102" s="105" t="s">
        <v>239</v>
      </c>
      <c r="I102" s="105" t="str">
        <f t="shared" si="9"/>
        <v>2019</v>
      </c>
      <c r="J102" s="105" t="s">
        <v>122</v>
      </c>
      <c r="K102" s="105">
        <v>0</v>
      </c>
      <c r="L102" s="105">
        <v>0</v>
      </c>
      <c r="M102" s="105">
        <v>-1</v>
      </c>
      <c r="N102" s="105" t="s">
        <v>122</v>
      </c>
      <c r="O102" s="105">
        <v>0</v>
      </c>
      <c r="P102" s="105">
        <v>1</v>
      </c>
      <c r="Q102" s="105">
        <v>0</v>
      </c>
      <c r="R102" s="104" t="s">
        <v>221</v>
      </c>
      <c r="S102" s="104" t="s">
        <v>222</v>
      </c>
      <c r="T102" s="104" t="s">
        <v>422</v>
      </c>
      <c r="U102" s="106" t="b">
        <v>0</v>
      </c>
      <c r="V102" s="104" t="b">
        <v>1</v>
      </c>
      <c r="W102" s="104" t="b">
        <v>0</v>
      </c>
      <c r="X102" s="104" t="b">
        <v>0</v>
      </c>
      <c r="Y102" s="104" t="b">
        <v>1</v>
      </c>
      <c r="Z102" s="104" t="b">
        <v>0</v>
      </c>
      <c r="AA102" s="104" t="b">
        <v>0</v>
      </c>
      <c r="AB102" s="104" t="b">
        <v>1</v>
      </c>
      <c r="AC102" s="104" t="b">
        <v>0</v>
      </c>
      <c r="AD102" s="104" t="b">
        <v>1</v>
      </c>
      <c r="AE102" s="104" t="b">
        <v>1</v>
      </c>
      <c r="AF102" s="107" t="b">
        <v>0</v>
      </c>
      <c r="AG102" s="104" t="b">
        <v>0</v>
      </c>
      <c r="AH102" s="104" t="b">
        <v>0</v>
      </c>
      <c r="AI102" s="104" t="b">
        <v>0</v>
      </c>
    </row>
    <row r="103" spans="1:35" x14ac:dyDescent="0.3">
      <c r="A103" s="102">
        <f t="shared" si="8"/>
        <v>94</v>
      </c>
      <c r="B103" s="102" t="s">
        <v>582</v>
      </c>
      <c r="C103" s="103" t="s">
        <v>584</v>
      </c>
      <c r="D103" s="104" t="s">
        <v>231</v>
      </c>
      <c r="E103" s="102" t="s">
        <v>103</v>
      </c>
      <c r="F103" s="105" t="s">
        <v>122</v>
      </c>
      <c r="G103" s="105" t="str">
        <f t="shared" si="14"/>
        <v>2030 bench</v>
      </c>
      <c r="H103" s="105" t="s">
        <v>239</v>
      </c>
      <c r="I103" s="105" t="str">
        <f t="shared" si="9"/>
        <v>2019</v>
      </c>
      <c r="J103" s="105" t="s">
        <v>122</v>
      </c>
      <c r="K103" s="105">
        <v>0</v>
      </c>
      <c r="L103" s="105">
        <v>0</v>
      </c>
      <c r="M103" s="105">
        <v>-1</v>
      </c>
      <c r="N103" s="105" t="s">
        <v>122</v>
      </c>
      <c r="O103" s="105">
        <v>0</v>
      </c>
      <c r="P103" s="105">
        <v>1</v>
      </c>
      <c r="Q103" s="105">
        <v>0</v>
      </c>
      <c r="R103" s="104" t="s">
        <v>221</v>
      </c>
      <c r="S103" s="104" t="s">
        <v>222</v>
      </c>
      <c r="T103" s="104" t="s">
        <v>422</v>
      </c>
      <c r="U103" s="106" t="b">
        <v>0</v>
      </c>
      <c r="V103" s="104" t="b">
        <v>1</v>
      </c>
      <c r="W103" s="104" t="b">
        <v>0</v>
      </c>
      <c r="X103" s="104" t="b">
        <v>0</v>
      </c>
      <c r="Y103" s="104" t="b">
        <v>1</v>
      </c>
      <c r="Z103" s="104" t="b">
        <v>0</v>
      </c>
      <c r="AA103" s="104" t="b">
        <v>0</v>
      </c>
      <c r="AB103" s="104" t="b">
        <v>1</v>
      </c>
      <c r="AC103" s="104" t="b">
        <v>0</v>
      </c>
      <c r="AD103" s="104" t="b">
        <v>1</v>
      </c>
      <c r="AE103" s="104" t="b">
        <v>1</v>
      </c>
      <c r="AF103" s="107" t="b">
        <v>0</v>
      </c>
      <c r="AG103" s="104" t="b">
        <v>0</v>
      </c>
      <c r="AH103" s="104" t="b">
        <v>0</v>
      </c>
      <c r="AI103" s="104" t="b">
        <v>0</v>
      </c>
    </row>
    <row r="104" spans="1:35" x14ac:dyDescent="0.3">
      <c r="A104" s="87">
        <f t="shared" ref="A104:A118" si="15">ROW(A104)-ROW($A$9)</f>
        <v>95</v>
      </c>
      <c r="B104" s="87" t="s">
        <v>586</v>
      </c>
      <c r="C104" s="88" t="s">
        <v>590</v>
      </c>
      <c r="D104" s="89" t="s">
        <v>231</v>
      </c>
      <c r="E104" s="87" t="s">
        <v>103</v>
      </c>
      <c r="F104" s="90" t="s">
        <v>122</v>
      </c>
      <c r="G104" s="90" t="str">
        <f t="shared" si="3"/>
        <v>2030 bench</v>
      </c>
      <c r="H104" s="90" t="s">
        <v>239</v>
      </c>
      <c r="I104" s="90" t="str">
        <f t="shared" si="9"/>
        <v>2019</v>
      </c>
      <c r="J104" s="90" t="s">
        <v>104</v>
      </c>
      <c r="K104" s="90">
        <v>0</v>
      </c>
      <c r="L104" s="90">
        <v>0</v>
      </c>
      <c r="M104" s="90">
        <v>-1</v>
      </c>
      <c r="N104" s="90" t="s">
        <v>122</v>
      </c>
      <c r="O104" s="90">
        <v>0</v>
      </c>
      <c r="P104" s="90">
        <v>1</v>
      </c>
      <c r="Q104" s="90">
        <v>0</v>
      </c>
      <c r="R104" s="89" t="s">
        <v>221</v>
      </c>
      <c r="S104" s="89" t="s">
        <v>222</v>
      </c>
      <c r="T104" s="89" t="s">
        <v>422</v>
      </c>
      <c r="U104" s="91" t="b">
        <v>0</v>
      </c>
      <c r="V104" s="89" t="b">
        <v>1</v>
      </c>
      <c r="W104" s="89" t="b">
        <v>0</v>
      </c>
      <c r="X104" s="89" t="b">
        <v>0</v>
      </c>
      <c r="Y104" s="89" t="b">
        <v>1</v>
      </c>
      <c r="Z104" s="89" t="b">
        <v>0</v>
      </c>
      <c r="AA104" s="89" t="b">
        <v>0</v>
      </c>
      <c r="AB104" s="89" t="b">
        <v>1</v>
      </c>
      <c r="AC104" s="89" t="b">
        <v>0</v>
      </c>
      <c r="AD104" s="89" t="b">
        <v>1</v>
      </c>
      <c r="AE104" s="89" t="b">
        <v>1</v>
      </c>
      <c r="AF104" s="92" t="b">
        <v>0</v>
      </c>
      <c r="AG104" s="89" t="b">
        <v>0</v>
      </c>
      <c r="AH104" s="89" t="b">
        <v>0</v>
      </c>
      <c r="AI104" s="89" t="b">
        <v>1</v>
      </c>
    </row>
    <row r="105" spans="1:35" x14ac:dyDescent="0.3">
      <c r="A105" s="87">
        <f t="shared" si="15"/>
        <v>96</v>
      </c>
      <c r="B105" s="87" t="s">
        <v>587</v>
      </c>
      <c r="C105" s="88" t="s">
        <v>589</v>
      </c>
      <c r="D105" s="89" t="s">
        <v>231</v>
      </c>
      <c r="E105" s="87" t="s">
        <v>103</v>
      </c>
      <c r="F105" s="90" t="s">
        <v>122</v>
      </c>
      <c r="G105" s="90" t="str">
        <f t="shared" si="3"/>
        <v>2030 bench</v>
      </c>
      <c r="H105" s="90" t="s">
        <v>239</v>
      </c>
      <c r="I105" s="90" t="str">
        <f t="shared" si="9"/>
        <v>2019</v>
      </c>
      <c r="J105" s="90" t="s">
        <v>87</v>
      </c>
      <c r="K105" s="90">
        <v>0</v>
      </c>
      <c r="L105" s="90">
        <v>0</v>
      </c>
      <c r="M105" s="90">
        <v>-1</v>
      </c>
      <c r="N105" s="90" t="s">
        <v>122</v>
      </c>
      <c r="O105" s="90">
        <v>0</v>
      </c>
      <c r="P105" s="90">
        <v>1</v>
      </c>
      <c r="Q105" s="90">
        <v>0</v>
      </c>
      <c r="R105" s="89" t="s">
        <v>221</v>
      </c>
      <c r="S105" s="89" t="s">
        <v>222</v>
      </c>
      <c r="T105" s="89" t="s">
        <v>422</v>
      </c>
      <c r="U105" s="91" t="b">
        <v>0</v>
      </c>
      <c r="V105" s="89" t="b">
        <v>1</v>
      </c>
      <c r="W105" s="89" t="b">
        <v>0</v>
      </c>
      <c r="X105" s="89" t="b">
        <v>0</v>
      </c>
      <c r="Y105" s="89" t="b">
        <v>1</v>
      </c>
      <c r="Z105" s="89" t="b">
        <v>0</v>
      </c>
      <c r="AA105" s="89" t="b">
        <v>0</v>
      </c>
      <c r="AB105" s="89" t="b">
        <v>1</v>
      </c>
      <c r="AC105" s="89" t="b">
        <v>0</v>
      </c>
      <c r="AD105" s="89" t="b">
        <v>1</v>
      </c>
      <c r="AE105" s="89" t="b">
        <v>1</v>
      </c>
      <c r="AF105" s="92" t="b">
        <v>0</v>
      </c>
      <c r="AG105" s="89" t="b">
        <v>0</v>
      </c>
      <c r="AH105" s="89" t="b">
        <v>0</v>
      </c>
      <c r="AI105" s="89" t="b">
        <v>1</v>
      </c>
    </row>
    <row r="106" spans="1:35" x14ac:dyDescent="0.3">
      <c r="A106" s="87">
        <f t="shared" si="15"/>
        <v>97</v>
      </c>
      <c r="B106" s="87" t="s">
        <v>588</v>
      </c>
      <c r="C106" s="88" t="s">
        <v>592</v>
      </c>
      <c r="D106" s="89" t="s">
        <v>231</v>
      </c>
      <c r="E106" s="87" t="s">
        <v>103</v>
      </c>
      <c r="F106" s="90" t="s">
        <v>122</v>
      </c>
      <c r="G106" s="90" t="str">
        <f t="shared" si="3"/>
        <v>2030 bench</v>
      </c>
      <c r="H106" s="90" t="s">
        <v>239</v>
      </c>
      <c r="I106" s="90" t="str">
        <f t="shared" si="9"/>
        <v>2019</v>
      </c>
      <c r="J106" s="90" t="s">
        <v>104</v>
      </c>
      <c r="K106" s="90">
        <v>0</v>
      </c>
      <c r="L106" s="90">
        <v>0</v>
      </c>
      <c r="M106" s="90">
        <v>-1</v>
      </c>
      <c r="N106" s="90" t="s">
        <v>122</v>
      </c>
      <c r="O106" s="90">
        <v>0</v>
      </c>
      <c r="P106" s="90">
        <v>1</v>
      </c>
      <c r="Q106" s="90">
        <v>0</v>
      </c>
      <c r="R106" s="89" t="s">
        <v>221</v>
      </c>
      <c r="S106" s="89" t="s">
        <v>222</v>
      </c>
      <c r="T106" s="89" t="s">
        <v>422</v>
      </c>
      <c r="U106" s="91" t="b">
        <v>0</v>
      </c>
      <c r="V106" s="89" t="b">
        <v>1</v>
      </c>
      <c r="W106" s="89" t="b">
        <v>0</v>
      </c>
      <c r="X106" s="89" t="b">
        <v>0</v>
      </c>
      <c r="Y106" s="89" t="b">
        <v>1</v>
      </c>
      <c r="Z106" s="89" t="b">
        <v>0</v>
      </c>
      <c r="AA106" s="89" t="b">
        <v>0</v>
      </c>
      <c r="AB106" s="89" t="b">
        <v>1</v>
      </c>
      <c r="AC106" s="89" t="b">
        <v>0</v>
      </c>
      <c r="AD106" s="89" t="b">
        <v>1</v>
      </c>
      <c r="AE106" s="89" t="b">
        <v>1</v>
      </c>
      <c r="AF106" s="92" t="b">
        <v>0</v>
      </c>
      <c r="AG106" s="89" t="b">
        <v>0</v>
      </c>
      <c r="AH106" s="89" t="b">
        <v>0</v>
      </c>
      <c r="AI106" s="89" t="b">
        <v>1</v>
      </c>
    </row>
    <row r="107" spans="1:35" x14ac:dyDescent="0.3">
      <c r="A107" s="87">
        <f t="shared" si="15"/>
        <v>98</v>
      </c>
      <c r="B107" s="87" t="s">
        <v>591</v>
      </c>
      <c r="C107" s="88" t="s">
        <v>593</v>
      </c>
      <c r="D107" s="89" t="s">
        <v>231</v>
      </c>
      <c r="E107" s="87" t="s">
        <v>103</v>
      </c>
      <c r="F107" s="90" t="s">
        <v>122</v>
      </c>
      <c r="G107" s="90" t="str">
        <f t="shared" si="3"/>
        <v>2030 bench</v>
      </c>
      <c r="H107" s="90" t="s">
        <v>239</v>
      </c>
      <c r="I107" s="90" t="str">
        <f t="shared" si="9"/>
        <v>2019</v>
      </c>
      <c r="J107" s="90" t="s">
        <v>104</v>
      </c>
      <c r="K107" s="90">
        <v>0</v>
      </c>
      <c r="L107" s="90">
        <v>0</v>
      </c>
      <c r="M107" s="90">
        <v>-1</v>
      </c>
      <c r="N107" s="90" t="s">
        <v>122</v>
      </c>
      <c r="O107" s="90">
        <v>0</v>
      </c>
      <c r="P107" s="90">
        <v>1</v>
      </c>
      <c r="Q107" s="90">
        <v>0</v>
      </c>
      <c r="R107" s="89" t="s">
        <v>221</v>
      </c>
      <c r="S107" s="89" t="s">
        <v>222</v>
      </c>
      <c r="T107" s="89" t="s">
        <v>422</v>
      </c>
      <c r="U107" s="91" t="b">
        <v>0</v>
      </c>
      <c r="V107" s="89" t="b">
        <v>1</v>
      </c>
      <c r="W107" s="89" t="b">
        <v>0</v>
      </c>
      <c r="X107" s="89" t="b">
        <v>0</v>
      </c>
      <c r="Y107" s="89" t="b">
        <v>1</v>
      </c>
      <c r="Z107" s="89" t="b">
        <v>0</v>
      </c>
      <c r="AA107" s="89" t="b">
        <v>0</v>
      </c>
      <c r="AB107" s="89" t="b">
        <v>1</v>
      </c>
      <c r="AC107" s="89" t="b">
        <v>0</v>
      </c>
      <c r="AD107" s="89" t="b">
        <v>1</v>
      </c>
      <c r="AE107" s="89" t="b">
        <v>1</v>
      </c>
      <c r="AF107" s="92" t="b">
        <v>0</v>
      </c>
      <c r="AG107" s="89" t="b">
        <v>0</v>
      </c>
      <c r="AH107" s="89" t="b">
        <v>0</v>
      </c>
      <c r="AI107" s="89" t="b">
        <v>1</v>
      </c>
    </row>
    <row r="108" spans="1:35" x14ac:dyDescent="0.3">
      <c r="A108" s="87">
        <f t="shared" si="15"/>
        <v>99</v>
      </c>
      <c r="B108" s="87" t="s">
        <v>595</v>
      </c>
      <c r="C108" s="88" t="s">
        <v>596</v>
      </c>
      <c r="D108" s="89" t="s">
        <v>231</v>
      </c>
      <c r="E108" s="87" t="s">
        <v>103</v>
      </c>
      <c r="F108" s="90" t="s">
        <v>122</v>
      </c>
      <c r="G108" s="90" t="str">
        <f t="shared" si="3"/>
        <v>2030 bench</v>
      </c>
      <c r="H108" s="90" t="s">
        <v>239</v>
      </c>
      <c r="I108" s="90" t="str">
        <f t="shared" si="9"/>
        <v>2019</v>
      </c>
      <c r="J108" s="90" t="s">
        <v>104</v>
      </c>
      <c r="K108" s="90">
        <v>0</v>
      </c>
      <c r="L108" s="90">
        <v>0</v>
      </c>
      <c r="M108" s="90">
        <v>-1</v>
      </c>
      <c r="N108" s="90" t="s">
        <v>122</v>
      </c>
      <c r="O108" s="90">
        <v>0</v>
      </c>
      <c r="P108" s="90">
        <v>1</v>
      </c>
      <c r="Q108" s="90">
        <v>0</v>
      </c>
      <c r="R108" s="89" t="s">
        <v>221</v>
      </c>
      <c r="S108" s="89" t="s">
        <v>222</v>
      </c>
      <c r="T108" s="89" t="s">
        <v>422</v>
      </c>
      <c r="U108" s="91" t="b">
        <v>0</v>
      </c>
      <c r="V108" s="89" t="b">
        <v>1</v>
      </c>
      <c r="W108" s="89" t="b">
        <v>0</v>
      </c>
      <c r="X108" s="89" t="b">
        <v>0</v>
      </c>
      <c r="Y108" s="89" t="b">
        <v>1</v>
      </c>
      <c r="Z108" s="89" t="b">
        <v>0</v>
      </c>
      <c r="AA108" s="89" t="b">
        <v>0</v>
      </c>
      <c r="AB108" s="89" t="b">
        <v>1</v>
      </c>
      <c r="AC108" s="89" t="b">
        <v>0</v>
      </c>
      <c r="AD108" s="89" t="b">
        <v>1</v>
      </c>
      <c r="AE108" s="89" t="b">
        <v>1</v>
      </c>
      <c r="AF108" s="92" t="b">
        <v>0</v>
      </c>
      <c r="AG108" s="89" t="b">
        <v>0</v>
      </c>
      <c r="AH108" s="89" t="b">
        <v>0</v>
      </c>
      <c r="AI108" s="89" t="b">
        <v>1</v>
      </c>
    </row>
    <row r="109" spans="1:35" x14ac:dyDescent="0.3">
      <c r="A109" s="87">
        <f t="shared" si="15"/>
        <v>100</v>
      </c>
      <c r="B109" s="87" t="s">
        <v>595</v>
      </c>
      <c r="C109" s="88" t="s">
        <v>597</v>
      </c>
      <c r="D109" s="89" t="s">
        <v>231</v>
      </c>
      <c r="E109" s="87" t="s">
        <v>103</v>
      </c>
      <c r="F109" s="90" t="s">
        <v>122</v>
      </c>
      <c r="G109" s="90" t="str">
        <f t="shared" si="3"/>
        <v>2030 bench</v>
      </c>
      <c r="H109" s="90" t="s">
        <v>239</v>
      </c>
      <c r="I109" s="90" t="str">
        <f t="shared" si="9"/>
        <v>2019</v>
      </c>
      <c r="J109" s="90" t="s">
        <v>87</v>
      </c>
      <c r="K109" s="90">
        <v>0</v>
      </c>
      <c r="L109" s="90">
        <v>0</v>
      </c>
      <c r="M109" s="90">
        <v>-1</v>
      </c>
      <c r="N109" s="90" t="s">
        <v>122</v>
      </c>
      <c r="O109" s="90">
        <v>0</v>
      </c>
      <c r="P109" s="90">
        <v>1</v>
      </c>
      <c r="Q109" s="90">
        <v>0</v>
      </c>
      <c r="R109" s="89" t="s">
        <v>221</v>
      </c>
      <c r="S109" s="89" t="s">
        <v>222</v>
      </c>
      <c r="T109" s="89" t="s">
        <v>422</v>
      </c>
      <c r="U109" s="91" t="b">
        <v>0</v>
      </c>
      <c r="V109" s="89" t="b">
        <v>1</v>
      </c>
      <c r="W109" s="89" t="b">
        <v>0</v>
      </c>
      <c r="X109" s="89" t="b">
        <v>0</v>
      </c>
      <c r="Y109" s="89" t="b">
        <v>1</v>
      </c>
      <c r="Z109" s="89" t="b">
        <v>0</v>
      </c>
      <c r="AA109" s="89" t="b">
        <v>0</v>
      </c>
      <c r="AB109" s="89" t="b">
        <v>1</v>
      </c>
      <c r="AC109" s="89" t="b">
        <v>0</v>
      </c>
      <c r="AD109" s="89" t="b">
        <v>1</v>
      </c>
      <c r="AE109" s="89" t="b">
        <v>1</v>
      </c>
      <c r="AF109" s="92" t="b">
        <v>0</v>
      </c>
      <c r="AG109" s="89" t="b">
        <v>0</v>
      </c>
      <c r="AH109" s="89" t="b">
        <v>0</v>
      </c>
      <c r="AI109" s="89" t="b">
        <v>1</v>
      </c>
    </row>
    <row r="110" spans="1:35" x14ac:dyDescent="0.3">
      <c r="A110" s="87">
        <f t="shared" si="15"/>
        <v>101</v>
      </c>
      <c r="B110" s="87" t="s">
        <v>595</v>
      </c>
      <c r="C110" s="88" t="s">
        <v>598</v>
      </c>
      <c r="D110" s="89" t="s">
        <v>231</v>
      </c>
      <c r="E110" s="87" t="s">
        <v>103</v>
      </c>
      <c r="F110" s="90" t="s">
        <v>122</v>
      </c>
      <c r="G110" s="90" t="str">
        <f t="shared" si="3"/>
        <v>2030 bench</v>
      </c>
      <c r="H110" s="90" t="s">
        <v>239</v>
      </c>
      <c r="I110" s="90" t="str">
        <f t="shared" si="9"/>
        <v>2019</v>
      </c>
      <c r="J110" s="90" t="s">
        <v>104</v>
      </c>
      <c r="K110" s="90">
        <v>0</v>
      </c>
      <c r="L110" s="90">
        <v>0</v>
      </c>
      <c r="M110" s="90">
        <v>-1</v>
      </c>
      <c r="N110" s="90" t="s">
        <v>122</v>
      </c>
      <c r="O110" s="90">
        <v>0</v>
      </c>
      <c r="P110" s="90">
        <v>1</v>
      </c>
      <c r="Q110" s="90">
        <v>0</v>
      </c>
      <c r="R110" s="89" t="s">
        <v>221</v>
      </c>
      <c r="S110" s="89" t="s">
        <v>222</v>
      </c>
      <c r="T110" s="89" t="s">
        <v>422</v>
      </c>
      <c r="U110" s="91" t="b">
        <v>0</v>
      </c>
      <c r="V110" s="89" t="b">
        <v>1</v>
      </c>
      <c r="W110" s="89" t="b">
        <v>0</v>
      </c>
      <c r="X110" s="89" t="b">
        <v>0</v>
      </c>
      <c r="Y110" s="89" t="b">
        <v>1</v>
      </c>
      <c r="Z110" s="89" t="b">
        <v>0</v>
      </c>
      <c r="AA110" s="89" t="b">
        <v>0</v>
      </c>
      <c r="AB110" s="89" t="b">
        <v>1</v>
      </c>
      <c r="AC110" s="89" t="b">
        <v>0</v>
      </c>
      <c r="AD110" s="89" t="b">
        <v>1</v>
      </c>
      <c r="AE110" s="89" t="b">
        <v>1</v>
      </c>
      <c r="AF110" s="92" t="b">
        <v>0</v>
      </c>
      <c r="AG110" s="89" t="b">
        <v>0</v>
      </c>
      <c r="AH110" s="89" t="b">
        <v>0</v>
      </c>
      <c r="AI110" s="89" t="b">
        <v>1</v>
      </c>
    </row>
    <row r="111" spans="1:35" x14ac:dyDescent="0.3">
      <c r="A111" s="87">
        <f t="shared" si="15"/>
        <v>102</v>
      </c>
      <c r="B111" s="87" t="s">
        <v>595</v>
      </c>
      <c r="C111" s="88" t="s">
        <v>599</v>
      </c>
      <c r="D111" s="89" t="s">
        <v>231</v>
      </c>
      <c r="E111" s="87" t="s">
        <v>103</v>
      </c>
      <c r="F111" s="90" t="s">
        <v>122</v>
      </c>
      <c r="G111" s="90" t="str">
        <f t="shared" si="3"/>
        <v>2030 bench</v>
      </c>
      <c r="H111" s="90" t="s">
        <v>239</v>
      </c>
      <c r="I111" s="90" t="str">
        <f t="shared" si="9"/>
        <v>2019</v>
      </c>
      <c r="J111" s="90" t="s">
        <v>104</v>
      </c>
      <c r="K111" s="90">
        <v>0</v>
      </c>
      <c r="L111" s="90">
        <v>0</v>
      </c>
      <c r="M111" s="90">
        <v>-1</v>
      </c>
      <c r="N111" s="90" t="s">
        <v>122</v>
      </c>
      <c r="O111" s="90">
        <v>0</v>
      </c>
      <c r="P111" s="90">
        <v>1</v>
      </c>
      <c r="Q111" s="90">
        <v>0</v>
      </c>
      <c r="R111" s="89" t="s">
        <v>221</v>
      </c>
      <c r="S111" s="89" t="s">
        <v>222</v>
      </c>
      <c r="T111" s="89" t="s">
        <v>422</v>
      </c>
      <c r="U111" s="91" t="b">
        <v>0</v>
      </c>
      <c r="V111" s="89" t="b">
        <v>1</v>
      </c>
      <c r="W111" s="89" t="b">
        <v>0</v>
      </c>
      <c r="X111" s="89" t="b">
        <v>0</v>
      </c>
      <c r="Y111" s="89" t="b">
        <v>1</v>
      </c>
      <c r="Z111" s="89" t="b">
        <v>0</v>
      </c>
      <c r="AA111" s="89" t="b">
        <v>0</v>
      </c>
      <c r="AB111" s="89" t="b">
        <v>1</v>
      </c>
      <c r="AC111" s="89" t="b">
        <v>0</v>
      </c>
      <c r="AD111" s="89" t="b">
        <v>1</v>
      </c>
      <c r="AE111" s="89" t="b">
        <v>1</v>
      </c>
      <c r="AF111" s="92" t="b">
        <v>0</v>
      </c>
      <c r="AG111" s="89" t="b">
        <v>0</v>
      </c>
      <c r="AH111" s="89" t="b">
        <v>0</v>
      </c>
      <c r="AI111" s="89" t="b">
        <v>1</v>
      </c>
    </row>
    <row r="112" spans="1:35" x14ac:dyDescent="0.3">
      <c r="A112" s="87">
        <f t="shared" si="15"/>
        <v>103</v>
      </c>
      <c r="B112" s="87" t="s">
        <v>602</v>
      </c>
      <c r="C112" s="88" t="s">
        <v>596</v>
      </c>
      <c r="D112" s="89" t="s">
        <v>231</v>
      </c>
      <c r="E112" s="87" t="s">
        <v>103</v>
      </c>
      <c r="F112" s="90" t="s">
        <v>122</v>
      </c>
      <c r="G112" s="90" t="str">
        <f t="shared" si="3"/>
        <v>2030 bench</v>
      </c>
      <c r="H112" s="90" t="s">
        <v>239</v>
      </c>
      <c r="I112" s="99" t="s">
        <v>600</v>
      </c>
      <c r="J112" s="90" t="s">
        <v>104</v>
      </c>
      <c r="K112" s="90">
        <v>0</v>
      </c>
      <c r="L112" s="90">
        <v>0</v>
      </c>
      <c r="M112" s="90">
        <v>3.6999999999999998E-2</v>
      </c>
      <c r="N112" s="90" t="s">
        <v>122</v>
      </c>
      <c r="O112" s="90">
        <v>0</v>
      </c>
      <c r="P112" s="90">
        <v>1</v>
      </c>
      <c r="Q112" s="90">
        <v>0</v>
      </c>
      <c r="R112" s="89" t="s">
        <v>221</v>
      </c>
      <c r="S112" s="89" t="s">
        <v>222</v>
      </c>
      <c r="T112" s="89" t="s">
        <v>422</v>
      </c>
      <c r="U112" s="91" t="b">
        <v>0</v>
      </c>
      <c r="V112" s="89" t="b">
        <v>1</v>
      </c>
      <c r="W112" s="89" t="b">
        <v>0</v>
      </c>
      <c r="X112" s="89" t="b">
        <v>0</v>
      </c>
      <c r="Y112" s="89" t="b">
        <v>1</v>
      </c>
      <c r="Z112" s="89" t="b">
        <v>0</v>
      </c>
      <c r="AA112" s="89" t="b">
        <v>0</v>
      </c>
      <c r="AB112" s="89" t="b">
        <v>1</v>
      </c>
      <c r="AC112" s="89" t="b">
        <v>0</v>
      </c>
      <c r="AD112" s="89" t="b">
        <v>1</v>
      </c>
      <c r="AE112" s="89" t="b">
        <v>1</v>
      </c>
      <c r="AF112" s="92" t="b">
        <v>0</v>
      </c>
      <c r="AG112" s="89" t="b">
        <v>0</v>
      </c>
      <c r="AH112" s="89" t="b">
        <v>1</v>
      </c>
      <c r="AI112" s="89" t="b">
        <v>1</v>
      </c>
    </row>
    <row r="113" spans="1:35" x14ac:dyDescent="0.3">
      <c r="A113" s="87">
        <f t="shared" si="15"/>
        <v>104</v>
      </c>
      <c r="B113" s="87" t="s">
        <v>603</v>
      </c>
      <c r="C113" s="88" t="s">
        <v>596</v>
      </c>
      <c r="D113" s="89" t="s">
        <v>231</v>
      </c>
      <c r="E113" s="87" t="s">
        <v>103</v>
      </c>
      <c r="F113" s="90" t="s">
        <v>122</v>
      </c>
      <c r="G113" s="90" t="str">
        <f t="shared" si="3"/>
        <v>2030 bench</v>
      </c>
      <c r="H113" s="90" t="s">
        <v>239</v>
      </c>
      <c r="I113" s="99" t="s">
        <v>601</v>
      </c>
      <c r="J113" s="90" t="s">
        <v>104</v>
      </c>
      <c r="K113" s="90">
        <v>0</v>
      </c>
      <c r="L113" s="90">
        <v>0</v>
      </c>
      <c r="M113" s="90">
        <v>3.6999999999999998E-2</v>
      </c>
      <c r="N113" s="90" t="s">
        <v>122</v>
      </c>
      <c r="O113" s="90">
        <v>0</v>
      </c>
      <c r="P113" s="90">
        <v>1</v>
      </c>
      <c r="Q113" s="90">
        <v>0</v>
      </c>
      <c r="R113" s="89" t="s">
        <v>221</v>
      </c>
      <c r="S113" s="89" t="s">
        <v>222</v>
      </c>
      <c r="T113" s="89" t="s">
        <v>422</v>
      </c>
      <c r="U113" s="91" t="b">
        <v>0</v>
      </c>
      <c r="V113" s="89" t="b">
        <v>1</v>
      </c>
      <c r="W113" s="89" t="b">
        <v>0</v>
      </c>
      <c r="X113" s="89" t="b">
        <v>0</v>
      </c>
      <c r="Y113" s="89" t="b">
        <v>1</v>
      </c>
      <c r="Z113" s="89" t="b">
        <v>0</v>
      </c>
      <c r="AA113" s="89" t="b">
        <v>0</v>
      </c>
      <c r="AB113" s="89" t="b">
        <v>1</v>
      </c>
      <c r="AC113" s="89" t="b">
        <v>0</v>
      </c>
      <c r="AD113" s="89" t="b">
        <v>1</v>
      </c>
      <c r="AE113" s="89" t="b">
        <v>1</v>
      </c>
      <c r="AF113" s="92" t="b">
        <v>0</v>
      </c>
      <c r="AG113" s="89" t="b">
        <v>0</v>
      </c>
      <c r="AH113" s="89" t="b">
        <v>1</v>
      </c>
      <c r="AI113" s="89" t="b">
        <v>1</v>
      </c>
    </row>
    <row r="114" spans="1:35" x14ac:dyDescent="0.3">
      <c r="A114" s="87">
        <f t="shared" si="15"/>
        <v>105</v>
      </c>
      <c r="B114" s="87" t="s">
        <v>604</v>
      </c>
      <c r="C114" s="88" t="s">
        <v>596</v>
      </c>
      <c r="D114" s="89" t="s">
        <v>231</v>
      </c>
      <c r="E114" s="87" t="s">
        <v>103</v>
      </c>
      <c r="F114" s="90" t="s">
        <v>122</v>
      </c>
      <c r="G114" s="90" t="str">
        <f t="shared" si="3"/>
        <v>2030 bench</v>
      </c>
      <c r="H114" s="90" t="s">
        <v>239</v>
      </c>
      <c r="I114" s="99" t="s">
        <v>600</v>
      </c>
      <c r="J114" s="90" t="s">
        <v>104</v>
      </c>
      <c r="K114" s="90">
        <v>0</v>
      </c>
      <c r="L114" s="90">
        <v>0</v>
      </c>
      <c r="M114" s="90">
        <v>-1</v>
      </c>
      <c r="N114" s="90" t="s">
        <v>267</v>
      </c>
      <c r="O114" s="90">
        <v>-1</v>
      </c>
      <c r="P114" s="90">
        <v>1</v>
      </c>
      <c r="Q114" s="90">
        <v>0</v>
      </c>
      <c r="R114" s="89" t="s">
        <v>221</v>
      </c>
      <c r="S114" s="89" t="s">
        <v>222</v>
      </c>
      <c r="T114" s="89" t="s">
        <v>422</v>
      </c>
      <c r="U114" s="91" t="b">
        <v>0</v>
      </c>
      <c r="V114" s="89" t="b">
        <v>1</v>
      </c>
      <c r="W114" s="89" t="b">
        <v>0</v>
      </c>
      <c r="X114" s="89" t="b">
        <v>0</v>
      </c>
      <c r="Y114" s="89" t="b">
        <v>1</v>
      </c>
      <c r="Z114" s="89" t="b">
        <v>0</v>
      </c>
      <c r="AA114" s="89" t="b">
        <v>0</v>
      </c>
      <c r="AB114" s="89" t="b">
        <v>1</v>
      </c>
      <c r="AC114" s="89" t="b">
        <v>0</v>
      </c>
      <c r="AD114" s="89" t="b">
        <v>1</v>
      </c>
      <c r="AE114" s="89" t="b">
        <v>1</v>
      </c>
      <c r="AF114" s="92" t="b">
        <v>0</v>
      </c>
      <c r="AG114" s="89" t="b">
        <v>0</v>
      </c>
      <c r="AH114" s="89" t="b">
        <v>0</v>
      </c>
      <c r="AI114" s="89" t="b">
        <v>1</v>
      </c>
    </row>
    <row r="115" spans="1:35" x14ac:dyDescent="0.3">
      <c r="A115" s="87">
        <f t="shared" si="15"/>
        <v>106</v>
      </c>
      <c r="B115" s="87" t="s">
        <v>605</v>
      </c>
      <c r="C115" s="88" t="s">
        <v>596</v>
      </c>
      <c r="D115" s="89" t="s">
        <v>231</v>
      </c>
      <c r="E115" s="87" t="s">
        <v>103</v>
      </c>
      <c r="F115" s="90" t="s">
        <v>122</v>
      </c>
      <c r="G115" s="90" t="str">
        <f t="shared" si="3"/>
        <v>2030 bench</v>
      </c>
      <c r="H115" s="90" t="s">
        <v>239</v>
      </c>
      <c r="I115" s="99" t="s">
        <v>601</v>
      </c>
      <c r="J115" s="90" t="s">
        <v>104</v>
      </c>
      <c r="K115" s="90">
        <v>0</v>
      </c>
      <c r="L115" s="90">
        <v>0</v>
      </c>
      <c r="M115" s="90">
        <v>-1</v>
      </c>
      <c r="N115" s="90" t="s">
        <v>267</v>
      </c>
      <c r="O115" s="90">
        <v>-1</v>
      </c>
      <c r="P115" s="90">
        <v>1</v>
      </c>
      <c r="Q115" s="90">
        <v>0</v>
      </c>
      <c r="R115" s="89" t="s">
        <v>221</v>
      </c>
      <c r="S115" s="89" t="s">
        <v>222</v>
      </c>
      <c r="T115" s="89" t="s">
        <v>422</v>
      </c>
      <c r="U115" s="91" t="b">
        <v>0</v>
      </c>
      <c r="V115" s="89" t="b">
        <v>1</v>
      </c>
      <c r="W115" s="89" t="b">
        <v>0</v>
      </c>
      <c r="X115" s="89" t="b">
        <v>0</v>
      </c>
      <c r="Y115" s="89" t="b">
        <v>1</v>
      </c>
      <c r="Z115" s="89" t="b">
        <v>0</v>
      </c>
      <c r="AA115" s="89" t="b">
        <v>0</v>
      </c>
      <c r="AB115" s="89" t="b">
        <v>1</v>
      </c>
      <c r="AC115" s="89" t="b">
        <v>0</v>
      </c>
      <c r="AD115" s="89" t="b">
        <v>1</v>
      </c>
      <c r="AE115" s="89" t="b">
        <v>1</v>
      </c>
      <c r="AF115" s="92" t="b">
        <v>0</v>
      </c>
      <c r="AG115" s="89" t="b">
        <v>0</v>
      </c>
      <c r="AH115" s="89" t="b">
        <v>0</v>
      </c>
      <c r="AI115" s="89" t="b">
        <v>1</v>
      </c>
    </row>
    <row r="116" spans="1:35" x14ac:dyDescent="0.3">
      <c r="A116" s="87">
        <f t="shared" si="15"/>
        <v>107</v>
      </c>
      <c r="B116" s="87" t="s">
        <v>602</v>
      </c>
      <c r="C116" s="88" t="s">
        <v>596</v>
      </c>
      <c r="D116" s="89" t="s">
        <v>231</v>
      </c>
      <c r="E116" s="87" t="s">
        <v>103</v>
      </c>
      <c r="F116" s="90" t="s">
        <v>122</v>
      </c>
      <c r="G116" s="90" t="str">
        <f t="shared" si="3"/>
        <v>2030 bench</v>
      </c>
      <c r="H116" s="90" t="s">
        <v>239</v>
      </c>
      <c r="I116" s="99" t="s">
        <v>606</v>
      </c>
      <c r="J116" s="90" t="s">
        <v>104</v>
      </c>
      <c r="K116" s="90">
        <v>0</v>
      </c>
      <c r="L116" s="90">
        <v>0</v>
      </c>
      <c r="M116" s="90">
        <v>-1</v>
      </c>
      <c r="N116" s="90" t="s">
        <v>122</v>
      </c>
      <c r="O116" s="90">
        <v>0</v>
      </c>
      <c r="P116" s="90">
        <v>1</v>
      </c>
      <c r="Q116" s="90">
        <v>0</v>
      </c>
      <c r="R116" s="89" t="s">
        <v>221</v>
      </c>
      <c r="S116" s="89" t="s">
        <v>222</v>
      </c>
      <c r="T116" s="89" t="s">
        <v>422</v>
      </c>
      <c r="U116" s="91" t="b">
        <v>0</v>
      </c>
      <c r="V116" s="89" t="b">
        <v>1</v>
      </c>
      <c r="W116" s="89" t="b">
        <v>0</v>
      </c>
      <c r="X116" s="89" t="b">
        <v>0</v>
      </c>
      <c r="Y116" s="89" t="b">
        <v>1</v>
      </c>
      <c r="Z116" s="89" t="b">
        <v>0</v>
      </c>
      <c r="AA116" s="89" t="b">
        <v>0</v>
      </c>
      <c r="AB116" s="89" t="b">
        <v>1</v>
      </c>
      <c r="AC116" s="89" t="b">
        <v>0</v>
      </c>
      <c r="AD116" s="89" t="b">
        <v>1</v>
      </c>
      <c r="AE116" s="89" t="b">
        <v>1</v>
      </c>
      <c r="AF116" s="92" t="b">
        <v>0</v>
      </c>
      <c r="AG116" s="89" t="b">
        <v>0</v>
      </c>
      <c r="AH116" s="89" t="b">
        <v>0</v>
      </c>
      <c r="AI116" s="89" t="b">
        <v>1</v>
      </c>
    </row>
    <row r="117" spans="1:35" x14ac:dyDescent="0.3">
      <c r="A117" s="87">
        <f t="shared" si="15"/>
        <v>108</v>
      </c>
      <c r="B117" s="87" t="s">
        <v>603</v>
      </c>
      <c r="C117" s="88" t="s">
        <v>596</v>
      </c>
      <c r="D117" s="89" t="s">
        <v>231</v>
      </c>
      <c r="E117" s="87" t="s">
        <v>103</v>
      </c>
      <c r="F117" s="90" t="s">
        <v>122</v>
      </c>
      <c r="G117" s="90" t="str">
        <f t="shared" si="3"/>
        <v>2030 bench</v>
      </c>
      <c r="H117" s="90" t="s">
        <v>239</v>
      </c>
      <c r="I117" s="99" t="s">
        <v>607</v>
      </c>
      <c r="J117" s="90" t="s">
        <v>104</v>
      </c>
      <c r="K117" s="90">
        <v>0</v>
      </c>
      <c r="L117" s="90">
        <v>0</v>
      </c>
      <c r="M117" s="90">
        <v>-1</v>
      </c>
      <c r="N117" s="90" t="s">
        <v>122</v>
      </c>
      <c r="O117" s="90">
        <v>0</v>
      </c>
      <c r="P117" s="90">
        <v>1</v>
      </c>
      <c r="Q117" s="90">
        <v>0</v>
      </c>
      <c r="R117" s="89" t="s">
        <v>221</v>
      </c>
      <c r="S117" s="89" t="s">
        <v>222</v>
      </c>
      <c r="T117" s="89" t="s">
        <v>422</v>
      </c>
      <c r="U117" s="91" t="b">
        <v>0</v>
      </c>
      <c r="V117" s="89" t="b">
        <v>1</v>
      </c>
      <c r="W117" s="89" t="b">
        <v>0</v>
      </c>
      <c r="X117" s="89" t="b">
        <v>0</v>
      </c>
      <c r="Y117" s="89" t="b">
        <v>1</v>
      </c>
      <c r="Z117" s="89" t="b">
        <v>0</v>
      </c>
      <c r="AA117" s="89" t="b">
        <v>0</v>
      </c>
      <c r="AB117" s="89" t="b">
        <v>1</v>
      </c>
      <c r="AC117" s="89" t="b">
        <v>0</v>
      </c>
      <c r="AD117" s="89" t="b">
        <v>1</v>
      </c>
      <c r="AE117" s="89" t="b">
        <v>1</v>
      </c>
      <c r="AF117" s="92" t="b">
        <v>0</v>
      </c>
      <c r="AG117" s="89" t="b">
        <v>0</v>
      </c>
      <c r="AH117" s="89" t="b">
        <v>0</v>
      </c>
      <c r="AI117" s="89" t="b">
        <v>1</v>
      </c>
    </row>
    <row r="118" spans="1:35" x14ac:dyDescent="0.3">
      <c r="A118" s="87">
        <f t="shared" si="15"/>
        <v>109</v>
      </c>
      <c r="B118" s="87" t="s">
        <v>615</v>
      </c>
      <c r="C118" s="88" t="s">
        <v>618</v>
      </c>
      <c r="D118" s="89" t="s">
        <v>231</v>
      </c>
      <c r="E118" s="87" t="s">
        <v>103</v>
      </c>
      <c r="F118" s="90" t="s">
        <v>613</v>
      </c>
      <c r="G118" s="90" t="str">
        <f t="shared" si="3"/>
        <v>2030 bench</v>
      </c>
      <c r="H118" s="90" t="s">
        <v>239</v>
      </c>
      <c r="I118" s="99">
        <v>2019</v>
      </c>
      <c r="J118" s="90" t="s">
        <v>104</v>
      </c>
      <c r="K118" s="90">
        <v>0</v>
      </c>
      <c r="L118" s="90">
        <v>0</v>
      </c>
      <c r="M118" s="90">
        <v>-1</v>
      </c>
      <c r="N118" s="90" t="s">
        <v>122</v>
      </c>
      <c r="O118" s="90">
        <v>0</v>
      </c>
      <c r="P118" s="90">
        <v>1</v>
      </c>
      <c r="Q118" s="90">
        <v>0</v>
      </c>
      <c r="R118" s="89" t="s">
        <v>221</v>
      </c>
      <c r="S118" s="89" t="s">
        <v>222</v>
      </c>
      <c r="T118" s="89" t="s">
        <v>422</v>
      </c>
      <c r="U118" s="91" t="b">
        <v>0</v>
      </c>
      <c r="V118" s="89" t="b">
        <v>1</v>
      </c>
      <c r="W118" s="89" t="b">
        <v>0</v>
      </c>
      <c r="X118" s="89" t="b">
        <v>0</v>
      </c>
      <c r="Y118" s="89" t="b">
        <v>1</v>
      </c>
      <c r="Z118" s="89" t="b">
        <v>0</v>
      </c>
      <c r="AA118" s="89" t="b">
        <v>0</v>
      </c>
      <c r="AB118" s="89" t="b">
        <v>1</v>
      </c>
      <c r="AC118" s="89" t="b">
        <v>0</v>
      </c>
      <c r="AD118" s="89" t="b">
        <v>1</v>
      </c>
      <c r="AE118" s="89" t="b">
        <v>1</v>
      </c>
      <c r="AF118" s="92" t="b">
        <v>0</v>
      </c>
      <c r="AG118" s="89" t="b">
        <v>0</v>
      </c>
      <c r="AH118" s="89" t="b">
        <v>0</v>
      </c>
      <c r="AI118" s="89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4:X101">
    <cfRule type="cellIs" dxfId="21" priority="1" operator="equal">
      <formula>TRUE</formula>
    </cfRule>
    <cfRule type="cellIs" dxfId="20" priority="2" operator="equal">
      <formula>FALSE</formula>
    </cfRule>
  </conditionalFormatting>
  <conditionalFormatting sqref="U10:AI15 Y16:AD17 AE16:AE20 AF16:AI100 Y101:AI101">
    <cfRule type="cellIs" dxfId="19" priority="29" operator="equal">
      <formula>TRUE</formula>
    </cfRule>
    <cfRule type="cellIs" dxfId="18" priority="30" operator="equal">
      <formula>FALSE</formula>
    </cfRule>
  </conditionalFormatting>
  <conditionalFormatting sqref="U102:AI118">
    <cfRule type="cellIs" dxfId="17" priority="9" operator="equal">
      <formula>TRUE</formula>
    </cfRule>
    <cfRule type="cellIs" dxfId="16" priority="10" operator="equal">
      <formula>FALSE</formula>
    </cfRule>
  </conditionalFormatting>
  <conditionalFormatting sqref="Y18:AA36">
    <cfRule type="cellIs" dxfId="15" priority="33" operator="equal">
      <formula>TRUE</formula>
    </cfRule>
    <cfRule type="cellIs" dxfId="14" priority="34" operator="equal">
      <formula>FALSE</formula>
    </cfRule>
  </conditionalFormatting>
  <conditionalFormatting sqref="Y37:AE100">
    <cfRule type="cellIs" dxfId="13" priority="31" operator="equal">
      <formula>TRUE</formula>
    </cfRule>
    <cfRule type="cellIs" dxfId="12" priority="32" operator="equal">
      <formula>FALSE</formula>
    </cfRule>
  </conditionalFormatting>
  <conditionalFormatting sqref="Y14:AI16">
    <cfRule type="cellIs" dxfId="11" priority="3" operator="equal">
      <formula>TRUE</formula>
    </cfRule>
    <cfRule type="cellIs" dxfId="10" priority="4" operator="equal">
      <formula>FALSE</formula>
    </cfRule>
  </conditionalFormatting>
  <conditionalFormatting sqref="AB18:AD20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AB21:AE36">
    <cfRule type="cellIs" dxfId="7" priority="37" operator="equal">
      <formula>TRUE</formula>
    </cfRule>
    <cfRule type="cellIs" dxfId="6" priority="38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4" t="s">
        <v>156</v>
      </c>
      <c r="C2" s="115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6" t="s">
        <v>182</v>
      </c>
      <c r="I2" s="116" t="s">
        <v>181</v>
      </c>
      <c r="J2" s="13" t="s">
        <v>87</v>
      </c>
      <c r="K2" s="13" t="s">
        <v>167</v>
      </c>
      <c r="L2" s="13" t="s">
        <v>167</v>
      </c>
      <c r="M2" s="116" t="s">
        <v>255</v>
      </c>
      <c r="N2" s="117" t="s">
        <v>256</v>
      </c>
      <c r="O2" s="118" t="s">
        <v>258</v>
      </c>
      <c r="P2" s="116" t="s">
        <v>173</v>
      </c>
      <c r="Q2" s="116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4"/>
      <c r="C3" s="115"/>
      <c r="D3" s="13"/>
      <c r="E3" s="13" t="s">
        <v>120</v>
      </c>
      <c r="F3" s="13" t="s">
        <v>93</v>
      </c>
      <c r="G3" s="13">
        <v>2030</v>
      </c>
      <c r="H3" s="116"/>
      <c r="I3" s="116"/>
      <c r="J3" s="13" t="s">
        <v>104</v>
      </c>
      <c r="M3" s="116"/>
      <c r="N3" s="117"/>
      <c r="O3" s="118"/>
      <c r="P3" s="116"/>
      <c r="Q3" s="116"/>
      <c r="R3" s="13"/>
      <c r="S3" s="13"/>
      <c r="T3" s="13"/>
    </row>
    <row r="4" spans="1:33" x14ac:dyDescent="0.3">
      <c r="B4" s="114"/>
      <c r="C4" s="115"/>
      <c r="D4" s="13"/>
      <c r="E4" s="13" t="s">
        <v>97</v>
      </c>
      <c r="F4" s="13" t="s">
        <v>122</v>
      </c>
      <c r="G4" s="13">
        <v>2050</v>
      </c>
      <c r="H4" s="13"/>
      <c r="I4" s="116"/>
      <c r="J4" s="13" t="s">
        <v>233</v>
      </c>
      <c r="K4" s="13"/>
      <c r="L4" s="13"/>
      <c r="M4" s="116"/>
      <c r="N4" s="117"/>
      <c r="O4" s="118"/>
      <c r="P4" s="116"/>
      <c r="Q4" s="116"/>
      <c r="R4" s="13"/>
      <c r="S4" s="13"/>
      <c r="T4" s="13"/>
    </row>
    <row r="5" spans="1:33" x14ac:dyDescent="0.3">
      <c r="B5" s="114"/>
      <c r="C5" s="115"/>
      <c r="E5" s="13"/>
      <c r="F5" s="13"/>
      <c r="G5" s="13"/>
      <c r="H5" s="13"/>
      <c r="I5" s="13"/>
      <c r="J5" s="13"/>
      <c r="K5" s="13"/>
      <c r="L5" s="13"/>
      <c r="M5" s="116"/>
      <c r="N5" s="117"/>
      <c r="O5" s="118"/>
      <c r="P5" s="116"/>
      <c r="Q5" s="116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3" t="s">
        <v>151</v>
      </c>
      <c r="AF5" s="110"/>
      <c r="AG5" s="110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workbookViewId="0">
      <pane xSplit="5" ySplit="8" topLeftCell="J9" activePane="bottomRight" state="frozen"/>
      <selection pane="topRight" activeCell="F1" sqref="F1"/>
      <selection pane="bottomLeft" activeCell="A12" sqref="A12"/>
      <selection pane="bottomRight" activeCell="Q36" sqref="Q3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10" t="s">
        <v>0</v>
      </c>
      <c r="B4" s="110"/>
      <c r="C4" s="110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08" t="s">
        <v>79</v>
      </c>
      <c r="Q4" s="108"/>
      <c r="R4" s="108"/>
      <c r="S4" s="108"/>
      <c r="T4" s="108"/>
      <c r="U4" s="108"/>
      <c r="V4" s="108"/>
      <c r="W4" s="108"/>
      <c r="X4" s="108"/>
      <c r="Y4" s="108"/>
      <c r="Z4" s="108" t="s">
        <v>80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 t="s">
        <v>406</v>
      </c>
      <c r="AK4" s="108"/>
      <c r="AL4" s="108"/>
      <c r="AM4" s="108"/>
      <c r="AN4" s="108"/>
      <c r="AO4" s="108"/>
      <c r="AP4" s="108"/>
      <c r="AQ4" s="108"/>
      <c r="AR4" s="108"/>
      <c r="AS4" s="108"/>
      <c r="AT4" s="108" t="s">
        <v>81</v>
      </c>
      <c r="AU4" s="108"/>
      <c r="AV4" s="108"/>
      <c r="AW4" s="108"/>
      <c r="AX4" s="108"/>
      <c r="AY4" s="108"/>
      <c r="AZ4" s="108"/>
      <c r="BA4" s="108"/>
      <c r="BB4" s="108"/>
      <c r="BC4" s="29"/>
      <c r="BD4" s="108" t="s">
        <v>82</v>
      </c>
      <c r="BE4" s="108"/>
      <c r="BF4" s="108"/>
      <c r="BG4" s="108"/>
      <c r="BH4" s="108"/>
      <c r="BI4" s="108"/>
      <c r="BJ4" s="108"/>
      <c r="BK4" s="108"/>
      <c r="BL4" s="108"/>
      <c r="BM4" s="29"/>
      <c r="BN4" s="108" t="s">
        <v>83</v>
      </c>
      <c r="BO4" s="108"/>
      <c r="BP4" s="108"/>
      <c r="BQ4" s="108"/>
      <c r="BR4" s="108"/>
      <c r="BS4" s="108"/>
      <c r="BT4" s="108"/>
      <c r="BU4" s="108"/>
      <c r="BV4" s="108"/>
      <c r="BW4" s="29"/>
      <c r="BX4" s="108" t="s">
        <v>84</v>
      </c>
      <c r="BY4" s="108"/>
      <c r="BZ4" s="108"/>
      <c r="CA4" s="108"/>
      <c r="CB4" s="108"/>
      <c r="CC4" s="108"/>
      <c r="CD4" s="108"/>
      <c r="CE4" s="108"/>
      <c r="CF4" s="108"/>
      <c r="CG4" s="29"/>
      <c r="CH4" s="108" t="s">
        <v>183</v>
      </c>
      <c r="CI4" s="108"/>
      <c r="CJ4" s="108"/>
      <c r="CK4" s="108"/>
      <c r="CL4" s="108"/>
      <c r="CM4" s="108"/>
      <c r="CN4" s="108"/>
      <c r="CO4" s="108"/>
      <c r="CP4" s="108"/>
      <c r="CQ4" s="29"/>
      <c r="CR4" s="108" t="s">
        <v>184</v>
      </c>
      <c r="CS4" s="108"/>
      <c r="CT4" s="108"/>
      <c r="CU4" s="108"/>
      <c r="CV4" s="108"/>
      <c r="CW4" s="108"/>
      <c r="CX4" s="108"/>
      <c r="CY4" s="108"/>
      <c r="CZ4" s="108"/>
      <c r="DA4" s="29"/>
      <c r="DB4" s="108" t="s">
        <v>185</v>
      </c>
      <c r="DC4" s="108"/>
      <c r="DD4" s="108"/>
      <c r="DE4" s="108"/>
      <c r="DF4" s="108"/>
      <c r="DG4" s="108"/>
      <c r="DH4" s="108"/>
      <c r="DI4" s="108"/>
      <c r="DJ4" s="108"/>
      <c r="DK4" s="29"/>
      <c r="DL4" s="108" t="s">
        <v>186</v>
      </c>
      <c r="DM4" s="108"/>
      <c r="DN4" s="108"/>
      <c r="DO4" s="108"/>
      <c r="DP4" s="108"/>
      <c r="DQ4" s="108"/>
      <c r="DR4" s="108"/>
      <c r="DS4" s="108"/>
      <c r="DT4" s="108"/>
      <c r="DU4" s="29"/>
      <c r="DV4" s="108" t="s">
        <v>187</v>
      </c>
      <c r="DW4" s="108"/>
      <c r="DX4" s="108"/>
      <c r="DY4" s="108"/>
      <c r="DZ4" s="108"/>
      <c r="EA4" s="108"/>
      <c r="EB4" s="108"/>
      <c r="EC4" s="108"/>
      <c r="ED4" s="108"/>
      <c r="EE4" s="29"/>
      <c r="EF4" s="108" t="s">
        <v>132</v>
      </c>
      <c r="EG4" s="108"/>
      <c r="EH4" s="108"/>
      <c r="EI4" s="108"/>
      <c r="EJ4" s="108"/>
      <c r="EK4" s="108"/>
      <c r="EL4" s="108"/>
      <c r="EM4" s="108"/>
      <c r="EN4" s="108"/>
      <c r="EO4" s="29"/>
      <c r="EP4" s="108" t="s">
        <v>85</v>
      </c>
      <c r="EQ4" s="108"/>
      <c r="ER4" s="108"/>
      <c r="ES4" s="108"/>
      <c r="ET4" s="108"/>
      <c r="EU4" s="108"/>
      <c r="EV4" s="108"/>
      <c r="EW4" s="108"/>
      <c r="EX4" s="108"/>
      <c r="EY4" s="29"/>
      <c r="EZ4" s="108" t="s">
        <v>178</v>
      </c>
      <c r="FA4" s="108"/>
      <c r="FB4" s="108"/>
      <c r="FC4" s="108"/>
      <c r="FD4" s="108"/>
      <c r="FE4" s="108"/>
      <c r="FF4" s="108"/>
      <c r="FG4" s="108"/>
      <c r="FH4" s="108"/>
      <c r="FI4" s="29"/>
      <c r="FJ4" s="108" t="s">
        <v>86</v>
      </c>
      <c r="FK4" s="108"/>
      <c r="FL4" s="108"/>
      <c r="FM4" s="108"/>
      <c r="FN4" s="108"/>
      <c r="FO4" s="108"/>
      <c r="FP4" s="108"/>
      <c r="FQ4" s="108"/>
      <c r="FR4" s="108"/>
      <c r="FS4" s="108"/>
    </row>
    <row r="5" spans="1:175" s="5" customFormat="1" ht="15" customHeight="1" x14ac:dyDescent="0.3">
      <c r="A5" s="37"/>
      <c r="B5" s="111" t="s">
        <v>7</v>
      </c>
      <c r="C5" s="112" t="s">
        <v>8</v>
      </c>
      <c r="D5" s="111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1"/>
      <c r="C6" s="112"/>
      <c r="D6" s="111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1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5.55" customHeight="1" x14ac:dyDescent="0.3">
      <c r="A7" s="45"/>
      <c r="B7" s="111"/>
      <c r="C7" s="112"/>
      <c r="D7" s="111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1"/>
      <c r="C8" s="112"/>
      <c r="D8" s="111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09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09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360</v>
      </c>
      <c r="DW10" t="s">
        <v>360</v>
      </c>
      <c r="DX10" t="s">
        <v>360</v>
      </c>
      <c r="DY10" t="s">
        <v>360</v>
      </c>
      <c r="DZ10" t="s">
        <v>360</v>
      </c>
      <c r="EA10" t="s">
        <v>360</v>
      </c>
      <c r="EB10" t="s">
        <v>360</v>
      </c>
      <c r="EC10" t="s">
        <v>360</v>
      </c>
      <c r="ED10" t="s">
        <v>360</v>
      </c>
      <c r="EE10" t="s">
        <v>360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9"/>
      <c r="B11" s="3" t="s">
        <v>430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361</v>
      </c>
      <c r="CI11" t="s">
        <v>361</v>
      </c>
      <c r="CJ11" t="s">
        <v>361</v>
      </c>
      <c r="CK11" s="15" t="s">
        <v>362</v>
      </c>
      <c r="CL11" s="15" t="s">
        <v>362</v>
      </c>
      <c r="CM11" s="15" t="s">
        <v>362</v>
      </c>
      <c r="CN11">
        <v>0</v>
      </c>
      <c r="CO11" s="15" t="s">
        <v>363</v>
      </c>
      <c r="CP11" s="15" t="s">
        <v>363</v>
      </c>
      <c r="CQ11" s="15" t="s">
        <v>363</v>
      </c>
      <c r="CR11" t="s">
        <v>364</v>
      </c>
      <c r="CS11" t="s">
        <v>364</v>
      </c>
      <c r="CT11" t="s">
        <v>364</v>
      </c>
      <c r="CU11" t="s">
        <v>364</v>
      </c>
      <c r="CV11" t="s">
        <v>364</v>
      </c>
      <c r="CW11" t="s">
        <v>364</v>
      </c>
      <c r="CX11" t="s">
        <v>364</v>
      </c>
      <c r="CY11" t="s">
        <v>364</v>
      </c>
      <c r="CZ11" t="s">
        <v>364</v>
      </c>
      <c r="DA11" t="s">
        <v>364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09"/>
      <c r="B12" s="3" t="s">
        <v>541</v>
      </c>
      <c r="C12" s="4" t="s">
        <v>171</v>
      </c>
      <c r="D12" s="2" t="s">
        <v>542</v>
      </c>
      <c r="E12" s="9">
        <v>0</v>
      </c>
      <c r="F12" s="13">
        <v>0</v>
      </c>
      <c r="G12" s="13" t="s">
        <v>543</v>
      </c>
      <c r="H12" s="15" t="s">
        <v>573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549</v>
      </c>
      <c r="Q12" s="16" t="s">
        <v>549</v>
      </c>
      <c r="R12" s="16" t="s">
        <v>549</v>
      </c>
      <c r="S12" s="16" t="s">
        <v>549</v>
      </c>
      <c r="T12" s="16" t="s">
        <v>549</v>
      </c>
      <c r="U12" s="16" t="s">
        <v>549</v>
      </c>
      <c r="V12" s="16" t="s">
        <v>549</v>
      </c>
      <c r="W12" s="16" t="s">
        <v>549</v>
      </c>
      <c r="X12" s="16" t="s">
        <v>549</v>
      </c>
      <c r="Y12" s="16" t="s">
        <v>549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288</v>
      </c>
      <c r="AU12" s="14" t="s">
        <v>288</v>
      </c>
      <c r="AV12" s="14" t="s">
        <v>288</v>
      </c>
      <c r="AW12" s="14" t="s">
        <v>288</v>
      </c>
      <c r="AX12" s="14" t="s">
        <v>288</v>
      </c>
      <c r="AY12" s="14" t="s">
        <v>288</v>
      </c>
      <c r="AZ12" s="14" t="s">
        <v>288</v>
      </c>
      <c r="BA12" s="14" t="s">
        <v>288</v>
      </c>
      <c r="BB12" s="14" t="s">
        <v>288</v>
      </c>
      <c r="BC12" s="14" t="s">
        <v>288</v>
      </c>
      <c r="BD12" s="14" t="s">
        <v>309</v>
      </c>
      <c r="BE12" s="14" t="s">
        <v>309</v>
      </c>
      <c r="BF12" s="14" t="s">
        <v>309</v>
      </c>
      <c r="BG12" s="14" t="s">
        <v>288</v>
      </c>
      <c r="BH12" s="14" t="s">
        <v>288</v>
      </c>
      <c r="BI12" s="14" t="s">
        <v>288</v>
      </c>
      <c r="BJ12" s="14" t="s">
        <v>288</v>
      </c>
      <c r="BK12" s="14" t="s">
        <v>288</v>
      </c>
      <c r="BL12" s="14" t="s">
        <v>288</v>
      </c>
      <c r="BM12" s="14" t="s">
        <v>288</v>
      </c>
      <c r="BN12" s="14" t="s">
        <v>309</v>
      </c>
      <c r="BO12" s="14" t="s">
        <v>309</v>
      </c>
      <c r="BP12" s="14" t="s">
        <v>309</v>
      </c>
      <c r="BQ12" s="14" t="s">
        <v>288</v>
      </c>
      <c r="BR12" s="14" t="s">
        <v>288</v>
      </c>
      <c r="BS12" s="14" t="s">
        <v>288</v>
      </c>
      <c r="BT12" s="14" t="s">
        <v>288</v>
      </c>
      <c r="BU12" s="14" t="s">
        <v>288</v>
      </c>
      <c r="BV12" s="14" t="s">
        <v>288</v>
      </c>
      <c r="BW12" s="14" t="s">
        <v>288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550</v>
      </c>
      <c r="CI12" s="15" t="s">
        <v>550</v>
      </c>
      <c r="CJ12" s="15" t="s">
        <v>550</v>
      </c>
      <c r="CK12" s="15" t="s">
        <v>550</v>
      </c>
      <c r="CL12" s="15" t="s">
        <v>550</v>
      </c>
      <c r="CM12" s="15" t="s">
        <v>550</v>
      </c>
      <c r="CN12" s="15" t="s">
        <v>550</v>
      </c>
      <c r="CO12" s="15" t="s">
        <v>550</v>
      </c>
      <c r="CP12" s="15" t="s">
        <v>550</v>
      </c>
      <c r="CQ12" s="15" t="s">
        <v>550</v>
      </c>
      <c r="CR12" s="71" t="s">
        <v>550</v>
      </c>
      <c r="CS12" s="71" t="s">
        <v>550</v>
      </c>
      <c r="CT12" s="71" t="s">
        <v>550</v>
      </c>
      <c r="CU12" s="71" t="s">
        <v>550</v>
      </c>
      <c r="CV12" s="71" t="s">
        <v>550</v>
      </c>
      <c r="CW12" s="71" t="s">
        <v>550</v>
      </c>
      <c r="CX12" s="71" t="s">
        <v>550</v>
      </c>
      <c r="CY12" s="71" t="s">
        <v>550</v>
      </c>
      <c r="CZ12" s="71" t="s">
        <v>550</v>
      </c>
      <c r="DA12" s="71" t="s">
        <v>550</v>
      </c>
      <c r="DB12" s="52">
        <v>0</v>
      </c>
      <c r="DC12" s="52">
        <v>0</v>
      </c>
      <c r="DD12" s="52">
        <v>0</v>
      </c>
      <c r="DE12">
        <v>0</v>
      </c>
      <c r="DF12" s="52">
        <v>0</v>
      </c>
      <c r="DG12">
        <v>0</v>
      </c>
      <c r="DH12" s="52">
        <v>0</v>
      </c>
      <c r="DI12">
        <v>0</v>
      </c>
      <c r="DJ12" s="5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9"/>
      <c r="B13" s="3" t="s">
        <v>135</v>
      </c>
      <c r="C13" s="4" t="s">
        <v>171</v>
      </c>
      <c r="D13" s="2" t="s">
        <v>544</v>
      </c>
      <c r="E13" s="9">
        <v>0</v>
      </c>
      <c r="F13" s="13">
        <v>0</v>
      </c>
      <c r="G13" s="13" t="s">
        <v>545</v>
      </c>
      <c r="H13" s="15" t="s">
        <v>573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551</v>
      </c>
      <c r="Q13" s="16" t="s">
        <v>551</v>
      </c>
      <c r="R13" s="16" t="s">
        <v>552</v>
      </c>
      <c r="S13" s="16" t="s">
        <v>551</v>
      </c>
      <c r="T13" s="16" t="s">
        <v>551</v>
      </c>
      <c r="U13" s="16" t="s">
        <v>552</v>
      </c>
      <c r="V13" s="16" t="s">
        <v>551</v>
      </c>
      <c r="W13" s="16" t="s">
        <v>551</v>
      </c>
      <c r="X13" s="16" t="s">
        <v>551</v>
      </c>
      <c r="Y13" s="16" t="s">
        <v>552</v>
      </c>
      <c r="Z13" s="51" t="s">
        <v>551</v>
      </c>
      <c r="AA13" s="51" t="s">
        <v>551</v>
      </c>
      <c r="AB13" s="51" t="s">
        <v>551</v>
      </c>
      <c r="AC13" s="51" t="s">
        <v>551</v>
      </c>
      <c r="AD13" s="51" t="s">
        <v>551</v>
      </c>
      <c r="AE13" s="51" t="s">
        <v>551</v>
      </c>
      <c r="AF13" s="51" t="s">
        <v>551</v>
      </c>
      <c r="AG13" s="51" t="s">
        <v>551</v>
      </c>
      <c r="AH13" s="51" t="s">
        <v>551</v>
      </c>
      <c r="AI13" s="51" t="s">
        <v>551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288</v>
      </c>
      <c r="AU13" s="14" t="s">
        <v>288</v>
      </c>
      <c r="AV13" s="14" t="s">
        <v>288</v>
      </c>
      <c r="AW13" s="14" t="s">
        <v>288</v>
      </c>
      <c r="AX13" s="14" t="s">
        <v>288</v>
      </c>
      <c r="AY13" s="14" t="s">
        <v>288</v>
      </c>
      <c r="AZ13" s="14" t="s">
        <v>288</v>
      </c>
      <c r="BA13" s="14" t="s">
        <v>288</v>
      </c>
      <c r="BB13" s="14" t="s">
        <v>288</v>
      </c>
      <c r="BC13" s="14" t="s">
        <v>288</v>
      </c>
      <c r="BD13" s="14" t="s">
        <v>309</v>
      </c>
      <c r="BE13" s="14" t="s">
        <v>309</v>
      </c>
      <c r="BF13" s="14" t="s">
        <v>309</v>
      </c>
      <c r="BG13" s="14" t="s">
        <v>288</v>
      </c>
      <c r="BH13" s="14" t="s">
        <v>288</v>
      </c>
      <c r="BI13" s="14" t="s">
        <v>288</v>
      </c>
      <c r="BJ13" s="14" t="s">
        <v>288</v>
      </c>
      <c r="BK13" s="14" t="s">
        <v>288</v>
      </c>
      <c r="BL13" s="14" t="s">
        <v>288</v>
      </c>
      <c r="BM13" s="14" t="s">
        <v>288</v>
      </c>
      <c r="BN13" s="14" t="s">
        <v>309</v>
      </c>
      <c r="BO13" s="14" t="s">
        <v>309</v>
      </c>
      <c r="BP13" s="14" t="s">
        <v>309</v>
      </c>
      <c r="BQ13" s="14" t="s">
        <v>288</v>
      </c>
      <c r="BR13" s="14" t="s">
        <v>288</v>
      </c>
      <c r="BS13" s="14" t="s">
        <v>288</v>
      </c>
      <c r="BT13" s="14" t="s">
        <v>288</v>
      </c>
      <c r="BU13" s="14" t="s">
        <v>288</v>
      </c>
      <c r="BV13" s="14" t="s">
        <v>288</v>
      </c>
      <c r="BW13" s="14" t="s">
        <v>288</v>
      </c>
      <c r="BX13" s="16" t="s">
        <v>553</v>
      </c>
      <c r="BY13" s="16" t="s">
        <v>553</v>
      </c>
      <c r="BZ13" s="16" t="s">
        <v>553</v>
      </c>
      <c r="CA13" s="16" t="s">
        <v>553</v>
      </c>
      <c r="CB13" s="16" t="s">
        <v>553</v>
      </c>
      <c r="CC13" s="16" t="s">
        <v>553</v>
      </c>
      <c r="CD13" s="16" t="s">
        <v>553</v>
      </c>
      <c r="CE13" s="16" t="s">
        <v>553</v>
      </c>
      <c r="CF13" s="16" t="s">
        <v>553</v>
      </c>
      <c r="CG13" s="16" t="s">
        <v>553</v>
      </c>
      <c r="CH13" s="15" t="s">
        <v>554</v>
      </c>
      <c r="CI13" s="15" t="s">
        <v>554</v>
      </c>
      <c r="CJ13" s="15" t="s">
        <v>554</v>
      </c>
      <c r="CK13" s="15" t="s">
        <v>554</v>
      </c>
      <c r="CL13" s="15" t="s">
        <v>554</v>
      </c>
      <c r="CM13" s="15" t="s">
        <v>554</v>
      </c>
      <c r="CN13" s="15" t="s">
        <v>554</v>
      </c>
      <c r="CO13" s="15" t="s">
        <v>554</v>
      </c>
      <c r="CP13" s="15" t="s">
        <v>554</v>
      </c>
      <c r="CQ13" s="15" t="s">
        <v>554</v>
      </c>
      <c r="CR13" s="71" t="s">
        <v>554</v>
      </c>
      <c r="CS13" s="71" t="s">
        <v>554</v>
      </c>
      <c r="CT13" s="71" t="s">
        <v>554</v>
      </c>
      <c r="CU13" s="71" t="s">
        <v>554</v>
      </c>
      <c r="CV13" s="71" t="s">
        <v>554</v>
      </c>
      <c r="CW13" s="71" t="s">
        <v>554</v>
      </c>
      <c r="CX13" s="71" t="s">
        <v>554</v>
      </c>
      <c r="CY13" s="71" t="s">
        <v>554</v>
      </c>
      <c r="CZ13" s="71" t="s">
        <v>554</v>
      </c>
      <c r="DA13" s="71" t="s">
        <v>554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52">
        <v>0</v>
      </c>
      <c r="EB13" s="52">
        <v>0</v>
      </c>
      <c r="EC13" s="52">
        <v>0</v>
      </c>
      <c r="ED13" s="52">
        <v>0</v>
      </c>
      <c r="EE13" s="52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555</v>
      </c>
      <c r="EQ13" s="16" t="s">
        <v>555</v>
      </c>
      <c r="ER13" s="16" t="s">
        <v>555</v>
      </c>
      <c r="ES13" s="16" t="s">
        <v>555</v>
      </c>
      <c r="ET13" s="16" t="s">
        <v>555</v>
      </c>
      <c r="EU13" s="16" t="s">
        <v>555</v>
      </c>
      <c r="EV13" s="16" t="s">
        <v>555</v>
      </c>
      <c r="EW13" s="16" t="s">
        <v>555</v>
      </c>
      <c r="EX13" s="16" t="s">
        <v>555</v>
      </c>
      <c r="EY13" s="16" t="s">
        <v>555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9"/>
      <c r="B14" s="3" t="s">
        <v>135</v>
      </c>
      <c r="C14" s="11" t="s">
        <v>277</v>
      </c>
      <c r="D14" s="2" t="s">
        <v>546</v>
      </c>
      <c r="E14" s="9">
        <v>0</v>
      </c>
      <c r="F14" s="13">
        <v>0</v>
      </c>
      <c r="G14" s="13" t="s">
        <v>546</v>
      </c>
      <c r="H14" s="15" t="s">
        <v>573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549</v>
      </c>
      <c r="Q14" s="16" t="s">
        <v>549</v>
      </c>
      <c r="R14" s="16" t="s">
        <v>549</v>
      </c>
      <c r="S14" s="16" t="s">
        <v>549</v>
      </c>
      <c r="T14" s="16" t="s">
        <v>549</v>
      </c>
      <c r="U14" s="16" t="s">
        <v>549</v>
      </c>
      <c r="V14" s="16" t="s">
        <v>549</v>
      </c>
      <c r="W14" s="16" t="s">
        <v>549</v>
      </c>
      <c r="X14" s="16" t="s">
        <v>549</v>
      </c>
      <c r="Y14" s="16" t="s">
        <v>549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2">
        <v>0</v>
      </c>
      <c r="DC14" s="52">
        <v>0</v>
      </c>
      <c r="DD14" s="52">
        <v>0</v>
      </c>
      <c r="DE14">
        <v>0</v>
      </c>
      <c r="DF14" s="52">
        <v>0</v>
      </c>
      <c r="DG14">
        <v>0</v>
      </c>
      <c r="DH14" s="52">
        <v>0</v>
      </c>
      <c r="DI14">
        <v>0</v>
      </c>
      <c r="DJ14" s="52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556</v>
      </c>
      <c r="DW14" t="s">
        <v>557</v>
      </c>
      <c r="DX14" t="s">
        <v>558</v>
      </c>
      <c r="DY14" t="s">
        <v>556</v>
      </c>
      <c r="DZ14" t="s">
        <v>557</v>
      </c>
      <c r="EA14" t="s">
        <v>558</v>
      </c>
      <c r="EB14" t="s">
        <v>557</v>
      </c>
      <c r="EC14" t="s">
        <v>556</v>
      </c>
      <c r="ED14" t="s">
        <v>557</v>
      </c>
      <c r="EE14" t="s">
        <v>558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9"/>
      <c r="B15" s="3" t="s">
        <v>547</v>
      </c>
      <c r="C15" s="11" t="s">
        <v>277</v>
      </c>
      <c r="D15" s="2" t="s">
        <v>548</v>
      </c>
      <c r="E15" s="9">
        <v>0</v>
      </c>
      <c r="F15" s="13">
        <v>0</v>
      </c>
      <c r="G15" s="13" t="s">
        <v>548</v>
      </c>
      <c r="H15" s="15" t="s">
        <v>573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2">
        <v>0</v>
      </c>
      <c r="DC15" s="52">
        <v>0</v>
      </c>
      <c r="DD15" s="52">
        <v>0</v>
      </c>
      <c r="DE15">
        <v>0</v>
      </c>
      <c r="DF15" s="52">
        <v>0</v>
      </c>
      <c r="DG15">
        <v>0</v>
      </c>
      <c r="DH15" s="52">
        <v>0</v>
      </c>
      <c r="DI15">
        <v>0</v>
      </c>
      <c r="DJ15" s="52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556</v>
      </c>
      <c r="DW15" t="s">
        <v>557</v>
      </c>
      <c r="DX15" t="s">
        <v>558</v>
      </c>
      <c r="DY15" t="s">
        <v>556</v>
      </c>
      <c r="DZ15" t="s">
        <v>557</v>
      </c>
      <c r="EA15" t="s">
        <v>558</v>
      </c>
      <c r="EB15" t="s">
        <v>557</v>
      </c>
      <c r="EC15" t="s">
        <v>556</v>
      </c>
      <c r="ED15" t="s">
        <v>557</v>
      </c>
      <c r="EE15" t="s">
        <v>558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9"/>
      <c r="B16" s="3" t="s">
        <v>135</v>
      </c>
      <c r="C16" s="11" t="s">
        <v>277</v>
      </c>
      <c r="D16" s="2" t="s">
        <v>439</v>
      </c>
      <c r="E16" s="9">
        <v>0</v>
      </c>
      <c r="F16" s="13">
        <v>0</v>
      </c>
      <c r="G16" s="13" t="s">
        <v>439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423</v>
      </c>
      <c r="Q16" t="s">
        <v>423</v>
      </c>
      <c r="R16" t="s">
        <v>423</v>
      </c>
      <c r="S16" t="s">
        <v>423</v>
      </c>
      <c r="T16" t="s">
        <v>423</v>
      </c>
      <c r="U16" t="s">
        <v>423</v>
      </c>
      <c r="V16" t="s">
        <v>423</v>
      </c>
      <c r="W16" t="s">
        <v>423</v>
      </c>
      <c r="X16" t="s">
        <v>423</v>
      </c>
      <c r="Y16" t="s">
        <v>423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09"/>
      <c r="B17" s="3" t="s">
        <v>135</v>
      </c>
      <c r="C17" s="11" t="s">
        <v>277</v>
      </c>
      <c r="D17" s="2" t="s">
        <v>440</v>
      </c>
      <c r="E17" s="9">
        <v>0</v>
      </c>
      <c r="F17" s="13">
        <v>0</v>
      </c>
      <c r="G17" s="13" t="s">
        <v>440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423</v>
      </c>
      <c r="Q17" t="s">
        <v>423</v>
      </c>
      <c r="R17" t="s">
        <v>423</v>
      </c>
      <c r="S17" t="s">
        <v>423</v>
      </c>
      <c r="T17" t="s">
        <v>423</v>
      </c>
      <c r="U17" t="s">
        <v>423</v>
      </c>
      <c r="V17" t="s">
        <v>423</v>
      </c>
      <c r="W17" t="s">
        <v>423</v>
      </c>
      <c r="X17" t="s">
        <v>423</v>
      </c>
      <c r="Y17" t="s">
        <v>423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109"/>
      <c r="B18" s="3" t="s">
        <v>135</v>
      </c>
      <c r="C18" s="11" t="s">
        <v>277</v>
      </c>
      <c r="D18" s="2" t="s">
        <v>441</v>
      </c>
      <c r="E18" s="9">
        <v>0</v>
      </c>
      <c r="F18" s="13">
        <v>0</v>
      </c>
      <c r="G18" s="13" t="s">
        <v>441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423</v>
      </c>
      <c r="Q18" t="s">
        <v>423</v>
      </c>
      <c r="R18" t="s">
        <v>423</v>
      </c>
      <c r="S18" t="s">
        <v>423</v>
      </c>
      <c r="T18" t="s">
        <v>423</v>
      </c>
      <c r="U18" t="s">
        <v>423</v>
      </c>
      <c r="V18" t="s">
        <v>423</v>
      </c>
      <c r="W18" t="s">
        <v>423</v>
      </c>
      <c r="X18" t="s">
        <v>423</v>
      </c>
      <c r="Y18" t="s">
        <v>423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09"/>
      <c r="B19" s="3" t="s">
        <v>135</v>
      </c>
      <c r="C19" s="11" t="s">
        <v>277</v>
      </c>
      <c r="D19" s="2" t="s">
        <v>442</v>
      </c>
      <c r="E19" s="9">
        <v>0</v>
      </c>
      <c r="F19" s="13">
        <v>0</v>
      </c>
      <c r="G19" s="13" t="s">
        <v>442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423</v>
      </c>
      <c r="Q19" t="s">
        <v>423</v>
      </c>
      <c r="R19" t="s">
        <v>423</v>
      </c>
      <c r="S19" t="s">
        <v>423</v>
      </c>
      <c r="T19" t="s">
        <v>423</v>
      </c>
      <c r="U19" t="s">
        <v>423</v>
      </c>
      <c r="V19" t="s">
        <v>423</v>
      </c>
      <c r="W19" t="s">
        <v>423</v>
      </c>
      <c r="X19" t="s">
        <v>423</v>
      </c>
      <c r="Y19" t="s">
        <v>423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09"/>
      <c r="B20" s="3" t="s">
        <v>135</v>
      </c>
      <c r="C20" s="4" t="s">
        <v>437</v>
      </c>
      <c r="D20" s="2" t="s">
        <v>428</v>
      </c>
      <c r="E20" s="9">
        <v>0</v>
      </c>
      <c r="F20" s="13">
        <v>0</v>
      </c>
      <c r="G20" s="13" t="s">
        <v>429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423</v>
      </c>
      <c r="Q20" t="s">
        <v>423</v>
      </c>
      <c r="R20" t="s">
        <v>423</v>
      </c>
      <c r="S20" t="s">
        <v>423</v>
      </c>
      <c r="T20" t="s">
        <v>423</v>
      </c>
      <c r="U20" t="s">
        <v>423</v>
      </c>
      <c r="V20" t="s">
        <v>423</v>
      </c>
      <c r="W20" t="s">
        <v>423</v>
      </c>
      <c r="X20" t="s">
        <v>423</v>
      </c>
      <c r="Y20" t="s">
        <v>423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6" customFormat="1" x14ac:dyDescent="0.3">
      <c r="A21" s="109"/>
      <c r="B21" s="62" t="s">
        <v>134</v>
      </c>
      <c r="C21" s="63" t="s">
        <v>171</v>
      </c>
      <c r="D21" s="54" t="s">
        <v>402</v>
      </c>
      <c r="E21" s="9">
        <v>0</v>
      </c>
      <c r="F21" s="64">
        <v>0</v>
      </c>
      <c r="G21" s="64" t="s">
        <v>418</v>
      </c>
      <c r="H21">
        <v>0</v>
      </c>
      <c r="I21" s="65" t="str">
        <f>B37</f>
        <v>Reactant5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 t="s">
        <v>423</v>
      </c>
      <c r="Q21" s="66" t="s">
        <v>423</v>
      </c>
      <c r="R21" s="66" t="s">
        <v>423</v>
      </c>
      <c r="S21" s="66" t="s">
        <v>423</v>
      </c>
      <c r="T21" s="66" t="s">
        <v>423</v>
      </c>
      <c r="U21" s="66" t="s">
        <v>423</v>
      </c>
      <c r="V21" s="66" t="s">
        <v>423</v>
      </c>
      <c r="W21" s="66" t="s">
        <v>423</v>
      </c>
      <c r="X21" s="66" t="s">
        <v>423</v>
      </c>
      <c r="Y21" s="66" t="s">
        <v>423</v>
      </c>
      <c r="Z21" s="66" t="s">
        <v>423</v>
      </c>
      <c r="AA21" s="66" t="s">
        <v>423</v>
      </c>
      <c r="AB21" s="66" t="s">
        <v>423</v>
      </c>
      <c r="AC21" s="66" t="s">
        <v>423</v>
      </c>
      <c r="AD21" s="66" t="s">
        <v>423</v>
      </c>
      <c r="AE21" s="66" t="s">
        <v>423</v>
      </c>
      <c r="AF21" s="66" t="s">
        <v>423</v>
      </c>
      <c r="AG21" s="66" t="s">
        <v>423</v>
      </c>
      <c r="AH21" s="66" t="s">
        <v>423</v>
      </c>
      <c r="AI21" s="66" t="s">
        <v>423</v>
      </c>
      <c r="AJ21" s="66" t="s">
        <v>423</v>
      </c>
      <c r="AK21" s="66" t="s">
        <v>423</v>
      </c>
      <c r="AL21" s="66" t="s">
        <v>423</v>
      </c>
      <c r="AM21" s="66" t="s">
        <v>423</v>
      </c>
      <c r="AN21" s="66" t="s">
        <v>423</v>
      </c>
      <c r="AO21" s="66" t="s">
        <v>423</v>
      </c>
      <c r="AP21" s="66" t="s">
        <v>423</v>
      </c>
      <c r="AQ21" s="66" t="s">
        <v>423</v>
      </c>
      <c r="AR21" s="66" t="s">
        <v>423</v>
      </c>
      <c r="AS21" s="66" t="s">
        <v>423</v>
      </c>
      <c r="AT21" s="56" t="s">
        <v>423</v>
      </c>
      <c r="AU21" s="56" t="s">
        <v>423</v>
      </c>
      <c r="AV21" s="56" t="s">
        <v>423</v>
      </c>
      <c r="AW21" s="56" t="s">
        <v>423</v>
      </c>
      <c r="AX21" s="56" t="s">
        <v>423</v>
      </c>
      <c r="AY21" s="56" t="s">
        <v>423</v>
      </c>
      <c r="AZ21" s="56" t="s">
        <v>423</v>
      </c>
      <c r="BA21" s="56" t="s">
        <v>423</v>
      </c>
      <c r="BB21" s="56" t="s">
        <v>423</v>
      </c>
      <c r="BC21" s="56" t="s">
        <v>423</v>
      </c>
      <c r="BD21" s="56" t="s">
        <v>423</v>
      </c>
      <c r="BE21" s="56" t="s">
        <v>423</v>
      </c>
      <c r="BF21" s="56" t="s">
        <v>423</v>
      </c>
      <c r="BG21" s="56" t="s">
        <v>423</v>
      </c>
      <c r="BH21" s="56" t="s">
        <v>423</v>
      </c>
      <c r="BI21" s="56" t="s">
        <v>423</v>
      </c>
      <c r="BJ21" s="56" t="s">
        <v>423</v>
      </c>
      <c r="BK21" s="56" t="s">
        <v>423</v>
      </c>
      <c r="BL21" s="56" t="s">
        <v>423</v>
      </c>
      <c r="BM21" s="56" t="s">
        <v>423</v>
      </c>
      <c r="BN21" s="56" t="s">
        <v>423</v>
      </c>
      <c r="BO21" s="56" t="s">
        <v>423</v>
      </c>
      <c r="BP21" s="56" t="s">
        <v>423</v>
      </c>
      <c r="BQ21" s="56" t="s">
        <v>423</v>
      </c>
      <c r="BR21" s="56" t="s">
        <v>423</v>
      </c>
      <c r="BS21" s="56" t="s">
        <v>423</v>
      </c>
      <c r="BT21" s="56" t="s">
        <v>423</v>
      </c>
      <c r="BU21" s="56" t="s">
        <v>423</v>
      </c>
      <c r="BV21" s="56" t="s">
        <v>423</v>
      </c>
      <c r="BW21" s="56" t="s">
        <v>423</v>
      </c>
      <c r="BX21" s="55" t="s">
        <v>423</v>
      </c>
      <c r="BY21" s="55" t="s">
        <v>423</v>
      </c>
      <c r="BZ21" s="55" t="s">
        <v>423</v>
      </c>
      <c r="CA21" s="55" t="s">
        <v>423</v>
      </c>
      <c r="CB21" s="55" t="s">
        <v>423</v>
      </c>
      <c r="CC21" s="55" t="s">
        <v>423</v>
      </c>
      <c r="CD21" s="55" t="s">
        <v>423</v>
      </c>
      <c r="CE21" s="55" t="s">
        <v>423</v>
      </c>
      <c r="CF21" s="55" t="s">
        <v>423</v>
      </c>
      <c r="CG21" s="55" t="s">
        <v>423</v>
      </c>
      <c r="CH21" s="66" t="s">
        <v>423</v>
      </c>
      <c r="CI21" s="66" t="s">
        <v>423</v>
      </c>
      <c r="CJ21" s="66" t="s">
        <v>423</v>
      </c>
      <c r="CK21" s="66" t="s">
        <v>423</v>
      </c>
      <c r="CL21" s="66" t="s">
        <v>423</v>
      </c>
      <c r="CM21" s="66" t="s">
        <v>423</v>
      </c>
      <c r="CN21" s="66" t="s">
        <v>423</v>
      </c>
      <c r="CO21" s="66" t="s">
        <v>423</v>
      </c>
      <c r="CP21" s="66" t="s">
        <v>423</v>
      </c>
      <c r="CQ21" s="66" t="s">
        <v>423</v>
      </c>
      <c r="CR21" s="66" t="s">
        <v>423</v>
      </c>
      <c r="CS21" s="66" t="s">
        <v>423</v>
      </c>
      <c r="CT21" s="66" t="s">
        <v>423</v>
      </c>
      <c r="CU21" s="66" t="s">
        <v>423</v>
      </c>
      <c r="CV21" s="66" t="s">
        <v>423</v>
      </c>
      <c r="CW21" s="66" t="s">
        <v>423</v>
      </c>
      <c r="CX21" s="66" t="s">
        <v>423</v>
      </c>
      <c r="CY21" s="66" t="s">
        <v>423</v>
      </c>
      <c r="CZ21" s="66" t="s">
        <v>423</v>
      </c>
      <c r="DA21" s="66" t="s">
        <v>423</v>
      </c>
      <c r="DB21" s="66" t="s">
        <v>423</v>
      </c>
      <c r="DC21" s="66" t="s">
        <v>423</v>
      </c>
      <c r="DD21" s="66" t="s">
        <v>423</v>
      </c>
      <c r="DE21" s="66" t="s">
        <v>423</v>
      </c>
      <c r="DF21" s="66" t="s">
        <v>423</v>
      </c>
      <c r="DG21" s="66" t="s">
        <v>423</v>
      </c>
      <c r="DH21" s="66" t="s">
        <v>423</v>
      </c>
      <c r="DI21" s="66" t="s">
        <v>423</v>
      </c>
      <c r="DJ21" s="66" t="s">
        <v>423</v>
      </c>
      <c r="DK21" s="66" t="s">
        <v>423</v>
      </c>
      <c r="DL21" s="66" t="s">
        <v>423</v>
      </c>
      <c r="DM21" s="66" t="s">
        <v>423</v>
      </c>
      <c r="DN21" s="66" t="s">
        <v>423</v>
      </c>
      <c r="DO21" s="66" t="s">
        <v>423</v>
      </c>
      <c r="DP21" s="66" t="s">
        <v>423</v>
      </c>
      <c r="DQ21" s="66" t="s">
        <v>423</v>
      </c>
      <c r="DR21" s="66" t="s">
        <v>423</v>
      </c>
      <c r="DS21" s="66" t="s">
        <v>423</v>
      </c>
      <c r="DT21" s="66" t="s">
        <v>423</v>
      </c>
      <c r="DU21" s="66" t="s">
        <v>423</v>
      </c>
      <c r="DV21" s="66" t="s">
        <v>423</v>
      </c>
      <c r="DW21" s="66" t="s">
        <v>423</v>
      </c>
      <c r="DX21" s="66" t="s">
        <v>423</v>
      </c>
      <c r="DY21" s="66" t="s">
        <v>423</v>
      </c>
      <c r="DZ21" s="66" t="s">
        <v>423</v>
      </c>
      <c r="EA21" s="66" t="s">
        <v>423</v>
      </c>
      <c r="EB21" s="66" t="s">
        <v>423</v>
      </c>
      <c r="EC21" s="66" t="s">
        <v>423</v>
      </c>
      <c r="ED21" s="66" t="s">
        <v>423</v>
      </c>
      <c r="EE21" s="66" t="s">
        <v>423</v>
      </c>
      <c r="EF21" s="66" t="s">
        <v>423</v>
      </c>
      <c r="EG21" s="66" t="s">
        <v>423</v>
      </c>
      <c r="EH21" s="66" t="s">
        <v>423</v>
      </c>
      <c r="EI21" s="66" t="s">
        <v>423</v>
      </c>
      <c r="EJ21" s="66" t="s">
        <v>423</v>
      </c>
      <c r="EK21" s="66" t="s">
        <v>423</v>
      </c>
      <c r="EL21" s="66" t="s">
        <v>423</v>
      </c>
      <c r="EM21" s="66" t="s">
        <v>423</v>
      </c>
      <c r="EN21" s="66" t="s">
        <v>423</v>
      </c>
      <c r="EO21" s="66" t="s">
        <v>423</v>
      </c>
      <c r="EP21" s="66" t="s">
        <v>423</v>
      </c>
      <c r="EQ21" s="66" t="s">
        <v>423</v>
      </c>
      <c r="ER21" s="66" t="s">
        <v>423</v>
      </c>
      <c r="ES21" s="66" t="s">
        <v>423</v>
      </c>
      <c r="ET21" s="66" t="s">
        <v>423</v>
      </c>
      <c r="EU21" s="66" t="s">
        <v>423</v>
      </c>
      <c r="EV21" s="66" t="s">
        <v>423</v>
      </c>
      <c r="EW21" s="66" t="s">
        <v>423</v>
      </c>
      <c r="EX21" s="66" t="s">
        <v>423</v>
      </c>
      <c r="EY21" s="66" t="s">
        <v>423</v>
      </c>
      <c r="EZ21" s="66" t="s">
        <v>423</v>
      </c>
      <c r="FA21" s="66" t="s">
        <v>423</v>
      </c>
      <c r="FB21" s="66" t="s">
        <v>423</v>
      </c>
      <c r="FC21" s="66" t="s">
        <v>423</v>
      </c>
      <c r="FD21" s="66" t="s">
        <v>423</v>
      </c>
      <c r="FE21" s="66" t="s">
        <v>423</v>
      </c>
      <c r="FF21" s="66" t="s">
        <v>423</v>
      </c>
      <c r="FG21" s="66" t="s">
        <v>423</v>
      </c>
      <c r="FH21" s="66" t="s">
        <v>423</v>
      </c>
      <c r="FI21" s="66" t="s">
        <v>423</v>
      </c>
      <c r="FJ21" s="66" t="s">
        <v>423</v>
      </c>
      <c r="FK21" s="66" t="s">
        <v>423</v>
      </c>
      <c r="FL21" s="66" t="s">
        <v>423</v>
      </c>
      <c r="FM21" s="66" t="s">
        <v>423</v>
      </c>
      <c r="FN21" s="66" t="s">
        <v>423</v>
      </c>
      <c r="FO21" s="66" t="s">
        <v>423</v>
      </c>
      <c r="FP21" s="66" t="s">
        <v>423</v>
      </c>
      <c r="FQ21" s="66" t="s">
        <v>423</v>
      </c>
      <c r="FR21" s="66" t="s">
        <v>423</v>
      </c>
      <c r="FS21" s="66" t="s">
        <v>423</v>
      </c>
    </row>
    <row r="22" spans="1:175" s="66" customFormat="1" x14ac:dyDescent="0.3">
      <c r="A22" s="109"/>
      <c r="B22" s="62" t="s">
        <v>134</v>
      </c>
      <c r="C22" s="63" t="s">
        <v>171</v>
      </c>
      <c r="D22" s="54" t="s">
        <v>403</v>
      </c>
      <c r="E22" s="9">
        <v>0</v>
      </c>
      <c r="F22" s="64">
        <v>0</v>
      </c>
      <c r="G22" s="64" t="s">
        <v>419</v>
      </c>
      <c r="H22">
        <v>0</v>
      </c>
      <c r="I22" s="65" t="str">
        <f>B38</f>
        <v>Reactant6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 t="s">
        <v>423</v>
      </c>
      <c r="Q22" s="66" t="s">
        <v>423</v>
      </c>
      <c r="R22" s="66" t="s">
        <v>423</v>
      </c>
      <c r="S22" s="66" t="s">
        <v>423</v>
      </c>
      <c r="T22" s="66" t="s">
        <v>423</v>
      </c>
      <c r="U22" s="66" t="s">
        <v>423</v>
      </c>
      <c r="V22" s="66" t="s">
        <v>423</v>
      </c>
      <c r="W22" s="66" t="s">
        <v>423</v>
      </c>
      <c r="X22" s="66" t="s">
        <v>423</v>
      </c>
      <c r="Y22" s="66" t="s">
        <v>423</v>
      </c>
      <c r="Z22" s="66" t="s">
        <v>423</v>
      </c>
      <c r="AA22" s="66" t="s">
        <v>423</v>
      </c>
      <c r="AB22" s="66" t="s">
        <v>423</v>
      </c>
      <c r="AC22" s="66" t="s">
        <v>423</v>
      </c>
      <c r="AD22" s="66" t="s">
        <v>423</v>
      </c>
      <c r="AE22" s="66" t="s">
        <v>423</v>
      </c>
      <c r="AF22" s="66" t="s">
        <v>423</v>
      </c>
      <c r="AG22" s="66" t="s">
        <v>423</v>
      </c>
      <c r="AH22" s="66" t="s">
        <v>423</v>
      </c>
      <c r="AI22" s="66" t="s">
        <v>423</v>
      </c>
      <c r="AJ22" s="66" t="s">
        <v>423</v>
      </c>
      <c r="AK22" s="66" t="s">
        <v>423</v>
      </c>
      <c r="AL22" s="66" t="s">
        <v>423</v>
      </c>
      <c r="AM22" s="66" t="s">
        <v>423</v>
      </c>
      <c r="AN22" s="66" t="s">
        <v>423</v>
      </c>
      <c r="AO22" s="66" t="s">
        <v>423</v>
      </c>
      <c r="AP22" s="66" t="s">
        <v>423</v>
      </c>
      <c r="AQ22" s="66" t="s">
        <v>423</v>
      </c>
      <c r="AR22" s="66" t="s">
        <v>423</v>
      </c>
      <c r="AS22" s="66" t="s">
        <v>423</v>
      </c>
      <c r="AT22" s="56" t="s">
        <v>423</v>
      </c>
      <c r="AU22" s="56" t="s">
        <v>423</v>
      </c>
      <c r="AV22" s="56" t="s">
        <v>423</v>
      </c>
      <c r="AW22" s="56" t="s">
        <v>423</v>
      </c>
      <c r="AX22" s="56" t="s">
        <v>423</v>
      </c>
      <c r="AY22" s="56" t="s">
        <v>423</v>
      </c>
      <c r="AZ22" s="56" t="s">
        <v>423</v>
      </c>
      <c r="BA22" s="56" t="s">
        <v>423</v>
      </c>
      <c r="BB22" s="56" t="s">
        <v>423</v>
      </c>
      <c r="BC22" s="56" t="s">
        <v>423</v>
      </c>
      <c r="BD22" s="56" t="s">
        <v>423</v>
      </c>
      <c r="BE22" s="56" t="s">
        <v>423</v>
      </c>
      <c r="BF22" s="56" t="s">
        <v>423</v>
      </c>
      <c r="BG22" s="56" t="s">
        <v>423</v>
      </c>
      <c r="BH22" s="56" t="s">
        <v>423</v>
      </c>
      <c r="BI22" s="56" t="s">
        <v>423</v>
      </c>
      <c r="BJ22" s="56" t="s">
        <v>423</v>
      </c>
      <c r="BK22" s="56" t="s">
        <v>423</v>
      </c>
      <c r="BL22" s="56" t="s">
        <v>423</v>
      </c>
      <c r="BM22" s="56" t="s">
        <v>423</v>
      </c>
      <c r="BN22" s="56" t="s">
        <v>423</v>
      </c>
      <c r="BO22" s="56" t="s">
        <v>423</v>
      </c>
      <c r="BP22" s="56" t="s">
        <v>423</v>
      </c>
      <c r="BQ22" s="56" t="s">
        <v>423</v>
      </c>
      <c r="BR22" s="56" t="s">
        <v>423</v>
      </c>
      <c r="BS22" s="56" t="s">
        <v>423</v>
      </c>
      <c r="BT22" s="56" t="s">
        <v>423</v>
      </c>
      <c r="BU22" s="56" t="s">
        <v>423</v>
      </c>
      <c r="BV22" s="56" t="s">
        <v>423</v>
      </c>
      <c r="BW22" s="56" t="s">
        <v>423</v>
      </c>
      <c r="BX22" s="55" t="s">
        <v>423</v>
      </c>
      <c r="BY22" s="55" t="s">
        <v>423</v>
      </c>
      <c r="BZ22" s="55" t="s">
        <v>423</v>
      </c>
      <c r="CA22" s="55" t="s">
        <v>423</v>
      </c>
      <c r="CB22" s="55" t="s">
        <v>423</v>
      </c>
      <c r="CC22" s="55" t="s">
        <v>423</v>
      </c>
      <c r="CD22" s="55" t="s">
        <v>423</v>
      </c>
      <c r="CE22" s="55" t="s">
        <v>423</v>
      </c>
      <c r="CF22" s="55" t="s">
        <v>423</v>
      </c>
      <c r="CG22" s="55" t="s">
        <v>423</v>
      </c>
      <c r="CH22" s="66" t="s">
        <v>423</v>
      </c>
      <c r="CI22" s="66" t="s">
        <v>423</v>
      </c>
      <c r="CJ22" s="66" t="s">
        <v>423</v>
      </c>
      <c r="CK22" s="66" t="s">
        <v>423</v>
      </c>
      <c r="CL22" s="66" t="s">
        <v>423</v>
      </c>
      <c r="CM22" s="66" t="s">
        <v>423</v>
      </c>
      <c r="CN22" s="66" t="s">
        <v>423</v>
      </c>
      <c r="CO22" s="66" t="s">
        <v>423</v>
      </c>
      <c r="CP22" s="66" t="s">
        <v>423</v>
      </c>
      <c r="CQ22" s="66" t="s">
        <v>423</v>
      </c>
      <c r="CR22" s="66" t="s">
        <v>423</v>
      </c>
      <c r="CS22" s="66" t="s">
        <v>423</v>
      </c>
      <c r="CT22" s="66" t="s">
        <v>423</v>
      </c>
      <c r="CU22" s="66" t="s">
        <v>423</v>
      </c>
      <c r="CV22" s="66" t="s">
        <v>423</v>
      </c>
      <c r="CW22" s="66" t="s">
        <v>423</v>
      </c>
      <c r="CX22" s="66" t="s">
        <v>423</v>
      </c>
      <c r="CY22" s="66" t="s">
        <v>423</v>
      </c>
      <c r="CZ22" s="66" t="s">
        <v>423</v>
      </c>
      <c r="DA22" s="66" t="s">
        <v>423</v>
      </c>
      <c r="DB22" s="66" t="s">
        <v>423</v>
      </c>
      <c r="DC22" s="66" t="s">
        <v>423</v>
      </c>
      <c r="DD22" s="66" t="s">
        <v>423</v>
      </c>
      <c r="DE22" s="66" t="s">
        <v>423</v>
      </c>
      <c r="DF22" s="66" t="s">
        <v>423</v>
      </c>
      <c r="DG22" s="66" t="s">
        <v>423</v>
      </c>
      <c r="DH22" s="66" t="s">
        <v>423</v>
      </c>
      <c r="DI22" s="66" t="s">
        <v>423</v>
      </c>
      <c r="DJ22" s="66" t="s">
        <v>423</v>
      </c>
      <c r="DK22" s="66" t="s">
        <v>423</v>
      </c>
      <c r="DL22" s="66" t="s">
        <v>423</v>
      </c>
      <c r="DM22" s="66" t="s">
        <v>423</v>
      </c>
      <c r="DN22" s="66" t="s">
        <v>423</v>
      </c>
      <c r="DO22" s="66" t="s">
        <v>423</v>
      </c>
      <c r="DP22" s="66" t="s">
        <v>423</v>
      </c>
      <c r="DQ22" s="66" t="s">
        <v>423</v>
      </c>
      <c r="DR22" s="66" t="s">
        <v>423</v>
      </c>
      <c r="DS22" s="66" t="s">
        <v>423</v>
      </c>
      <c r="DT22" s="66" t="s">
        <v>423</v>
      </c>
      <c r="DU22" s="66" t="s">
        <v>423</v>
      </c>
      <c r="DV22" s="66" t="s">
        <v>423</v>
      </c>
      <c r="DW22" s="66" t="s">
        <v>423</v>
      </c>
      <c r="DX22" s="66" t="s">
        <v>423</v>
      </c>
      <c r="DY22" s="66" t="s">
        <v>423</v>
      </c>
      <c r="DZ22" s="66" t="s">
        <v>423</v>
      </c>
      <c r="EA22" s="66" t="s">
        <v>423</v>
      </c>
      <c r="EB22" s="66" t="s">
        <v>423</v>
      </c>
      <c r="EC22" s="66" t="s">
        <v>423</v>
      </c>
      <c r="ED22" s="66" t="s">
        <v>423</v>
      </c>
      <c r="EE22" s="66" t="s">
        <v>423</v>
      </c>
      <c r="EF22" s="66" t="s">
        <v>423</v>
      </c>
      <c r="EG22" s="66" t="s">
        <v>423</v>
      </c>
      <c r="EH22" s="66" t="s">
        <v>423</v>
      </c>
      <c r="EI22" s="66" t="s">
        <v>423</v>
      </c>
      <c r="EJ22" s="66" t="s">
        <v>423</v>
      </c>
      <c r="EK22" s="66" t="s">
        <v>423</v>
      </c>
      <c r="EL22" s="66" t="s">
        <v>423</v>
      </c>
      <c r="EM22" s="66" t="s">
        <v>423</v>
      </c>
      <c r="EN22" s="66" t="s">
        <v>423</v>
      </c>
      <c r="EO22" s="66" t="s">
        <v>423</v>
      </c>
      <c r="EP22" s="66" t="s">
        <v>423</v>
      </c>
      <c r="EQ22" s="66" t="s">
        <v>423</v>
      </c>
      <c r="ER22" s="66" t="s">
        <v>423</v>
      </c>
      <c r="ES22" s="66" t="s">
        <v>423</v>
      </c>
      <c r="ET22" s="66" t="s">
        <v>423</v>
      </c>
      <c r="EU22" s="66" t="s">
        <v>423</v>
      </c>
      <c r="EV22" s="66" t="s">
        <v>423</v>
      </c>
      <c r="EW22" s="66" t="s">
        <v>423</v>
      </c>
      <c r="EX22" s="66" t="s">
        <v>423</v>
      </c>
      <c r="EY22" s="66" t="s">
        <v>423</v>
      </c>
      <c r="EZ22" s="66" t="s">
        <v>423</v>
      </c>
      <c r="FA22" s="66" t="s">
        <v>423</v>
      </c>
      <c r="FB22" s="66" t="s">
        <v>423</v>
      </c>
      <c r="FC22" s="66" t="s">
        <v>423</v>
      </c>
      <c r="FD22" s="66" t="s">
        <v>423</v>
      </c>
      <c r="FE22" s="66" t="s">
        <v>423</v>
      </c>
      <c r="FF22" s="66" t="s">
        <v>423</v>
      </c>
      <c r="FG22" s="66" t="s">
        <v>423</v>
      </c>
      <c r="FH22" s="66" t="s">
        <v>423</v>
      </c>
      <c r="FI22" s="66" t="s">
        <v>423</v>
      </c>
      <c r="FJ22" s="66" t="s">
        <v>423</v>
      </c>
      <c r="FK22" s="66" t="s">
        <v>423</v>
      </c>
      <c r="FL22" s="66" t="s">
        <v>423</v>
      </c>
      <c r="FM22" s="66" t="s">
        <v>423</v>
      </c>
      <c r="FN22" s="66" t="s">
        <v>423</v>
      </c>
      <c r="FO22" s="66" t="s">
        <v>423</v>
      </c>
      <c r="FP22" s="66" t="s">
        <v>423</v>
      </c>
      <c r="FQ22" s="66" t="s">
        <v>423</v>
      </c>
      <c r="FR22" s="66" t="s">
        <v>423</v>
      </c>
      <c r="FS22" s="66" t="s">
        <v>423</v>
      </c>
    </row>
    <row r="23" spans="1:175" s="66" customFormat="1" x14ac:dyDescent="0.3">
      <c r="A23" s="109"/>
      <c r="B23" s="62" t="s">
        <v>134</v>
      </c>
      <c r="C23" s="63" t="s">
        <v>171</v>
      </c>
      <c r="D23" s="54" t="s">
        <v>404</v>
      </c>
      <c r="E23" s="9">
        <v>0</v>
      </c>
      <c r="F23" s="64">
        <v>0</v>
      </c>
      <c r="G23" s="64" t="s">
        <v>420</v>
      </c>
      <c r="H23">
        <v>0</v>
      </c>
      <c r="I23" s="65" t="str">
        <f t="shared" ref="I23:I24" si="3">B39</f>
        <v>Reactant7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 t="s">
        <v>423</v>
      </c>
      <c r="Q23" s="66" t="s">
        <v>423</v>
      </c>
      <c r="R23" s="66" t="s">
        <v>423</v>
      </c>
      <c r="S23" s="66" t="s">
        <v>423</v>
      </c>
      <c r="T23" s="66" t="s">
        <v>423</v>
      </c>
      <c r="U23" s="66" t="s">
        <v>423</v>
      </c>
      <c r="V23" s="66" t="s">
        <v>423</v>
      </c>
      <c r="W23" s="66" t="s">
        <v>423</v>
      </c>
      <c r="X23" s="66" t="s">
        <v>423</v>
      </c>
      <c r="Y23" s="66" t="s">
        <v>423</v>
      </c>
      <c r="Z23" s="66" t="s">
        <v>423</v>
      </c>
      <c r="AA23" s="66" t="s">
        <v>423</v>
      </c>
      <c r="AB23" s="66" t="s">
        <v>423</v>
      </c>
      <c r="AC23" s="66" t="s">
        <v>423</v>
      </c>
      <c r="AD23" s="66" t="s">
        <v>423</v>
      </c>
      <c r="AE23" s="66" t="s">
        <v>423</v>
      </c>
      <c r="AF23" s="66" t="s">
        <v>423</v>
      </c>
      <c r="AG23" s="66" t="s">
        <v>423</v>
      </c>
      <c r="AH23" s="66" t="s">
        <v>423</v>
      </c>
      <c r="AI23" s="66" t="s">
        <v>423</v>
      </c>
      <c r="AJ23" s="66" t="s">
        <v>423</v>
      </c>
      <c r="AK23" s="66" t="s">
        <v>423</v>
      </c>
      <c r="AL23" s="66" t="s">
        <v>423</v>
      </c>
      <c r="AM23" s="66" t="s">
        <v>423</v>
      </c>
      <c r="AN23" s="66" t="s">
        <v>423</v>
      </c>
      <c r="AO23" s="66" t="s">
        <v>423</v>
      </c>
      <c r="AP23" s="66" t="s">
        <v>423</v>
      </c>
      <c r="AQ23" s="66" t="s">
        <v>423</v>
      </c>
      <c r="AR23" s="66" t="s">
        <v>423</v>
      </c>
      <c r="AS23" s="66" t="s">
        <v>423</v>
      </c>
      <c r="AT23" s="56" t="s">
        <v>423</v>
      </c>
      <c r="AU23" s="56" t="s">
        <v>423</v>
      </c>
      <c r="AV23" s="56" t="s">
        <v>423</v>
      </c>
      <c r="AW23" s="56" t="s">
        <v>423</v>
      </c>
      <c r="AX23" s="56" t="s">
        <v>423</v>
      </c>
      <c r="AY23" s="56" t="s">
        <v>423</v>
      </c>
      <c r="AZ23" s="56" t="s">
        <v>423</v>
      </c>
      <c r="BA23" s="56" t="s">
        <v>423</v>
      </c>
      <c r="BB23" s="56" t="s">
        <v>423</v>
      </c>
      <c r="BC23" s="56" t="s">
        <v>423</v>
      </c>
      <c r="BD23" s="56" t="s">
        <v>423</v>
      </c>
      <c r="BE23" s="56" t="s">
        <v>423</v>
      </c>
      <c r="BF23" s="56" t="s">
        <v>423</v>
      </c>
      <c r="BG23" s="56" t="s">
        <v>423</v>
      </c>
      <c r="BH23" s="56" t="s">
        <v>423</v>
      </c>
      <c r="BI23" s="56" t="s">
        <v>423</v>
      </c>
      <c r="BJ23" s="56" t="s">
        <v>423</v>
      </c>
      <c r="BK23" s="56" t="s">
        <v>423</v>
      </c>
      <c r="BL23" s="56" t="s">
        <v>423</v>
      </c>
      <c r="BM23" s="56" t="s">
        <v>423</v>
      </c>
      <c r="BN23" s="56" t="s">
        <v>423</v>
      </c>
      <c r="BO23" s="56" t="s">
        <v>423</v>
      </c>
      <c r="BP23" s="56" t="s">
        <v>423</v>
      </c>
      <c r="BQ23" s="56" t="s">
        <v>423</v>
      </c>
      <c r="BR23" s="56" t="s">
        <v>423</v>
      </c>
      <c r="BS23" s="56" t="s">
        <v>423</v>
      </c>
      <c r="BT23" s="56" t="s">
        <v>423</v>
      </c>
      <c r="BU23" s="56" t="s">
        <v>423</v>
      </c>
      <c r="BV23" s="56" t="s">
        <v>423</v>
      </c>
      <c r="BW23" s="56" t="s">
        <v>423</v>
      </c>
      <c r="BX23" s="55" t="s">
        <v>423</v>
      </c>
      <c r="BY23" s="55" t="s">
        <v>423</v>
      </c>
      <c r="BZ23" s="55" t="s">
        <v>423</v>
      </c>
      <c r="CA23" s="55" t="s">
        <v>423</v>
      </c>
      <c r="CB23" s="55" t="s">
        <v>423</v>
      </c>
      <c r="CC23" s="55" t="s">
        <v>423</v>
      </c>
      <c r="CD23" s="55" t="s">
        <v>423</v>
      </c>
      <c r="CE23" s="55" t="s">
        <v>423</v>
      </c>
      <c r="CF23" s="55" t="s">
        <v>423</v>
      </c>
      <c r="CG23" s="55" t="s">
        <v>423</v>
      </c>
      <c r="CH23" s="66" t="s">
        <v>423</v>
      </c>
      <c r="CI23" s="66" t="s">
        <v>423</v>
      </c>
      <c r="CJ23" s="66" t="s">
        <v>423</v>
      </c>
      <c r="CK23" s="66" t="s">
        <v>423</v>
      </c>
      <c r="CL23" s="66" t="s">
        <v>423</v>
      </c>
      <c r="CM23" s="66" t="s">
        <v>423</v>
      </c>
      <c r="CN23" s="66" t="s">
        <v>423</v>
      </c>
      <c r="CO23" s="66" t="s">
        <v>423</v>
      </c>
      <c r="CP23" s="66" t="s">
        <v>423</v>
      </c>
      <c r="CQ23" s="66" t="s">
        <v>423</v>
      </c>
      <c r="CR23" s="66" t="s">
        <v>423</v>
      </c>
      <c r="CS23" s="66" t="s">
        <v>423</v>
      </c>
      <c r="CT23" s="66" t="s">
        <v>423</v>
      </c>
      <c r="CU23" s="66" t="s">
        <v>423</v>
      </c>
      <c r="CV23" s="66" t="s">
        <v>423</v>
      </c>
      <c r="CW23" s="66" t="s">
        <v>423</v>
      </c>
      <c r="CX23" s="66" t="s">
        <v>423</v>
      </c>
      <c r="CY23" s="66" t="s">
        <v>423</v>
      </c>
      <c r="CZ23" s="66" t="s">
        <v>423</v>
      </c>
      <c r="DA23" s="66" t="s">
        <v>423</v>
      </c>
      <c r="DB23" s="66" t="s">
        <v>423</v>
      </c>
      <c r="DC23" s="66" t="s">
        <v>423</v>
      </c>
      <c r="DD23" s="66" t="s">
        <v>423</v>
      </c>
      <c r="DE23" s="66" t="s">
        <v>423</v>
      </c>
      <c r="DF23" s="66" t="s">
        <v>423</v>
      </c>
      <c r="DG23" s="66" t="s">
        <v>423</v>
      </c>
      <c r="DH23" s="66" t="s">
        <v>423</v>
      </c>
      <c r="DI23" s="66" t="s">
        <v>423</v>
      </c>
      <c r="DJ23" s="66" t="s">
        <v>423</v>
      </c>
      <c r="DK23" s="66" t="s">
        <v>423</v>
      </c>
      <c r="DL23" s="66" t="s">
        <v>423</v>
      </c>
      <c r="DM23" s="66" t="s">
        <v>423</v>
      </c>
      <c r="DN23" s="66" t="s">
        <v>423</v>
      </c>
      <c r="DO23" s="66" t="s">
        <v>423</v>
      </c>
      <c r="DP23" s="66" t="s">
        <v>423</v>
      </c>
      <c r="DQ23" s="66" t="s">
        <v>423</v>
      </c>
      <c r="DR23" s="66" t="s">
        <v>423</v>
      </c>
      <c r="DS23" s="66" t="s">
        <v>423</v>
      </c>
      <c r="DT23" s="66" t="s">
        <v>423</v>
      </c>
      <c r="DU23" s="66" t="s">
        <v>423</v>
      </c>
      <c r="DV23" s="66" t="s">
        <v>423</v>
      </c>
      <c r="DW23" s="66" t="s">
        <v>423</v>
      </c>
      <c r="DX23" s="66" t="s">
        <v>423</v>
      </c>
      <c r="DY23" s="66" t="s">
        <v>423</v>
      </c>
      <c r="DZ23" s="66" t="s">
        <v>423</v>
      </c>
      <c r="EA23" s="66" t="s">
        <v>423</v>
      </c>
      <c r="EB23" s="66" t="s">
        <v>423</v>
      </c>
      <c r="EC23" s="66" t="s">
        <v>423</v>
      </c>
      <c r="ED23" s="66" t="s">
        <v>423</v>
      </c>
      <c r="EE23" s="66" t="s">
        <v>423</v>
      </c>
      <c r="EF23" s="66" t="s">
        <v>423</v>
      </c>
      <c r="EG23" s="66" t="s">
        <v>423</v>
      </c>
      <c r="EH23" s="66" t="s">
        <v>423</v>
      </c>
      <c r="EI23" s="66" t="s">
        <v>423</v>
      </c>
      <c r="EJ23" s="66" t="s">
        <v>423</v>
      </c>
      <c r="EK23" s="66" t="s">
        <v>423</v>
      </c>
      <c r="EL23" s="66" t="s">
        <v>423</v>
      </c>
      <c r="EM23" s="66" t="s">
        <v>423</v>
      </c>
      <c r="EN23" s="66" t="s">
        <v>423</v>
      </c>
      <c r="EO23" s="66" t="s">
        <v>423</v>
      </c>
      <c r="EP23" s="66" t="s">
        <v>423</v>
      </c>
      <c r="EQ23" s="66" t="s">
        <v>423</v>
      </c>
      <c r="ER23" s="66" t="s">
        <v>423</v>
      </c>
      <c r="ES23" s="66" t="s">
        <v>423</v>
      </c>
      <c r="ET23" s="66" t="s">
        <v>423</v>
      </c>
      <c r="EU23" s="66" t="s">
        <v>423</v>
      </c>
      <c r="EV23" s="66" t="s">
        <v>423</v>
      </c>
      <c r="EW23" s="66" t="s">
        <v>423</v>
      </c>
      <c r="EX23" s="66" t="s">
        <v>423</v>
      </c>
      <c r="EY23" s="66" t="s">
        <v>423</v>
      </c>
      <c r="EZ23" s="66" t="s">
        <v>423</v>
      </c>
      <c r="FA23" s="66" t="s">
        <v>423</v>
      </c>
      <c r="FB23" s="66" t="s">
        <v>423</v>
      </c>
      <c r="FC23" s="66" t="s">
        <v>423</v>
      </c>
      <c r="FD23" s="66" t="s">
        <v>423</v>
      </c>
      <c r="FE23" s="66" t="s">
        <v>423</v>
      </c>
      <c r="FF23" s="66" t="s">
        <v>423</v>
      </c>
      <c r="FG23" s="66" t="s">
        <v>423</v>
      </c>
      <c r="FH23" s="66" t="s">
        <v>423</v>
      </c>
      <c r="FI23" s="66" t="s">
        <v>423</v>
      </c>
      <c r="FJ23" s="66" t="s">
        <v>423</v>
      </c>
      <c r="FK23" s="66" t="s">
        <v>423</v>
      </c>
      <c r="FL23" s="66" t="s">
        <v>423</v>
      </c>
      <c r="FM23" s="66" t="s">
        <v>423</v>
      </c>
      <c r="FN23" s="66" t="s">
        <v>423</v>
      </c>
      <c r="FO23" s="66" t="s">
        <v>423</v>
      </c>
      <c r="FP23" s="66" t="s">
        <v>423</v>
      </c>
      <c r="FQ23" s="66" t="s">
        <v>423</v>
      </c>
      <c r="FR23" s="66" t="s">
        <v>423</v>
      </c>
      <c r="FS23" s="66" t="s">
        <v>423</v>
      </c>
    </row>
    <row r="24" spans="1:175" s="66" customFormat="1" x14ac:dyDescent="0.3">
      <c r="A24" s="109"/>
      <c r="B24" s="62" t="s">
        <v>134</v>
      </c>
      <c r="C24" s="63" t="s">
        <v>171</v>
      </c>
      <c r="D24" s="54" t="s">
        <v>405</v>
      </c>
      <c r="E24" s="9">
        <v>0</v>
      </c>
      <c r="F24" s="64">
        <v>0</v>
      </c>
      <c r="G24" s="64" t="s">
        <v>421</v>
      </c>
      <c r="H24">
        <v>0</v>
      </c>
      <c r="I24" s="65" t="str">
        <f t="shared" si="3"/>
        <v>Reactant8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 t="s">
        <v>423</v>
      </c>
      <c r="Q24" s="66" t="s">
        <v>423</v>
      </c>
      <c r="R24" s="66" t="s">
        <v>423</v>
      </c>
      <c r="S24" s="66" t="s">
        <v>423</v>
      </c>
      <c r="T24" s="66" t="s">
        <v>423</v>
      </c>
      <c r="U24" s="66" t="s">
        <v>423</v>
      </c>
      <c r="V24" s="66" t="s">
        <v>423</v>
      </c>
      <c r="W24" s="66" t="s">
        <v>423</v>
      </c>
      <c r="X24" s="66" t="s">
        <v>423</v>
      </c>
      <c r="Y24" s="66" t="s">
        <v>423</v>
      </c>
      <c r="Z24" s="66" t="s">
        <v>423</v>
      </c>
      <c r="AA24" s="66" t="s">
        <v>423</v>
      </c>
      <c r="AB24" s="66" t="s">
        <v>423</v>
      </c>
      <c r="AC24" s="66" t="s">
        <v>423</v>
      </c>
      <c r="AD24" s="66" t="s">
        <v>423</v>
      </c>
      <c r="AE24" s="66" t="s">
        <v>423</v>
      </c>
      <c r="AF24" s="66" t="s">
        <v>423</v>
      </c>
      <c r="AG24" s="66" t="s">
        <v>423</v>
      </c>
      <c r="AH24" s="66" t="s">
        <v>423</v>
      </c>
      <c r="AI24" s="66" t="s">
        <v>423</v>
      </c>
      <c r="AJ24" s="66" t="s">
        <v>423</v>
      </c>
      <c r="AK24" s="66" t="s">
        <v>423</v>
      </c>
      <c r="AL24" s="66" t="s">
        <v>423</v>
      </c>
      <c r="AM24" s="66" t="s">
        <v>423</v>
      </c>
      <c r="AN24" s="66" t="s">
        <v>423</v>
      </c>
      <c r="AO24" s="66" t="s">
        <v>423</v>
      </c>
      <c r="AP24" s="66" t="s">
        <v>423</v>
      </c>
      <c r="AQ24" s="66" t="s">
        <v>423</v>
      </c>
      <c r="AR24" s="66" t="s">
        <v>423</v>
      </c>
      <c r="AS24" s="66" t="s">
        <v>423</v>
      </c>
      <c r="AT24" s="56" t="s">
        <v>423</v>
      </c>
      <c r="AU24" s="56" t="s">
        <v>423</v>
      </c>
      <c r="AV24" s="56" t="s">
        <v>423</v>
      </c>
      <c r="AW24" s="56" t="s">
        <v>423</v>
      </c>
      <c r="AX24" s="56" t="s">
        <v>423</v>
      </c>
      <c r="AY24" s="56" t="s">
        <v>423</v>
      </c>
      <c r="AZ24" s="56" t="s">
        <v>423</v>
      </c>
      <c r="BA24" s="56" t="s">
        <v>423</v>
      </c>
      <c r="BB24" s="56" t="s">
        <v>423</v>
      </c>
      <c r="BC24" s="56" t="s">
        <v>423</v>
      </c>
      <c r="BD24" s="56" t="s">
        <v>423</v>
      </c>
      <c r="BE24" s="56" t="s">
        <v>423</v>
      </c>
      <c r="BF24" s="56" t="s">
        <v>423</v>
      </c>
      <c r="BG24" s="56" t="s">
        <v>423</v>
      </c>
      <c r="BH24" s="56" t="s">
        <v>423</v>
      </c>
      <c r="BI24" s="56" t="s">
        <v>423</v>
      </c>
      <c r="BJ24" s="56" t="s">
        <v>423</v>
      </c>
      <c r="BK24" s="56" t="s">
        <v>423</v>
      </c>
      <c r="BL24" s="56" t="s">
        <v>423</v>
      </c>
      <c r="BM24" s="56" t="s">
        <v>423</v>
      </c>
      <c r="BN24" s="56" t="s">
        <v>423</v>
      </c>
      <c r="BO24" s="56" t="s">
        <v>423</v>
      </c>
      <c r="BP24" s="56" t="s">
        <v>423</v>
      </c>
      <c r="BQ24" s="56" t="s">
        <v>423</v>
      </c>
      <c r="BR24" s="56" t="s">
        <v>423</v>
      </c>
      <c r="BS24" s="56" t="s">
        <v>423</v>
      </c>
      <c r="BT24" s="56" t="s">
        <v>423</v>
      </c>
      <c r="BU24" s="56" t="s">
        <v>423</v>
      </c>
      <c r="BV24" s="56" t="s">
        <v>423</v>
      </c>
      <c r="BW24" s="56" t="s">
        <v>423</v>
      </c>
      <c r="BX24" s="55" t="s">
        <v>423</v>
      </c>
      <c r="BY24" s="55" t="s">
        <v>423</v>
      </c>
      <c r="BZ24" s="55" t="s">
        <v>423</v>
      </c>
      <c r="CA24" s="55" t="s">
        <v>423</v>
      </c>
      <c r="CB24" s="55" t="s">
        <v>423</v>
      </c>
      <c r="CC24" s="55" t="s">
        <v>423</v>
      </c>
      <c r="CD24" s="55" t="s">
        <v>423</v>
      </c>
      <c r="CE24" s="55" t="s">
        <v>423</v>
      </c>
      <c r="CF24" s="55" t="s">
        <v>423</v>
      </c>
      <c r="CG24" s="55" t="s">
        <v>423</v>
      </c>
      <c r="CH24" s="66" t="s">
        <v>423</v>
      </c>
      <c r="CI24" s="66" t="s">
        <v>423</v>
      </c>
      <c r="CJ24" s="66" t="s">
        <v>423</v>
      </c>
      <c r="CK24" s="66" t="s">
        <v>423</v>
      </c>
      <c r="CL24" s="66" t="s">
        <v>423</v>
      </c>
      <c r="CM24" s="66" t="s">
        <v>423</v>
      </c>
      <c r="CN24" s="66" t="s">
        <v>423</v>
      </c>
      <c r="CO24" s="66" t="s">
        <v>423</v>
      </c>
      <c r="CP24" s="66" t="s">
        <v>423</v>
      </c>
      <c r="CQ24" s="66" t="s">
        <v>423</v>
      </c>
      <c r="CR24" s="66" t="s">
        <v>423</v>
      </c>
      <c r="CS24" s="66" t="s">
        <v>423</v>
      </c>
      <c r="CT24" s="66" t="s">
        <v>423</v>
      </c>
      <c r="CU24" s="66" t="s">
        <v>423</v>
      </c>
      <c r="CV24" s="66" t="s">
        <v>423</v>
      </c>
      <c r="CW24" s="66" t="s">
        <v>423</v>
      </c>
      <c r="CX24" s="66" t="s">
        <v>423</v>
      </c>
      <c r="CY24" s="66" t="s">
        <v>423</v>
      </c>
      <c r="CZ24" s="66" t="s">
        <v>423</v>
      </c>
      <c r="DA24" s="66" t="s">
        <v>423</v>
      </c>
      <c r="DB24" s="66" t="s">
        <v>423</v>
      </c>
      <c r="DC24" s="66" t="s">
        <v>423</v>
      </c>
      <c r="DD24" s="66" t="s">
        <v>423</v>
      </c>
      <c r="DE24" s="66" t="s">
        <v>423</v>
      </c>
      <c r="DF24" s="66" t="s">
        <v>423</v>
      </c>
      <c r="DG24" s="66" t="s">
        <v>423</v>
      </c>
      <c r="DH24" s="66" t="s">
        <v>423</v>
      </c>
      <c r="DI24" s="66" t="s">
        <v>423</v>
      </c>
      <c r="DJ24" s="66" t="s">
        <v>423</v>
      </c>
      <c r="DK24" s="66" t="s">
        <v>423</v>
      </c>
      <c r="DL24" s="66" t="s">
        <v>423</v>
      </c>
      <c r="DM24" s="66" t="s">
        <v>423</v>
      </c>
      <c r="DN24" s="66" t="s">
        <v>423</v>
      </c>
      <c r="DO24" s="66" t="s">
        <v>423</v>
      </c>
      <c r="DP24" s="66" t="s">
        <v>423</v>
      </c>
      <c r="DQ24" s="66" t="s">
        <v>423</v>
      </c>
      <c r="DR24" s="66" t="s">
        <v>423</v>
      </c>
      <c r="DS24" s="66" t="s">
        <v>423</v>
      </c>
      <c r="DT24" s="66" t="s">
        <v>423</v>
      </c>
      <c r="DU24" s="66" t="s">
        <v>423</v>
      </c>
      <c r="DV24" s="66" t="s">
        <v>423</v>
      </c>
      <c r="DW24" s="66" t="s">
        <v>423</v>
      </c>
      <c r="DX24" s="66" t="s">
        <v>423</v>
      </c>
      <c r="DY24" s="66" t="s">
        <v>423</v>
      </c>
      <c r="DZ24" s="66" t="s">
        <v>423</v>
      </c>
      <c r="EA24" s="66" t="s">
        <v>423</v>
      </c>
      <c r="EB24" s="66" t="s">
        <v>423</v>
      </c>
      <c r="EC24" s="66" t="s">
        <v>423</v>
      </c>
      <c r="ED24" s="66" t="s">
        <v>423</v>
      </c>
      <c r="EE24" s="66" t="s">
        <v>423</v>
      </c>
      <c r="EF24" s="66" t="s">
        <v>423</v>
      </c>
      <c r="EG24" s="66" t="s">
        <v>423</v>
      </c>
      <c r="EH24" s="66" t="s">
        <v>423</v>
      </c>
      <c r="EI24" s="66" t="s">
        <v>423</v>
      </c>
      <c r="EJ24" s="66" t="s">
        <v>423</v>
      </c>
      <c r="EK24" s="66" t="s">
        <v>423</v>
      </c>
      <c r="EL24" s="66" t="s">
        <v>423</v>
      </c>
      <c r="EM24" s="66" t="s">
        <v>423</v>
      </c>
      <c r="EN24" s="66" t="s">
        <v>423</v>
      </c>
      <c r="EO24" s="66" t="s">
        <v>423</v>
      </c>
      <c r="EP24" s="66" t="s">
        <v>423</v>
      </c>
      <c r="EQ24" s="66" t="s">
        <v>423</v>
      </c>
      <c r="ER24" s="66" t="s">
        <v>423</v>
      </c>
      <c r="ES24" s="66" t="s">
        <v>423</v>
      </c>
      <c r="ET24" s="66" t="s">
        <v>423</v>
      </c>
      <c r="EU24" s="66" t="s">
        <v>423</v>
      </c>
      <c r="EV24" s="66" t="s">
        <v>423</v>
      </c>
      <c r="EW24" s="66" t="s">
        <v>423</v>
      </c>
      <c r="EX24" s="66" t="s">
        <v>423</v>
      </c>
      <c r="EY24" s="66" t="s">
        <v>423</v>
      </c>
      <c r="EZ24" s="66" t="s">
        <v>423</v>
      </c>
      <c r="FA24" s="66" t="s">
        <v>423</v>
      </c>
      <c r="FB24" s="66" t="s">
        <v>423</v>
      </c>
      <c r="FC24" s="66" t="s">
        <v>423</v>
      </c>
      <c r="FD24" s="66" t="s">
        <v>423</v>
      </c>
      <c r="FE24" s="66" t="s">
        <v>423</v>
      </c>
      <c r="FF24" s="66" t="s">
        <v>423</v>
      </c>
      <c r="FG24" s="66" t="s">
        <v>423</v>
      </c>
      <c r="FH24" s="66" t="s">
        <v>423</v>
      </c>
      <c r="FI24" s="66" t="s">
        <v>423</v>
      </c>
      <c r="FJ24" s="66" t="s">
        <v>423</v>
      </c>
      <c r="FK24" s="66" t="s">
        <v>423</v>
      </c>
      <c r="FL24" s="66" t="s">
        <v>423</v>
      </c>
      <c r="FM24" s="66" t="s">
        <v>423</v>
      </c>
      <c r="FN24" s="66" t="s">
        <v>423</v>
      </c>
      <c r="FO24" s="66" t="s">
        <v>423</v>
      </c>
      <c r="FP24" s="66" t="s">
        <v>423</v>
      </c>
      <c r="FQ24" s="66" t="s">
        <v>423</v>
      </c>
      <c r="FR24" s="66" t="s">
        <v>423</v>
      </c>
      <c r="FS24" s="66" t="s">
        <v>423</v>
      </c>
    </row>
    <row r="25" spans="1:175" x14ac:dyDescent="0.3">
      <c r="A25" s="109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288</v>
      </c>
      <c r="Q25" s="16" t="s">
        <v>292</v>
      </c>
      <c r="R25" s="16" t="s">
        <v>288</v>
      </c>
      <c r="S25" s="16" t="s">
        <v>288</v>
      </c>
      <c r="T25" s="16" t="s">
        <v>288</v>
      </c>
      <c r="U25" s="16" t="s">
        <v>288</v>
      </c>
      <c r="V25" s="16" t="s">
        <v>288</v>
      </c>
      <c r="W25" s="16" t="s">
        <v>288</v>
      </c>
      <c r="X25" s="16" t="s">
        <v>288</v>
      </c>
      <c r="Y25" s="16" t="s">
        <v>288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288</v>
      </c>
      <c r="AU25" s="14" t="s">
        <v>288</v>
      </c>
      <c r="AV25" s="14" t="s">
        <v>288</v>
      </c>
      <c r="AW25" s="14" t="s">
        <v>288</v>
      </c>
      <c r="AX25" s="14" t="s">
        <v>288</v>
      </c>
      <c r="AY25" s="14" t="s">
        <v>288</v>
      </c>
      <c r="AZ25" s="14" t="s">
        <v>288</v>
      </c>
      <c r="BA25" s="14" t="s">
        <v>288</v>
      </c>
      <c r="BB25" s="14" t="s">
        <v>288</v>
      </c>
      <c r="BC25" s="14" t="s">
        <v>288</v>
      </c>
      <c r="BD25" s="14" t="s">
        <v>310</v>
      </c>
      <c r="BE25" s="14" t="s">
        <v>310</v>
      </c>
      <c r="BF25" s="14" t="s">
        <v>310</v>
      </c>
      <c r="BG25" s="14" t="s">
        <v>288</v>
      </c>
      <c r="BH25" s="14" t="s">
        <v>288</v>
      </c>
      <c r="BI25" s="14" t="s">
        <v>288</v>
      </c>
      <c r="BJ25" s="14" t="s">
        <v>311</v>
      </c>
      <c r="BK25" s="14" t="s">
        <v>311</v>
      </c>
      <c r="BL25" s="14" t="s">
        <v>311</v>
      </c>
      <c r="BM25" s="14" t="s">
        <v>311</v>
      </c>
      <c r="BN25" s="14" t="s">
        <v>310</v>
      </c>
      <c r="BO25" s="14" t="s">
        <v>310</v>
      </c>
      <c r="BP25" s="14" t="s">
        <v>310</v>
      </c>
      <c r="BQ25" s="14" t="s">
        <v>288</v>
      </c>
      <c r="BR25" s="14" t="s">
        <v>288</v>
      </c>
      <c r="BS25" s="14" t="s">
        <v>288</v>
      </c>
      <c r="BT25" s="14" t="s">
        <v>311</v>
      </c>
      <c r="BU25" s="14" t="s">
        <v>311</v>
      </c>
      <c r="BV25" s="14" t="s">
        <v>311</v>
      </c>
      <c r="BW25" s="14" t="s">
        <v>311</v>
      </c>
      <c r="BX25" t="s">
        <v>288</v>
      </c>
      <c r="BY25" t="s">
        <v>288</v>
      </c>
      <c r="BZ25" t="s">
        <v>288</v>
      </c>
      <c r="CA25" t="s">
        <v>288</v>
      </c>
      <c r="CB25" t="s">
        <v>288</v>
      </c>
      <c r="CC25" t="s">
        <v>288</v>
      </c>
      <c r="CD25" t="s">
        <v>288</v>
      </c>
      <c r="CE25" t="s">
        <v>288</v>
      </c>
      <c r="CF25" t="s">
        <v>288</v>
      </c>
      <c r="CG25" t="s">
        <v>288</v>
      </c>
      <c r="CH25" t="s">
        <v>365</v>
      </c>
      <c r="CI25" t="s">
        <v>365</v>
      </c>
      <c r="CJ25" t="s">
        <v>365</v>
      </c>
      <c r="CK25" t="s">
        <v>366</v>
      </c>
      <c r="CL25" t="s">
        <v>366</v>
      </c>
      <c r="CM25" t="s">
        <v>366</v>
      </c>
      <c r="CN25">
        <v>0</v>
      </c>
      <c r="CO25" t="s">
        <v>367</v>
      </c>
      <c r="CP25" t="s">
        <v>367</v>
      </c>
      <c r="CQ25" t="s">
        <v>367</v>
      </c>
      <c r="CR25" t="s">
        <v>364</v>
      </c>
      <c r="CS25" t="s">
        <v>364</v>
      </c>
      <c r="CT25" t="s">
        <v>364</v>
      </c>
      <c r="CU25" t="s">
        <v>364</v>
      </c>
      <c r="CV25" t="s">
        <v>364</v>
      </c>
      <c r="CW25" t="s">
        <v>364</v>
      </c>
      <c r="CX25" t="s">
        <v>364</v>
      </c>
      <c r="CY25" t="s">
        <v>364</v>
      </c>
      <c r="CZ25" t="s">
        <v>364</v>
      </c>
      <c r="DA25" t="s">
        <v>364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1">
        <v>0</v>
      </c>
      <c r="FK25" s="51">
        <v>0</v>
      </c>
      <c r="FL25" s="51">
        <v>0</v>
      </c>
      <c r="FM25" s="51">
        <v>0</v>
      </c>
      <c r="FN25" s="51">
        <v>0</v>
      </c>
      <c r="FO25" s="51">
        <v>0</v>
      </c>
      <c r="FP25" s="51">
        <v>0</v>
      </c>
      <c r="FQ25" s="51">
        <v>0</v>
      </c>
      <c r="FR25" s="51">
        <v>0</v>
      </c>
      <c r="FS25" s="51">
        <v>0</v>
      </c>
    </row>
    <row r="26" spans="1:175" x14ac:dyDescent="0.3">
      <c r="A26" s="109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288</v>
      </c>
      <c r="Q26" s="16" t="s">
        <v>289</v>
      </c>
      <c r="R26" s="16" t="s">
        <v>288</v>
      </c>
      <c r="S26" s="16" t="s">
        <v>288</v>
      </c>
      <c r="T26" s="16" t="s">
        <v>288</v>
      </c>
      <c r="U26" s="16" t="s">
        <v>288</v>
      </c>
      <c r="V26" s="16" t="s">
        <v>288</v>
      </c>
      <c r="W26" s="16" t="s">
        <v>288</v>
      </c>
      <c r="X26" s="16" t="s">
        <v>288</v>
      </c>
      <c r="Y26" s="16" t="s">
        <v>288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288</v>
      </c>
      <c r="AU26" s="14" t="s">
        <v>288</v>
      </c>
      <c r="AV26" s="14" t="s">
        <v>288</v>
      </c>
      <c r="AW26" s="14" t="s">
        <v>288</v>
      </c>
      <c r="AX26" s="14" t="s">
        <v>288</v>
      </c>
      <c r="AY26" s="14" t="s">
        <v>288</v>
      </c>
      <c r="AZ26" s="14" t="s">
        <v>288</v>
      </c>
      <c r="BA26" s="14" t="s">
        <v>288</v>
      </c>
      <c r="BB26" s="14" t="s">
        <v>288</v>
      </c>
      <c r="BC26" s="14" t="s">
        <v>288</v>
      </c>
      <c r="BD26" s="14" t="s">
        <v>310</v>
      </c>
      <c r="BE26" s="14" t="s">
        <v>310</v>
      </c>
      <c r="BF26" s="14" t="s">
        <v>310</v>
      </c>
      <c r="BG26" s="14" t="s">
        <v>288</v>
      </c>
      <c r="BH26" s="14" t="s">
        <v>288</v>
      </c>
      <c r="BI26" s="14" t="s">
        <v>288</v>
      </c>
      <c r="BJ26" s="14" t="s">
        <v>311</v>
      </c>
      <c r="BK26" s="14" t="s">
        <v>311</v>
      </c>
      <c r="BL26" s="14" t="s">
        <v>311</v>
      </c>
      <c r="BM26" s="14" t="s">
        <v>311</v>
      </c>
      <c r="BN26" s="14" t="s">
        <v>310</v>
      </c>
      <c r="BO26" s="14" t="s">
        <v>310</v>
      </c>
      <c r="BP26" s="14" t="s">
        <v>310</v>
      </c>
      <c r="BQ26" s="14" t="s">
        <v>288</v>
      </c>
      <c r="BR26" s="14" t="s">
        <v>288</v>
      </c>
      <c r="BS26" s="14" t="s">
        <v>288</v>
      </c>
      <c r="BT26" s="14" t="s">
        <v>311</v>
      </c>
      <c r="BU26" s="14" t="s">
        <v>311</v>
      </c>
      <c r="BV26" s="14" t="s">
        <v>311</v>
      </c>
      <c r="BW26" s="14" t="s">
        <v>311</v>
      </c>
      <c r="BX26" t="s">
        <v>288</v>
      </c>
      <c r="BY26" t="s">
        <v>288</v>
      </c>
      <c r="BZ26" t="s">
        <v>288</v>
      </c>
      <c r="CA26" t="s">
        <v>288</v>
      </c>
      <c r="CB26" t="s">
        <v>288</v>
      </c>
      <c r="CC26" t="s">
        <v>288</v>
      </c>
      <c r="CD26" t="s">
        <v>288</v>
      </c>
      <c r="CE26" t="s">
        <v>288</v>
      </c>
      <c r="CF26" t="s">
        <v>288</v>
      </c>
      <c r="CG26" t="s">
        <v>288</v>
      </c>
      <c r="CH26" t="s">
        <v>365</v>
      </c>
      <c r="CI26" t="s">
        <v>365</v>
      </c>
      <c r="CJ26" t="s">
        <v>365</v>
      </c>
      <c r="CK26" t="s">
        <v>366</v>
      </c>
      <c r="CL26" t="s">
        <v>366</v>
      </c>
      <c r="CM26" t="s">
        <v>366</v>
      </c>
      <c r="CN26">
        <v>0</v>
      </c>
      <c r="CO26" t="s">
        <v>367</v>
      </c>
      <c r="CP26" t="s">
        <v>367</v>
      </c>
      <c r="CQ26" t="s">
        <v>367</v>
      </c>
      <c r="CR26" t="s">
        <v>364</v>
      </c>
      <c r="CS26" t="s">
        <v>364</v>
      </c>
      <c r="CT26" t="s">
        <v>364</v>
      </c>
      <c r="CU26" t="s">
        <v>364</v>
      </c>
      <c r="CV26" t="s">
        <v>364</v>
      </c>
      <c r="CW26" t="s">
        <v>364</v>
      </c>
      <c r="CX26" t="s">
        <v>364</v>
      </c>
      <c r="CY26" t="s">
        <v>364</v>
      </c>
      <c r="CZ26" t="s">
        <v>364</v>
      </c>
      <c r="DA26" t="s">
        <v>364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1">
        <v>0</v>
      </c>
      <c r="FK26" s="51">
        <v>0</v>
      </c>
      <c r="FL26" s="51">
        <v>0</v>
      </c>
      <c r="FM26" s="51">
        <v>0</v>
      </c>
      <c r="FN26" s="51">
        <v>0</v>
      </c>
      <c r="FO26" s="51">
        <v>0</v>
      </c>
      <c r="FP26" s="51">
        <v>0</v>
      </c>
      <c r="FQ26" s="51">
        <v>0</v>
      </c>
      <c r="FR26" s="51">
        <v>0</v>
      </c>
      <c r="FS26" s="51">
        <v>0</v>
      </c>
    </row>
    <row r="27" spans="1:175" x14ac:dyDescent="0.3">
      <c r="A27" s="109"/>
      <c r="B27" s="3" t="s">
        <v>135</v>
      </c>
      <c r="C27" s="4" t="s">
        <v>171</v>
      </c>
      <c r="D27" s="2" t="s">
        <v>251</v>
      </c>
      <c r="E27" s="9">
        <v>0</v>
      </c>
      <c r="F27" s="13">
        <v>0</v>
      </c>
      <c r="G27" s="13" t="s">
        <v>252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0" t="s">
        <v>389</v>
      </c>
      <c r="AU27" s="60" t="s">
        <v>389</v>
      </c>
      <c r="AV27" s="60" t="s">
        <v>389</v>
      </c>
      <c r="AW27" s="60" t="s">
        <v>389</v>
      </c>
      <c r="AX27" s="60" t="s">
        <v>389</v>
      </c>
      <c r="AY27" s="60" t="s">
        <v>389</v>
      </c>
      <c r="AZ27" s="60" t="s">
        <v>389</v>
      </c>
      <c r="BA27" s="60" t="s">
        <v>389</v>
      </c>
      <c r="BB27" s="60" t="s">
        <v>389</v>
      </c>
      <c r="BC27" s="60" t="s">
        <v>389</v>
      </c>
      <c r="BD27" s="60" t="s">
        <v>389</v>
      </c>
      <c r="BE27" s="60" t="s">
        <v>389</v>
      </c>
      <c r="BF27" s="60" t="s">
        <v>389</v>
      </c>
      <c r="BG27" s="60" t="s">
        <v>389</v>
      </c>
      <c r="BH27" s="60" t="s">
        <v>389</v>
      </c>
      <c r="BI27" s="60" t="s">
        <v>389</v>
      </c>
      <c r="BJ27" s="60" t="s">
        <v>389</v>
      </c>
      <c r="BK27" s="60" t="s">
        <v>389</v>
      </c>
      <c r="BL27" s="60" t="s">
        <v>389</v>
      </c>
      <c r="BM27" s="60" t="s">
        <v>389</v>
      </c>
      <c r="BN27" s="60" t="s">
        <v>389</v>
      </c>
      <c r="BO27" s="60" t="s">
        <v>389</v>
      </c>
      <c r="BP27" s="60" t="s">
        <v>389</v>
      </c>
      <c r="BQ27" s="60" t="s">
        <v>389</v>
      </c>
      <c r="BR27" s="60" t="s">
        <v>389</v>
      </c>
      <c r="BS27" s="60" t="s">
        <v>389</v>
      </c>
      <c r="BT27" s="60" t="s">
        <v>389</v>
      </c>
      <c r="BU27" s="60" t="s">
        <v>389</v>
      </c>
      <c r="BV27" s="60" t="s">
        <v>389</v>
      </c>
      <c r="BW27" s="60" t="s">
        <v>389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109"/>
      <c r="B28" s="25" t="s">
        <v>425</v>
      </c>
      <c r="C28" s="11" t="s">
        <v>277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334</v>
      </c>
      <c r="BY28" t="s">
        <v>334</v>
      </c>
      <c r="BZ28" t="s">
        <v>334</v>
      </c>
      <c r="CA28" t="s">
        <v>334</v>
      </c>
      <c r="CB28" t="s">
        <v>334</v>
      </c>
      <c r="CC28" t="s">
        <v>334</v>
      </c>
      <c r="CD28" t="s">
        <v>335</v>
      </c>
      <c r="CE28" t="s">
        <v>335</v>
      </c>
      <c r="CF28" t="s">
        <v>335</v>
      </c>
      <c r="CG28" t="s">
        <v>335</v>
      </c>
      <c r="CH28" t="s">
        <v>368</v>
      </c>
      <c r="CI28" t="s">
        <v>368</v>
      </c>
      <c r="CJ28" t="s">
        <v>368</v>
      </c>
      <c r="CK28" t="s">
        <v>369</v>
      </c>
      <c r="CL28" t="s">
        <v>370</v>
      </c>
      <c r="CM28" t="s">
        <v>370</v>
      </c>
      <c r="CN28">
        <v>0</v>
      </c>
      <c r="CO28" t="s">
        <v>371</v>
      </c>
      <c r="CP28" t="s">
        <v>371</v>
      </c>
      <c r="CQ28" t="s">
        <v>371</v>
      </c>
      <c r="CR28" t="s">
        <v>372</v>
      </c>
      <c r="CS28" t="s">
        <v>372</v>
      </c>
      <c r="CT28" t="s">
        <v>372</v>
      </c>
      <c r="CU28" t="s">
        <v>372</v>
      </c>
      <c r="CV28" t="s">
        <v>372</v>
      </c>
      <c r="CW28" t="s">
        <v>372</v>
      </c>
      <c r="CX28" t="s">
        <v>372</v>
      </c>
      <c r="CY28" t="s">
        <v>372</v>
      </c>
      <c r="CZ28" t="s">
        <v>372</v>
      </c>
      <c r="DA28" t="s">
        <v>372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109"/>
      <c r="B29" s="25" t="str">
        <f>B28</f>
        <v>Reactant11</v>
      </c>
      <c r="C29" s="11" t="s">
        <v>277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334</v>
      </c>
      <c r="BY29" s="10" t="s">
        <v>334</v>
      </c>
      <c r="BZ29" s="10" t="s">
        <v>334</v>
      </c>
      <c r="CA29" s="10" t="s">
        <v>334</v>
      </c>
      <c r="CB29" t="s">
        <v>334</v>
      </c>
      <c r="CC29" s="10" t="s">
        <v>334</v>
      </c>
      <c r="CD29" t="s">
        <v>335</v>
      </c>
      <c r="CE29" t="s">
        <v>335</v>
      </c>
      <c r="CF29" t="s">
        <v>335</v>
      </c>
      <c r="CG29" t="s">
        <v>335</v>
      </c>
      <c r="CH29" t="s">
        <v>368</v>
      </c>
      <c r="CI29" t="s">
        <v>368</v>
      </c>
      <c r="CJ29" t="s">
        <v>368</v>
      </c>
      <c r="CK29" t="s">
        <v>369</v>
      </c>
      <c r="CL29" t="s">
        <v>369</v>
      </c>
      <c r="CM29" t="s">
        <v>369</v>
      </c>
      <c r="CN29">
        <v>0</v>
      </c>
      <c r="CO29" t="s">
        <v>371</v>
      </c>
      <c r="CP29" t="s">
        <v>371</v>
      </c>
      <c r="CQ29" t="s">
        <v>371</v>
      </c>
      <c r="CR29" t="s">
        <v>372</v>
      </c>
      <c r="CS29" t="s">
        <v>372</v>
      </c>
      <c r="CT29" t="s">
        <v>372</v>
      </c>
      <c r="CU29" t="s">
        <v>372</v>
      </c>
      <c r="CV29" t="s">
        <v>372</v>
      </c>
      <c r="CW29" t="s">
        <v>372</v>
      </c>
      <c r="CX29" t="s">
        <v>372</v>
      </c>
      <c r="CY29" t="s">
        <v>372</v>
      </c>
      <c r="CZ29" t="s">
        <v>372</v>
      </c>
      <c r="DA29" t="s">
        <v>372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373</v>
      </c>
      <c r="DW29" t="s">
        <v>374</v>
      </c>
      <c r="DX29" t="s">
        <v>375</v>
      </c>
      <c r="DY29" t="s">
        <v>373</v>
      </c>
      <c r="DZ29" t="s">
        <v>374</v>
      </c>
      <c r="EA29" t="s">
        <v>375</v>
      </c>
      <c r="EB29">
        <v>0</v>
      </c>
      <c r="EC29" t="s">
        <v>373</v>
      </c>
      <c r="ED29" t="s">
        <v>374</v>
      </c>
      <c r="EE29" t="s">
        <v>375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09"/>
      <c r="B30" s="25" t="str">
        <f>B28</f>
        <v>Reactant11</v>
      </c>
      <c r="C30" s="11" t="s">
        <v>277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334</v>
      </c>
      <c r="BY30" t="s">
        <v>334</v>
      </c>
      <c r="BZ30" t="s">
        <v>334</v>
      </c>
      <c r="CA30" t="s">
        <v>334</v>
      </c>
      <c r="CB30" t="s">
        <v>334</v>
      </c>
      <c r="CC30" t="s">
        <v>334</v>
      </c>
      <c r="CD30" t="s">
        <v>335</v>
      </c>
      <c r="CE30" t="s">
        <v>335</v>
      </c>
      <c r="CF30" t="s">
        <v>335</v>
      </c>
      <c r="CG30" t="s">
        <v>335</v>
      </c>
      <c r="CH30" t="s">
        <v>368</v>
      </c>
      <c r="CI30" t="s">
        <v>368</v>
      </c>
      <c r="CJ30" t="s">
        <v>368</v>
      </c>
      <c r="CK30" t="s">
        <v>369</v>
      </c>
      <c r="CL30" t="s">
        <v>369</v>
      </c>
      <c r="CM30" t="s">
        <v>369</v>
      </c>
      <c r="CN30">
        <v>0</v>
      </c>
      <c r="CO30" t="s">
        <v>371</v>
      </c>
      <c r="CP30" t="s">
        <v>371</v>
      </c>
      <c r="CQ30" t="s">
        <v>371</v>
      </c>
      <c r="CR30" t="s">
        <v>372</v>
      </c>
      <c r="CS30" t="s">
        <v>372</v>
      </c>
      <c r="CT30" t="s">
        <v>372</v>
      </c>
      <c r="CU30" t="s">
        <v>372</v>
      </c>
      <c r="CV30" t="s">
        <v>372</v>
      </c>
      <c r="CW30" t="s">
        <v>372</v>
      </c>
      <c r="CX30" t="s">
        <v>372</v>
      </c>
      <c r="CY30" t="s">
        <v>372</v>
      </c>
      <c r="CZ30" t="s">
        <v>372</v>
      </c>
      <c r="DA30" t="s">
        <v>372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373</v>
      </c>
      <c r="DW30" t="s">
        <v>374</v>
      </c>
      <c r="DX30" t="s">
        <v>375</v>
      </c>
      <c r="DY30" t="s">
        <v>373</v>
      </c>
      <c r="DZ30" t="s">
        <v>374</v>
      </c>
      <c r="EA30" t="s">
        <v>375</v>
      </c>
      <c r="EB30">
        <v>0</v>
      </c>
      <c r="EC30" t="s">
        <v>373</v>
      </c>
      <c r="ED30" t="s">
        <v>374</v>
      </c>
      <c r="EE30" t="s">
        <v>375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109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594</v>
      </c>
      <c r="Q31" t="s">
        <v>594</v>
      </c>
      <c r="R31" t="s">
        <v>594</v>
      </c>
      <c r="S31" t="s">
        <v>594</v>
      </c>
      <c r="T31" t="s">
        <v>594</v>
      </c>
      <c r="U31" t="s">
        <v>594</v>
      </c>
      <c r="V31" t="s">
        <v>594</v>
      </c>
      <c r="W31" t="s">
        <v>594</v>
      </c>
      <c r="X31" t="s">
        <v>594</v>
      </c>
      <c r="Y31" t="s">
        <v>594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336</v>
      </c>
      <c r="BY31" t="s">
        <v>337</v>
      </c>
      <c r="BZ31" t="s">
        <v>288</v>
      </c>
      <c r="CA31" t="s">
        <v>336</v>
      </c>
      <c r="CB31" t="s">
        <v>288</v>
      </c>
      <c r="CC31" t="s">
        <v>336</v>
      </c>
      <c r="CD31" t="s">
        <v>288</v>
      </c>
      <c r="CE31" t="s">
        <v>288</v>
      </c>
      <c r="CF31" t="s">
        <v>288</v>
      </c>
      <c r="CG31" t="s">
        <v>338</v>
      </c>
      <c r="CH31">
        <v>0</v>
      </c>
      <c r="CI31" t="s">
        <v>376</v>
      </c>
      <c r="CJ31">
        <v>0</v>
      </c>
      <c r="CK31" t="s">
        <v>376</v>
      </c>
      <c r="CL31" t="s">
        <v>376</v>
      </c>
      <c r="CM31" t="s">
        <v>376</v>
      </c>
      <c r="CN31">
        <v>0</v>
      </c>
      <c r="CO31" t="s">
        <v>376</v>
      </c>
      <c r="CP31" t="s">
        <v>376</v>
      </c>
      <c r="CQ31" t="s">
        <v>376</v>
      </c>
      <c r="CR31" t="s">
        <v>377</v>
      </c>
      <c r="CS31" t="s">
        <v>377</v>
      </c>
      <c r="CT31" t="s">
        <v>377</v>
      </c>
      <c r="CU31" t="s">
        <v>377</v>
      </c>
      <c r="CV31" t="s">
        <v>377</v>
      </c>
      <c r="CW31" t="s">
        <v>377</v>
      </c>
      <c r="CX31" t="s">
        <v>377</v>
      </c>
      <c r="CY31" t="s">
        <v>377</v>
      </c>
      <c r="CZ31" t="s">
        <v>377</v>
      </c>
      <c r="DA31" t="s">
        <v>377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1">
        <v>0</v>
      </c>
      <c r="FK31" s="51">
        <v>0</v>
      </c>
      <c r="FL31" s="51">
        <v>0</v>
      </c>
      <c r="FM31" s="51">
        <v>0</v>
      </c>
      <c r="FN31" s="51">
        <v>0</v>
      </c>
      <c r="FO31" s="51">
        <v>0</v>
      </c>
      <c r="FP31" s="51">
        <v>0</v>
      </c>
      <c r="FQ31" s="51">
        <v>0</v>
      </c>
      <c r="FR31" s="51">
        <v>0</v>
      </c>
      <c r="FS31" s="51">
        <v>0</v>
      </c>
    </row>
    <row r="32" spans="1:175" x14ac:dyDescent="0.3">
      <c r="A32" s="109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594</v>
      </c>
      <c r="Q32" t="s">
        <v>594</v>
      </c>
      <c r="R32" t="s">
        <v>594</v>
      </c>
      <c r="S32" t="s">
        <v>594</v>
      </c>
      <c r="T32" t="s">
        <v>594</v>
      </c>
      <c r="U32" t="s">
        <v>594</v>
      </c>
      <c r="V32" t="s">
        <v>594</v>
      </c>
      <c r="W32" t="s">
        <v>594</v>
      </c>
      <c r="X32" t="s">
        <v>594</v>
      </c>
      <c r="Y32" t="s">
        <v>594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424</v>
      </c>
      <c r="BY32" s="1" t="s">
        <v>424</v>
      </c>
      <c r="BZ32" s="1" t="s">
        <v>424</v>
      </c>
      <c r="CA32" s="1" t="s">
        <v>424</v>
      </c>
      <c r="CB32" s="1" t="s">
        <v>424</v>
      </c>
      <c r="CC32" s="1" t="s">
        <v>424</v>
      </c>
      <c r="CD32" s="1" t="s">
        <v>424</v>
      </c>
      <c r="CE32" s="1" t="s">
        <v>424</v>
      </c>
      <c r="CF32" s="1" t="s">
        <v>424</v>
      </c>
      <c r="CG32" s="1" t="s">
        <v>424</v>
      </c>
      <c r="CH32" s="1">
        <v>0</v>
      </c>
      <c r="CI32" s="1" t="s">
        <v>376</v>
      </c>
      <c r="CJ32" s="1">
        <v>0</v>
      </c>
      <c r="CK32" t="s">
        <v>378</v>
      </c>
      <c r="CL32" t="s">
        <v>378</v>
      </c>
      <c r="CM32" t="s">
        <v>378</v>
      </c>
      <c r="CN32">
        <v>0</v>
      </c>
      <c r="CO32" t="s">
        <v>376</v>
      </c>
      <c r="CP32" t="s">
        <v>376</v>
      </c>
      <c r="CQ32" t="s">
        <v>376</v>
      </c>
      <c r="CR32" s="1" t="s">
        <v>379</v>
      </c>
      <c r="CS32" s="1" t="s">
        <v>379</v>
      </c>
      <c r="CT32" s="1" t="s">
        <v>379</v>
      </c>
      <c r="CU32" s="1" t="s">
        <v>379</v>
      </c>
      <c r="CV32" s="1" t="s">
        <v>379</v>
      </c>
      <c r="CW32" s="1" t="s">
        <v>379</v>
      </c>
      <c r="CX32" s="1" t="s">
        <v>379</v>
      </c>
      <c r="CY32" s="1" t="s">
        <v>379</v>
      </c>
      <c r="CZ32" s="1" t="s">
        <v>379</v>
      </c>
      <c r="DA32" s="1" t="s">
        <v>379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1">
        <v>0</v>
      </c>
      <c r="FK32" s="51">
        <v>0</v>
      </c>
      <c r="FL32" s="51">
        <v>0</v>
      </c>
      <c r="FM32" s="51">
        <v>0</v>
      </c>
      <c r="FN32" s="51">
        <v>0</v>
      </c>
      <c r="FO32" s="51">
        <v>0</v>
      </c>
      <c r="FP32" s="51">
        <v>0</v>
      </c>
      <c r="FQ32" s="51">
        <v>0</v>
      </c>
      <c r="FR32" s="51">
        <v>0</v>
      </c>
      <c r="FS32" s="51">
        <v>0</v>
      </c>
    </row>
    <row r="33" spans="1:175" x14ac:dyDescent="0.3">
      <c r="A33" s="109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594</v>
      </c>
      <c r="Q33" t="s">
        <v>594</v>
      </c>
      <c r="R33" t="s">
        <v>594</v>
      </c>
      <c r="S33" t="s">
        <v>594</v>
      </c>
      <c r="T33" t="s">
        <v>594</v>
      </c>
      <c r="U33" t="s">
        <v>594</v>
      </c>
      <c r="V33" t="s">
        <v>594</v>
      </c>
      <c r="W33" t="s">
        <v>594</v>
      </c>
      <c r="X33" t="s">
        <v>594</v>
      </c>
      <c r="Y33" t="s">
        <v>594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288</v>
      </c>
      <c r="BY33" s="1" t="s">
        <v>288</v>
      </c>
      <c r="BZ33" s="1" t="s">
        <v>288</v>
      </c>
      <c r="CA33" s="24" t="s">
        <v>288</v>
      </c>
      <c r="CB33" s="24" t="s">
        <v>288</v>
      </c>
      <c r="CC33" s="24" t="s">
        <v>288</v>
      </c>
      <c r="CD33" s="1" t="s">
        <v>288</v>
      </c>
      <c r="CE33" t="s">
        <v>288</v>
      </c>
      <c r="CF33" t="s">
        <v>288</v>
      </c>
      <c r="CG33" t="s">
        <v>288</v>
      </c>
      <c r="CH33" s="1">
        <v>0</v>
      </c>
      <c r="CI33" s="1" t="s">
        <v>376</v>
      </c>
      <c r="CJ33" s="1">
        <v>0</v>
      </c>
      <c r="CK33" t="s">
        <v>378</v>
      </c>
      <c r="CL33" t="s">
        <v>378</v>
      </c>
      <c r="CM33" t="s">
        <v>378</v>
      </c>
      <c r="CN33">
        <v>0</v>
      </c>
      <c r="CO33" t="s">
        <v>376</v>
      </c>
      <c r="CP33" t="s">
        <v>376</v>
      </c>
      <c r="CQ33" t="s">
        <v>376</v>
      </c>
      <c r="CR33" s="1" t="s">
        <v>379</v>
      </c>
      <c r="CS33" s="1" t="s">
        <v>379</v>
      </c>
      <c r="CT33" s="1" t="s">
        <v>379</v>
      </c>
      <c r="CU33" s="1" t="s">
        <v>379</v>
      </c>
      <c r="CV33" s="1" t="s">
        <v>379</v>
      </c>
      <c r="CW33" s="1" t="s">
        <v>379</v>
      </c>
      <c r="CX33" s="1" t="s">
        <v>379</v>
      </c>
      <c r="CY33" s="1" t="s">
        <v>379</v>
      </c>
      <c r="CZ33" s="1" t="s">
        <v>379</v>
      </c>
      <c r="DA33" s="1" t="s">
        <v>379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1">
        <v>0</v>
      </c>
      <c r="FK33" s="51">
        <v>0</v>
      </c>
      <c r="FL33" s="51">
        <v>0</v>
      </c>
      <c r="FM33" s="51">
        <v>0</v>
      </c>
      <c r="FN33" s="51">
        <v>0</v>
      </c>
      <c r="FO33" s="51">
        <v>0</v>
      </c>
      <c r="FP33" s="51">
        <v>0</v>
      </c>
      <c r="FQ33" s="51">
        <v>0</v>
      </c>
      <c r="FR33" s="51">
        <v>0</v>
      </c>
      <c r="FS33" s="51">
        <v>0</v>
      </c>
    </row>
    <row r="34" spans="1:175" x14ac:dyDescent="0.3">
      <c r="A34" s="109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594</v>
      </c>
      <c r="Q34" t="s">
        <v>594</v>
      </c>
      <c r="R34" t="s">
        <v>594</v>
      </c>
      <c r="S34" t="s">
        <v>594</v>
      </c>
      <c r="T34" t="s">
        <v>594</v>
      </c>
      <c r="U34" t="s">
        <v>594</v>
      </c>
      <c r="V34" t="s">
        <v>594</v>
      </c>
      <c r="W34" t="s">
        <v>594</v>
      </c>
      <c r="X34" t="s">
        <v>594</v>
      </c>
      <c r="Y34" t="s">
        <v>594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109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594</v>
      </c>
      <c r="Q35" t="s">
        <v>594</v>
      </c>
      <c r="R35" t="s">
        <v>594</v>
      </c>
      <c r="S35" t="s">
        <v>594</v>
      </c>
      <c r="T35" t="s">
        <v>594</v>
      </c>
      <c r="U35" t="s">
        <v>594</v>
      </c>
      <c r="V35" t="s">
        <v>594</v>
      </c>
      <c r="W35" t="s">
        <v>594</v>
      </c>
      <c r="X35" t="s">
        <v>594</v>
      </c>
      <c r="Y35" t="s">
        <v>594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109"/>
      <c r="B36" s="25" t="s">
        <v>136</v>
      </c>
      <c r="C36" s="11" t="s">
        <v>277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9"/>
      <c r="B37" s="25" t="s">
        <v>137</v>
      </c>
      <c r="C37" s="11" t="s">
        <v>277</v>
      </c>
      <c r="D37" s="2" t="s">
        <v>408</v>
      </c>
      <c r="E37" s="9">
        <v>0</v>
      </c>
      <c r="F37" s="13">
        <v>0</v>
      </c>
      <c r="G37" s="13" t="s">
        <v>412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9"/>
      <c r="B38" s="25" t="s">
        <v>138</v>
      </c>
      <c r="C38" s="11" t="s">
        <v>277</v>
      </c>
      <c r="D38" s="2" t="s">
        <v>409</v>
      </c>
      <c r="E38" s="9">
        <v>0</v>
      </c>
      <c r="F38" s="13">
        <v>0</v>
      </c>
      <c r="G38" s="13" t="s">
        <v>413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09"/>
      <c r="B39" s="25" t="s">
        <v>139</v>
      </c>
      <c r="C39" s="11" t="s">
        <v>277</v>
      </c>
      <c r="D39" s="2" t="s">
        <v>410</v>
      </c>
      <c r="E39" s="9">
        <v>0</v>
      </c>
      <c r="F39" s="13">
        <v>0</v>
      </c>
      <c r="G39" s="13" t="s">
        <v>414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9"/>
      <c r="B40" s="25" t="s">
        <v>250</v>
      </c>
      <c r="C40" s="11" t="s">
        <v>277</v>
      </c>
      <c r="D40" s="2" t="s">
        <v>411</v>
      </c>
      <c r="E40" s="9">
        <v>0</v>
      </c>
      <c r="F40" s="13">
        <v>0</v>
      </c>
      <c r="G40" s="13" t="s">
        <v>415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9"/>
      <c r="B41" s="25" t="s">
        <v>416</v>
      </c>
      <c r="C41" s="11" t="s">
        <v>277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9"/>
      <c r="B42" s="25" t="s">
        <v>417</v>
      </c>
      <c r="C42" s="11" t="s">
        <v>277</v>
      </c>
      <c r="D42" s="2" t="s">
        <v>253</v>
      </c>
      <c r="E42" s="9">
        <v>0</v>
      </c>
      <c r="F42" s="13">
        <v>0</v>
      </c>
      <c r="G42" s="13" t="s">
        <v>254</v>
      </c>
      <c r="H42" s="57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>
        <v>0</v>
      </c>
      <c r="CL42" s="57">
        <v>0</v>
      </c>
      <c r="CM42">
        <v>0</v>
      </c>
      <c r="CN42" s="57">
        <v>0</v>
      </c>
      <c r="CO42">
        <v>0</v>
      </c>
      <c r="CP42" s="57">
        <v>0</v>
      </c>
      <c r="CQ42">
        <v>0</v>
      </c>
      <c r="CR42" s="57">
        <v>0</v>
      </c>
      <c r="CS42" s="57">
        <v>0</v>
      </c>
      <c r="CT42" s="57">
        <v>0</v>
      </c>
      <c r="CU42">
        <v>0</v>
      </c>
      <c r="CV42" s="57">
        <v>0</v>
      </c>
      <c r="CW42">
        <v>0</v>
      </c>
      <c r="CX42" s="57">
        <v>0</v>
      </c>
      <c r="CY42">
        <v>0</v>
      </c>
      <c r="CZ42" s="57">
        <v>0</v>
      </c>
      <c r="DA42">
        <v>0</v>
      </c>
      <c r="DB42" s="57">
        <v>0</v>
      </c>
      <c r="DC42" s="57">
        <v>0</v>
      </c>
      <c r="DD42" s="57">
        <v>0</v>
      </c>
      <c r="DE42">
        <v>0</v>
      </c>
      <c r="DF42" s="57">
        <v>0</v>
      </c>
      <c r="DG42">
        <v>0</v>
      </c>
      <c r="DH42" s="57">
        <v>0</v>
      </c>
      <c r="DI42">
        <v>0</v>
      </c>
      <c r="DJ42" s="57">
        <v>0</v>
      </c>
      <c r="DK42">
        <v>0</v>
      </c>
      <c r="DL42" s="57">
        <v>0</v>
      </c>
      <c r="DM42" s="57">
        <v>0</v>
      </c>
      <c r="DN42" s="57">
        <v>0</v>
      </c>
      <c r="DO42">
        <v>0</v>
      </c>
      <c r="DP42" s="57">
        <v>0</v>
      </c>
      <c r="DQ42">
        <v>0</v>
      </c>
      <c r="DR42" s="57">
        <v>0</v>
      </c>
      <c r="DS42">
        <v>0</v>
      </c>
      <c r="DT42" s="57">
        <v>0</v>
      </c>
      <c r="DU42">
        <v>0</v>
      </c>
      <c r="DV42" s="57">
        <v>0</v>
      </c>
      <c r="DW42" s="57">
        <v>0</v>
      </c>
      <c r="DX42" s="57">
        <v>0</v>
      </c>
      <c r="DY42">
        <v>0</v>
      </c>
      <c r="DZ42" s="57">
        <v>0</v>
      </c>
      <c r="EA42">
        <v>0</v>
      </c>
      <c r="EB42" s="57">
        <v>0</v>
      </c>
      <c r="EC42">
        <v>0</v>
      </c>
      <c r="ED42" s="57">
        <v>0</v>
      </c>
      <c r="EE42">
        <v>0</v>
      </c>
      <c r="EF42" s="57">
        <v>0</v>
      </c>
      <c r="EG42" s="57">
        <v>0</v>
      </c>
      <c r="EH42" s="57">
        <v>0</v>
      </c>
      <c r="EI42">
        <v>0</v>
      </c>
      <c r="EJ42" s="57">
        <v>0</v>
      </c>
      <c r="EK42">
        <v>0</v>
      </c>
      <c r="EL42" s="57">
        <v>0</v>
      </c>
      <c r="EM42">
        <v>0</v>
      </c>
      <c r="EN42" s="57">
        <v>0</v>
      </c>
      <c r="EO42">
        <v>0</v>
      </c>
      <c r="EP42" s="57">
        <v>0</v>
      </c>
      <c r="EQ42" s="57">
        <v>0</v>
      </c>
      <c r="ER42" s="57">
        <v>0</v>
      </c>
      <c r="ES42">
        <v>0</v>
      </c>
      <c r="ET42" s="57">
        <v>0</v>
      </c>
      <c r="EU42">
        <v>0</v>
      </c>
      <c r="EV42" s="57">
        <v>0</v>
      </c>
      <c r="EW42">
        <v>0</v>
      </c>
      <c r="EX42" s="57">
        <v>0</v>
      </c>
      <c r="EY42">
        <v>0</v>
      </c>
      <c r="EZ42" s="57">
        <v>0</v>
      </c>
      <c r="FA42" s="57">
        <v>0</v>
      </c>
      <c r="FB42" s="57">
        <v>0</v>
      </c>
      <c r="FC42">
        <v>0</v>
      </c>
      <c r="FD42" s="57">
        <v>0</v>
      </c>
      <c r="FE42">
        <v>0</v>
      </c>
      <c r="FF42" s="57">
        <v>0</v>
      </c>
      <c r="FG42">
        <v>0</v>
      </c>
      <c r="FH42" s="57">
        <v>0</v>
      </c>
      <c r="FI42">
        <v>0</v>
      </c>
      <c r="FJ42" s="57">
        <v>0</v>
      </c>
      <c r="FK42" s="57">
        <v>0</v>
      </c>
      <c r="FL42" s="57">
        <v>0</v>
      </c>
      <c r="FM42">
        <v>0</v>
      </c>
      <c r="FN42" s="57">
        <v>0</v>
      </c>
      <c r="FO42">
        <v>0</v>
      </c>
      <c r="FP42" s="57">
        <v>0</v>
      </c>
      <c r="FQ42">
        <v>0</v>
      </c>
      <c r="FR42" s="57">
        <v>0</v>
      </c>
      <c r="FS42">
        <v>0</v>
      </c>
    </row>
    <row r="43" spans="1:175" x14ac:dyDescent="0.3">
      <c r="A43" s="109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09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8">
        <v>0</v>
      </c>
      <c r="DM44" s="28">
        <v>0</v>
      </c>
      <c r="DN44" s="10">
        <v>0</v>
      </c>
      <c r="DO44" s="28">
        <v>0</v>
      </c>
      <c r="DP44" s="28">
        <v>0</v>
      </c>
      <c r="DQ44" s="10">
        <v>0</v>
      </c>
      <c r="DR44" s="10">
        <v>0</v>
      </c>
      <c r="DS44" s="28">
        <v>0</v>
      </c>
      <c r="DT44" s="28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109"/>
      <c r="B45" t="s">
        <v>277</v>
      </c>
      <c r="C45" s="4" t="s">
        <v>438</v>
      </c>
      <c r="D45" s="2" t="s">
        <v>426</v>
      </c>
      <c r="E45" s="9">
        <v>0</v>
      </c>
      <c r="F45" s="13">
        <v>0</v>
      </c>
      <c r="G45" s="13" t="s">
        <v>427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09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312</v>
      </c>
      <c r="Q46" t="s">
        <v>312</v>
      </c>
      <c r="R46" t="s">
        <v>312</v>
      </c>
      <c r="S46" t="s">
        <v>312</v>
      </c>
      <c r="T46" t="s">
        <v>312</v>
      </c>
      <c r="U46" t="s">
        <v>312</v>
      </c>
      <c r="V46" t="s">
        <v>312</v>
      </c>
      <c r="W46" t="s">
        <v>312</v>
      </c>
      <c r="X46" t="s">
        <v>312</v>
      </c>
      <c r="Y46" t="s">
        <v>312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09"/>
      <c r="B47" s="3" t="s">
        <v>15</v>
      </c>
      <c r="C47" s="11" t="s">
        <v>277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380</v>
      </c>
      <c r="BY47" t="s">
        <v>380</v>
      </c>
      <c r="BZ47" t="s">
        <v>380</v>
      </c>
      <c r="CA47" t="s">
        <v>380</v>
      </c>
      <c r="CB47" t="s">
        <v>380</v>
      </c>
      <c r="CC47" t="s">
        <v>380</v>
      </c>
      <c r="CD47" t="s">
        <v>380</v>
      </c>
      <c r="CE47" t="s">
        <v>380</v>
      </c>
      <c r="CF47" t="s">
        <v>380</v>
      </c>
      <c r="CG47" t="s">
        <v>380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9"/>
      <c r="B48" s="3" t="s">
        <v>16</v>
      </c>
      <c r="C48" s="11" t="s">
        <v>277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09"/>
      <c r="B49" s="3" t="s">
        <v>17</v>
      </c>
      <c r="C49" s="11" t="s">
        <v>277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313</v>
      </c>
      <c r="AU49" s="14" t="s">
        <v>313</v>
      </c>
      <c r="AV49" s="14" t="s">
        <v>313</v>
      </c>
      <c r="AW49" s="14" t="s">
        <v>313</v>
      </c>
      <c r="AX49" s="14" t="s">
        <v>313</v>
      </c>
      <c r="AY49" s="14" t="s">
        <v>313</v>
      </c>
      <c r="AZ49" s="14" t="s">
        <v>313</v>
      </c>
      <c r="BA49" s="14" t="s">
        <v>313</v>
      </c>
      <c r="BB49" s="14" t="s">
        <v>313</v>
      </c>
      <c r="BC49" s="14" t="s">
        <v>313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381</v>
      </c>
      <c r="CI49" t="s">
        <v>381</v>
      </c>
      <c r="CJ49" t="s">
        <v>381</v>
      </c>
      <c r="CK49" t="s">
        <v>381</v>
      </c>
      <c r="CL49" t="s">
        <v>381</v>
      </c>
      <c r="CM49" t="s">
        <v>381</v>
      </c>
      <c r="CN49">
        <v>0</v>
      </c>
      <c r="CO49" t="s">
        <v>382</v>
      </c>
      <c r="CP49" t="s">
        <v>382</v>
      </c>
      <c r="CQ49" t="s">
        <v>382</v>
      </c>
      <c r="CR49" t="s">
        <v>383</v>
      </c>
      <c r="CS49" t="s">
        <v>384</v>
      </c>
      <c r="CT49" t="s">
        <v>384</v>
      </c>
      <c r="CU49" t="s">
        <v>384</v>
      </c>
      <c r="CV49" t="s">
        <v>384</v>
      </c>
      <c r="CW49" t="s">
        <v>384</v>
      </c>
      <c r="CX49" t="s">
        <v>384</v>
      </c>
      <c r="CY49" t="s">
        <v>384</v>
      </c>
      <c r="CZ49" t="s">
        <v>384</v>
      </c>
      <c r="DA49" t="s">
        <v>384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09"/>
      <c r="B50" s="3" t="s">
        <v>15</v>
      </c>
      <c r="C50" s="11" t="s">
        <v>277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385</v>
      </c>
      <c r="BY50" t="s">
        <v>385</v>
      </c>
      <c r="BZ50" t="s">
        <v>385</v>
      </c>
      <c r="CA50" t="s">
        <v>385</v>
      </c>
      <c r="CB50" t="s">
        <v>385</v>
      </c>
      <c r="CC50" t="s">
        <v>385</v>
      </c>
      <c r="CD50" t="s">
        <v>385</v>
      </c>
      <c r="CE50" t="s">
        <v>385</v>
      </c>
      <c r="CF50" t="s">
        <v>385</v>
      </c>
      <c r="CG50" t="s">
        <v>385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9"/>
      <c r="B51" s="3" t="s">
        <v>16</v>
      </c>
      <c r="C51" s="11" t="s">
        <v>277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09"/>
      <c r="B52" s="3" t="s">
        <v>17</v>
      </c>
      <c r="C52" s="11" t="s">
        <v>277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314</v>
      </c>
      <c r="AU52" s="14" t="s">
        <v>314</v>
      </c>
      <c r="AV52" s="14" t="s">
        <v>314</v>
      </c>
      <c r="AW52" s="14" t="s">
        <v>315</v>
      </c>
      <c r="AX52" s="14" t="s">
        <v>315</v>
      </c>
      <c r="AY52" s="14" t="s">
        <v>315</v>
      </c>
      <c r="AZ52" s="14" t="s">
        <v>315</v>
      </c>
      <c r="BA52" s="14" t="s">
        <v>315</v>
      </c>
      <c r="BB52" s="14" t="s">
        <v>315</v>
      </c>
      <c r="BC52" s="14" t="s">
        <v>315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314</v>
      </c>
      <c r="CI52" t="s">
        <v>386</v>
      </c>
      <c r="CJ52" t="s">
        <v>386</v>
      </c>
      <c r="CK52" t="s">
        <v>386</v>
      </c>
      <c r="CL52" t="s">
        <v>386</v>
      </c>
      <c r="CM52" t="s">
        <v>386</v>
      </c>
      <c r="CN52" t="s">
        <v>386</v>
      </c>
      <c r="CO52" t="s">
        <v>386</v>
      </c>
      <c r="CP52" t="s">
        <v>386</v>
      </c>
      <c r="CQ52" t="s">
        <v>386</v>
      </c>
      <c r="CR52" t="s">
        <v>383</v>
      </c>
      <c r="CS52" t="s">
        <v>384</v>
      </c>
      <c r="CT52" t="s">
        <v>384</v>
      </c>
      <c r="CU52" t="s">
        <v>384</v>
      </c>
      <c r="CV52" t="s">
        <v>384</v>
      </c>
      <c r="CW52" t="s">
        <v>384</v>
      </c>
      <c r="CX52" t="s">
        <v>384</v>
      </c>
      <c r="CY52" t="s">
        <v>384</v>
      </c>
      <c r="CZ52" t="s">
        <v>384</v>
      </c>
      <c r="DA52" t="s">
        <v>384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1">
        <v>0</v>
      </c>
      <c r="FA52" s="51">
        <v>0</v>
      </c>
      <c r="FB52" s="51">
        <v>0</v>
      </c>
      <c r="FC52">
        <v>0</v>
      </c>
      <c r="FD52" s="51">
        <v>0</v>
      </c>
      <c r="FE52">
        <v>0</v>
      </c>
      <c r="FF52" s="51">
        <v>0</v>
      </c>
      <c r="FG52">
        <v>0</v>
      </c>
      <c r="FH52" s="51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109" t="s">
        <v>18</v>
      </c>
      <c r="B53" s="12" t="s">
        <v>52</v>
      </c>
      <c r="C53" s="11" t="s">
        <v>277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387</v>
      </c>
      <c r="CI53" t="s">
        <v>387</v>
      </c>
      <c r="CJ53" t="s">
        <v>387</v>
      </c>
      <c r="CK53" t="s">
        <v>388</v>
      </c>
      <c r="CL53" t="s">
        <v>388</v>
      </c>
      <c r="CM53" t="s">
        <v>388</v>
      </c>
      <c r="CN53" t="s">
        <v>388</v>
      </c>
      <c r="CO53" t="s">
        <v>388</v>
      </c>
      <c r="CP53" t="s">
        <v>388</v>
      </c>
      <c r="CQ53" t="s">
        <v>388</v>
      </c>
      <c r="CR53" t="s">
        <v>387</v>
      </c>
      <c r="CS53" t="s">
        <v>387</v>
      </c>
      <c r="CT53" t="s">
        <v>387</v>
      </c>
      <c r="CU53" t="s">
        <v>388</v>
      </c>
      <c r="CV53" t="s">
        <v>388</v>
      </c>
      <c r="CW53" t="s">
        <v>388</v>
      </c>
      <c r="CX53" t="s">
        <v>388</v>
      </c>
      <c r="CY53" t="s">
        <v>388</v>
      </c>
      <c r="CZ53" t="s">
        <v>388</v>
      </c>
      <c r="DA53" t="s">
        <v>388</v>
      </c>
      <c r="DB53" t="s">
        <v>387</v>
      </c>
      <c r="DC53" t="s">
        <v>387</v>
      </c>
      <c r="DD53" t="s">
        <v>387</v>
      </c>
      <c r="DE53" t="s">
        <v>388</v>
      </c>
      <c r="DF53" t="s">
        <v>388</v>
      </c>
      <c r="DG53" t="s">
        <v>388</v>
      </c>
      <c r="DH53" t="s">
        <v>388</v>
      </c>
      <c r="DI53" t="s">
        <v>388</v>
      </c>
      <c r="DJ53" t="s">
        <v>388</v>
      </c>
      <c r="DK53" t="s">
        <v>388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109"/>
      <c r="B54" s="12" t="s">
        <v>51</v>
      </c>
      <c r="C54" s="11" t="s">
        <v>277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387</v>
      </c>
      <c r="CI54" t="s">
        <v>387</v>
      </c>
      <c r="CJ54" t="s">
        <v>387</v>
      </c>
      <c r="CK54" t="s">
        <v>388</v>
      </c>
      <c r="CL54" t="s">
        <v>388</v>
      </c>
      <c r="CM54" t="s">
        <v>388</v>
      </c>
      <c r="CN54" t="s">
        <v>388</v>
      </c>
      <c r="CO54" t="s">
        <v>388</v>
      </c>
      <c r="CP54" t="s">
        <v>388</v>
      </c>
      <c r="CQ54" t="s">
        <v>388</v>
      </c>
      <c r="CR54" t="s">
        <v>387</v>
      </c>
      <c r="CS54" t="s">
        <v>387</v>
      </c>
      <c r="CT54" t="s">
        <v>387</v>
      </c>
      <c r="CU54" t="s">
        <v>388</v>
      </c>
      <c r="CV54" t="s">
        <v>388</v>
      </c>
      <c r="CW54" t="s">
        <v>388</v>
      </c>
      <c r="CX54" t="s">
        <v>388</v>
      </c>
      <c r="CY54" t="s">
        <v>388</v>
      </c>
      <c r="CZ54" t="s">
        <v>388</v>
      </c>
      <c r="DA54" t="s">
        <v>388</v>
      </c>
      <c r="DB54" t="s">
        <v>387</v>
      </c>
      <c r="DC54" t="s">
        <v>387</v>
      </c>
      <c r="DD54" t="s">
        <v>387</v>
      </c>
      <c r="DE54" t="s">
        <v>388</v>
      </c>
      <c r="DF54" t="s">
        <v>388</v>
      </c>
      <c r="DG54" t="s">
        <v>388</v>
      </c>
      <c r="DH54" t="s">
        <v>388</v>
      </c>
      <c r="DI54" t="s">
        <v>388</v>
      </c>
      <c r="DJ54" t="s">
        <v>388</v>
      </c>
      <c r="DK54" t="s">
        <v>388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09"/>
      <c r="B55" s="12" t="str">
        <f>CONCATENATE("RPU_"&amp;D55)</f>
        <v>RPU_ON_SP198-HH100</v>
      </c>
      <c r="C55" s="11" t="s">
        <v>277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387</v>
      </c>
      <c r="CI55" t="s">
        <v>387</v>
      </c>
      <c r="CJ55" t="s">
        <v>387</v>
      </c>
      <c r="CK55" t="s">
        <v>388</v>
      </c>
      <c r="CL55" t="s">
        <v>388</v>
      </c>
      <c r="CM55" t="s">
        <v>388</v>
      </c>
      <c r="CN55" t="s">
        <v>388</v>
      </c>
      <c r="CO55" t="s">
        <v>388</v>
      </c>
      <c r="CP55" t="s">
        <v>388</v>
      </c>
      <c r="CQ55" t="s">
        <v>388</v>
      </c>
      <c r="CR55" t="s">
        <v>387</v>
      </c>
      <c r="CS55" t="s">
        <v>387</v>
      </c>
      <c r="CT55" t="s">
        <v>387</v>
      </c>
      <c r="CU55" t="s">
        <v>388</v>
      </c>
      <c r="CV55" t="s">
        <v>388</v>
      </c>
      <c r="CW55" t="s">
        <v>388</v>
      </c>
      <c r="CX55" t="s">
        <v>388</v>
      </c>
      <c r="CY55" t="s">
        <v>388</v>
      </c>
      <c r="CZ55" t="s">
        <v>388</v>
      </c>
      <c r="DA55" t="s">
        <v>388</v>
      </c>
      <c r="DB55" t="s">
        <v>387</v>
      </c>
      <c r="DC55" t="s">
        <v>387</v>
      </c>
      <c r="DD55" t="s">
        <v>387</v>
      </c>
      <c r="DE55" t="s">
        <v>388</v>
      </c>
      <c r="DF55" t="s">
        <v>388</v>
      </c>
      <c r="DG55" t="s">
        <v>388</v>
      </c>
      <c r="DH55" t="s">
        <v>388</v>
      </c>
      <c r="DI55" t="s">
        <v>388</v>
      </c>
      <c r="DJ55" t="s">
        <v>388</v>
      </c>
      <c r="DK55" t="s">
        <v>388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09"/>
      <c r="B56" s="12" t="str">
        <f t="shared" ref="B56:B66" si="4">CONCATENATE("RPU_"&amp;D56)</f>
        <v>RPU_ON_SP198-HH150</v>
      </c>
      <c r="C56" s="11" t="s">
        <v>277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387</v>
      </c>
      <c r="CI56" t="s">
        <v>387</v>
      </c>
      <c r="CJ56" t="s">
        <v>387</v>
      </c>
      <c r="CK56" t="s">
        <v>388</v>
      </c>
      <c r="CL56" t="s">
        <v>388</v>
      </c>
      <c r="CM56" t="s">
        <v>388</v>
      </c>
      <c r="CN56" t="s">
        <v>388</v>
      </c>
      <c r="CO56" t="s">
        <v>388</v>
      </c>
      <c r="CP56" t="s">
        <v>388</v>
      </c>
      <c r="CQ56" t="s">
        <v>388</v>
      </c>
      <c r="CR56" t="s">
        <v>387</v>
      </c>
      <c r="CS56" t="s">
        <v>387</v>
      </c>
      <c r="CT56" t="s">
        <v>387</v>
      </c>
      <c r="CU56" t="s">
        <v>388</v>
      </c>
      <c r="CV56" t="s">
        <v>388</v>
      </c>
      <c r="CW56" t="s">
        <v>388</v>
      </c>
      <c r="CX56" t="s">
        <v>388</v>
      </c>
      <c r="CY56" t="s">
        <v>388</v>
      </c>
      <c r="CZ56" t="s">
        <v>388</v>
      </c>
      <c r="DA56" t="s">
        <v>388</v>
      </c>
      <c r="DB56" t="s">
        <v>387</v>
      </c>
      <c r="DC56" t="s">
        <v>387</v>
      </c>
      <c r="DD56" t="s">
        <v>387</v>
      </c>
      <c r="DE56" t="s">
        <v>388</v>
      </c>
      <c r="DF56" t="s">
        <v>388</v>
      </c>
      <c r="DG56" t="s">
        <v>388</v>
      </c>
      <c r="DH56" t="s">
        <v>388</v>
      </c>
      <c r="DI56" t="s">
        <v>388</v>
      </c>
      <c r="DJ56" t="s">
        <v>388</v>
      </c>
      <c r="DK56" t="s">
        <v>388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09"/>
      <c r="B57" s="12" t="str">
        <f t="shared" si="4"/>
        <v>RPU_ON_SP237-HH100</v>
      </c>
      <c r="C57" s="11" t="s">
        <v>277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387</v>
      </c>
      <c r="CI57" t="s">
        <v>387</v>
      </c>
      <c r="CJ57" t="s">
        <v>387</v>
      </c>
      <c r="CK57" t="s">
        <v>388</v>
      </c>
      <c r="CL57" t="s">
        <v>388</v>
      </c>
      <c r="CM57" t="s">
        <v>388</v>
      </c>
      <c r="CN57" t="s">
        <v>388</v>
      </c>
      <c r="CO57" t="s">
        <v>388</v>
      </c>
      <c r="CP57" t="s">
        <v>388</v>
      </c>
      <c r="CQ57" t="s">
        <v>388</v>
      </c>
      <c r="CR57" t="s">
        <v>387</v>
      </c>
      <c r="CS57" t="s">
        <v>387</v>
      </c>
      <c r="CT57" t="s">
        <v>387</v>
      </c>
      <c r="CU57" t="s">
        <v>388</v>
      </c>
      <c r="CV57" t="s">
        <v>388</v>
      </c>
      <c r="CW57" t="s">
        <v>388</v>
      </c>
      <c r="CX57" t="s">
        <v>388</v>
      </c>
      <c r="CY57" t="s">
        <v>388</v>
      </c>
      <c r="CZ57" t="s">
        <v>388</v>
      </c>
      <c r="DA57" t="s">
        <v>388</v>
      </c>
      <c r="DB57" t="s">
        <v>387</v>
      </c>
      <c r="DC57" t="s">
        <v>387</v>
      </c>
      <c r="DD57" t="s">
        <v>387</v>
      </c>
      <c r="DE57" t="s">
        <v>388</v>
      </c>
      <c r="DF57" t="s">
        <v>388</v>
      </c>
      <c r="DG57" t="s">
        <v>388</v>
      </c>
      <c r="DH57" t="s">
        <v>388</v>
      </c>
      <c r="DI57" t="s">
        <v>388</v>
      </c>
      <c r="DJ57" t="s">
        <v>388</v>
      </c>
      <c r="DK57" t="s">
        <v>388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09"/>
      <c r="B58" s="12" t="str">
        <f t="shared" si="4"/>
        <v>RPU_ON_SP237-HH150</v>
      </c>
      <c r="C58" s="11" t="s">
        <v>277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387</v>
      </c>
      <c r="CI58" t="s">
        <v>387</v>
      </c>
      <c r="CJ58" t="s">
        <v>387</v>
      </c>
      <c r="CK58" t="s">
        <v>388</v>
      </c>
      <c r="CL58" t="s">
        <v>388</v>
      </c>
      <c r="CM58" t="s">
        <v>388</v>
      </c>
      <c r="CN58" t="s">
        <v>388</v>
      </c>
      <c r="CO58" t="s">
        <v>388</v>
      </c>
      <c r="CP58" t="s">
        <v>388</v>
      </c>
      <c r="CQ58" t="s">
        <v>388</v>
      </c>
      <c r="CR58" t="s">
        <v>387</v>
      </c>
      <c r="CS58" t="s">
        <v>387</v>
      </c>
      <c r="CT58" t="s">
        <v>387</v>
      </c>
      <c r="CU58" t="s">
        <v>388</v>
      </c>
      <c r="CV58" t="s">
        <v>388</v>
      </c>
      <c r="CW58" t="s">
        <v>388</v>
      </c>
      <c r="CX58" t="s">
        <v>388</v>
      </c>
      <c r="CY58" t="s">
        <v>388</v>
      </c>
      <c r="CZ58" t="s">
        <v>388</v>
      </c>
      <c r="DA58" t="s">
        <v>388</v>
      </c>
      <c r="DB58" t="s">
        <v>387</v>
      </c>
      <c r="DC58" t="s">
        <v>387</v>
      </c>
      <c r="DD58" t="s">
        <v>387</v>
      </c>
      <c r="DE58" t="s">
        <v>388</v>
      </c>
      <c r="DF58" t="s">
        <v>388</v>
      </c>
      <c r="DG58" t="s">
        <v>388</v>
      </c>
      <c r="DH58" t="s">
        <v>388</v>
      </c>
      <c r="DI58" t="s">
        <v>388</v>
      </c>
      <c r="DJ58" t="s">
        <v>388</v>
      </c>
      <c r="DK58" t="s">
        <v>388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09"/>
      <c r="B59" s="12" t="str">
        <f t="shared" si="4"/>
        <v>RPU_ON_SP277-HH100</v>
      </c>
      <c r="C59" s="11" t="s">
        <v>277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387</v>
      </c>
      <c r="CI59" t="s">
        <v>387</v>
      </c>
      <c r="CJ59" t="s">
        <v>387</v>
      </c>
      <c r="CK59" t="s">
        <v>388</v>
      </c>
      <c r="CL59" t="s">
        <v>388</v>
      </c>
      <c r="CM59" t="s">
        <v>388</v>
      </c>
      <c r="CN59" t="s">
        <v>388</v>
      </c>
      <c r="CO59" t="s">
        <v>388</v>
      </c>
      <c r="CP59" t="s">
        <v>388</v>
      </c>
      <c r="CQ59" t="s">
        <v>388</v>
      </c>
      <c r="CR59" t="s">
        <v>387</v>
      </c>
      <c r="CS59" t="s">
        <v>387</v>
      </c>
      <c r="CT59" t="s">
        <v>387</v>
      </c>
      <c r="CU59" t="s">
        <v>388</v>
      </c>
      <c r="CV59" t="s">
        <v>388</v>
      </c>
      <c r="CW59" t="s">
        <v>388</v>
      </c>
      <c r="CX59" t="s">
        <v>388</v>
      </c>
      <c r="CY59" t="s">
        <v>388</v>
      </c>
      <c r="CZ59" t="s">
        <v>388</v>
      </c>
      <c r="DA59" t="s">
        <v>388</v>
      </c>
      <c r="DB59" t="s">
        <v>387</v>
      </c>
      <c r="DC59" t="s">
        <v>387</v>
      </c>
      <c r="DD59" t="s">
        <v>387</v>
      </c>
      <c r="DE59" t="s">
        <v>388</v>
      </c>
      <c r="DF59" t="s">
        <v>388</v>
      </c>
      <c r="DG59" t="s">
        <v>388</v>
      </c>
      <c r="DH59" t="s">
        <v>388</v>
      </c>
      <c r="DI59" t="s">
        <v>388</v>
      </c>
      <c r="DJ59" t="s">
        <v>388</v>
      </c>
      <c r="DK59" t="s">
        <v>388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09"/>
      <c r="B60" s="12" t="str">
        <f t="shared" si="4"/>
        <v>RPU_ON_SP277-HH150</v>
      </c>
      <c r="C60" s="11" t="s">
        <v>277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387</v>
      </c>
      <c r="CI60" t="s">
        <v>387</v>
      </c>
      <c r="CJ60" t="s">
        <v>387</v>
      </c>
      <c r="CK60" t="s">
        <v>388</v>
      </c>
      <c r="CL60" t="s">
        <v>388</v>
      </c>
      <c r="CM60" t="s">
        <v>388</v>
      </c>
      <c r="CN60" t="s">
        <v>388</v>
      </c>
      <c r="CO60" t="s">
        <v>388</v>
      </c>
      <c r="CP60" t="s">
        <v>388</v>
      </c>
      <c r="CQ60" t="s">
        <v>388</v>
      </c>
      <c r="CR60" t="s">
        <v>387</v>
      </c>
      <c r="CS60" t="s">
        <v>387</v>
      </c>
      <c r="CT60" t="s">
        <v>387</v>
      </c>
      <c r="CU60" t="s">
        <v>388</v>
      </c>
      <c r="CV60" t="s">
        <v>388</v>
      </c>
      <c r="CW60" t="s">
        <v>388</v>
      </c>
      <c r="CX60" t="s">
        <v>388</v>
      </c>
      <c r="CY60" t="s">
        <v>388</v>
      </c>
      <c r="CZ60" t="s">
        <v>388</v>
      </c>
      <c r="DA60" t="s">
        <v>388</v>
      </c>
      <c r="DB60" t="s">
        <v>387</v>
      </c>
      <c r="DC60" t="s">
        <v>387</v>
      </c>
      <c r="DD60" t="s">
        <v>387</v>
      </c>
      <c r="DE60" t="s">
        <v>388</v>
      </c>
      <c r="DF60" t="s">
        <v>388</v>
      </c>
      <c r="DG60" t="s">
        <v>388</v>
      </c>
      <c r="DH60" t="s">
        <v>388</v>
      </c>
      <c r="DI60" t="s">
        <v>388</v>
      </c>
      <c r="DJ60" t="s">
        <v>388</v>
      </c>
      <c r="DK60" t="s">
        <v>388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09"/>
      <c r="B61" s="12" t="str">
        <f t="shared" si="4"/>
        <v>RPU_ON_SP321-HH100</v>
      </c>
      <c r="C61" s="11" t="s">
        <v>277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387</v>
      </c>
      <c r="CI61" t="s">
        <v>387</v>
      </c>
      <c r="CJ61" t="s">
        <v>387</v>
      </c>
      <c r="CK61" t="s">
        <v>388</v>
      </c>
      <c r="CL61" t="s">
        <v>388</v>
      </c>
      <c r="CM61" t="s">
        <v>388</v>
      </c>
      <c r="CN61" t="s">
        <v>388</v>
      </c>
      <c r="CO61" t="s">
        <v>388</v>
      </c>
      <c r="CP61" t="s">
        <v>388</v>
      </c>
      <c r="CQ61" t="s">
        <v>388</v>
      </c>
      <c r="CR61" t="s">
        <v>387</v>
      </c>
      <c r="CS61" t="s">
        <v>387</v>
      </c>
      <c r="CT61" t="s">
        <v>387</v>
      </c>
      <c r="CU61" t="s">
        <v>388</v>
      </c>
      <c r="CV61" t="s">
        <v>388</v>
      </c>
      <c r="CW61" t="s">
        <v>388</v>
      </c>
      <c r="CX61" t="s">
        <v>388</v>
      </c>
      <c r="CY61" t="s">
        <v>388</v>
      </c>
      <c r="CZ61" t="s">
        <v>388</v>
      </c>
      <c r="DA61" t="s">
        <v>388</v>
      </c>
      <c r="DB61" t="s">
        <v>387</v>
      </c>
      <c r="DC61" t="s">
        <v>387</v>
      </c>
      <c r="DD61" t="s">
        <v>387</v>
      </c>
      <c r="DE61" t="s">
        <v>388</v>
      </c>
      <c r="DF61" t="s">
        <v>388</v>
      </c>
      <c r="DG61" t="s">
        <v>388</v>
      </c>
      <c r="DH61" t="s">
        <v>388</v>
      </c>
      <c r="DI61" t="s">
        <v>388</v>
      </c>
      <c r="DJ61" t="s">
        <v>388</v>
      </c>
      <c r="DK61" t="s">
        <v>388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09"/>
      <c r="B62" s="12" t="str">
        <f t="shared" si="4"/>
        <v>RPU_ON_SP321-HH150</v>
      </c>
      <c r="C62" s="11" t="s">
        <v>277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387</v>
      </c>
      <c r="CI62" t="s">
        <v>387</v>
      </c>
      <c r="CJ62" t="s">
        <v>387</v>
      </c>
      <c r="CK62" t="s">
        <v>388</v>
      </c>
      <c r="CL62" t="s">
        <v>388</v>
      </c>
      <c r="CM62" t="s">
        <v>388</v>
      </c>
      <c r="CN62" t="s">
        <v>388</v>
      </c>
      <c r="CO62" t="s">
        <v>388</v>
      </c>
      <c r="CP62" t="s">
        <v>388</v>
      </c>
      <c r="CQ62" t="s">
        <v>388</v>
      </c>
      <c r="CR62" t="s">
        <v>387</v>
      </c>
      <c r="CS62" t="s">
        <v>387</v>
      </c>
      <c r="CT62" t="s">
        <v>387</v>
      </c>
      <c r="CU62" t="s">
        <v>388</v>
      </c>
      <c r="CV62" t="s">
        <v>388</v>
      </c>
      <c r="CW62" t="s">
        <v>388</v>
      </c>
      <c r="CX62" t="s">
        <v>388</v>
      </c>
      <c r="CY62" t="s">
        <v>388</v>
      </c>
      <c r="CZ62" t="s">
        <v>388</v>
      </c>
      <c r="DA62" t="s">
        <v>388</v>
      </c>
      <c r="DB62" t="s">
        <v>387</v>
      </c>
      <c r="DC62" t="s">
        <v>387</v>
      </c>
      <c r="DD62" t="s">
        <v>387</v>
      </c>
      <c r="DE62" t="s">
        <v>388</v>
      </c>
      <c r="DF62" t="s">
        <v>388</v>
      </c>
      <c r="DG62" t="s">
        <v>388</v>
      </c>
      <c r="DH62" t="s">
        <v>388</v>
      </c>
      <c r="DI62" t="s">
        <v>388</v>
      </c>
      <c r="DJ62" t="s">
        <v>388</v>
      </c>
      <c r="DK62" t="s">
        <v>388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09"/>
      <c r="B63" s="12" t="str">
        <f t="shared" si="4"/>
        <v>RPU_OFF_SP379-HH100</v>
      </c>
      <c r="C63" s="11" t="s">
        <v>277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387</v>
      </c>
      <c r="CI63" t="s">
        <v>387</v>
      </c>
      <c r="CJ63" t="s">
        <v>387</v>
      </c>
      <c r="CK63" t="s">
        <v>388</v>
      </c>
      <c r="CL63" t="s">
        <v>388</v>
      </c>
      <c r="CM63" t="s">
        <v>388</v>
      </c>
      <c r="CN63" t="s">
        <v>388</v>
      </c>
      <c r="CO63" t="s">
        <v>388</v>
      </c>
      <c r="CP63" t="s">
        <v>388</v>
      </c>
      <c r="CQ63" t="s">
        <v>388</v>
      </c>
      <c r="CR63" t="s">
        <v>387</v>
      </c>
      <c r="CS63" t="s">
        <v>387</v>
      </c>
      <c r="CT63" t="s">
        <v>387</v>
      </c>
      <c r="CU63" t="s">
        <v>388</v>
      </c>
      <c r="CV63" t="s">
        <v>388</v>
      </c>
      <c r="CW63" t="s">
        <v>388</v>
      </c>
      <c r="CX63" t="s">
        <v>388</v>
      </c>
      <c r="CY63" t="s">
        <v>388</v>
      </c>
      <c r="CZ63" t="s">
        <v>388</v>
      </c>
      <c r="DA63" t="s">
        <v>388</v>
      </c>
      <c r="DB63" t="s">
        <v>387</v>
      </c>
      <c r="DC63" t="s">
        <v>387</v>
      </c>
      <c r="DD63" t="s">
        <v>387</v>
      </c>
      <c r="DE63" t="s">
        <v>388</v>
      </c>
      <c r="DF63" t="s">
        <v>388</v>
      </c>
      <c r="DG63" t="s">
        <v>388</v>
      </c>
      <c r="DH63" t="s">
        <v>388</v>
      </c>
      <c r="DI63" t="s">
        <v>388</v>
      </c>
      <c r="DJ63" t="s">
        <v>388</v>
      </c>
      <c r="DK63" t="s">
        <v>388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109"/>
      <c r="B64" s="12" t="str">
        <f t="shared" si="4"/>
        <v>RPU_OFF_SP379-HH150</v>
      </c>
      <c r="C64" s="11" t="s">
        <v>277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387</v>
      </c>
      <c r="CI64" t="s">
        <v>387</v>
      </c>
      <c r="CJ64" t="s">
        <v>387</v>
      </c>
      <c r="CK64" t="s">
        <v>388</v>
      </c>
      <c r="CL64" t="s">
        <v>388</v>
      </c>
      <c r="CM64" t="s">
        <v>388</v>
      </c>
      <c r="CN64" t="s">
        <v>388</v>
      </c>
      <c r="CO64" t="s">
        <v>388</v>
      </c>
      <c r="CP64" t="s">
        <v>388</v>
      </c>
      <c r="CQ64" t="s">
        <v>388</v>
      </c>
      <c r="CR64" t="s">
        <v>387</v>
      </c>
      <c r="CS64" t="s">
        <v>387</v>
      </c>
      <c r="CT64" t="s">
        <v>387</v>
      </c>
      <c r="CU64" t="s">
        <v>388</v>
      </c>
      <c r="CV64" t="s">
        <v>388</v>
      </c>
      <c r="CW64" t="s">
        <v>388</v>
      </c>
      <c r="CX64" t="s">
        <v>388</v>
      </c>
      <c r="CY64" t="s">
        <v>388</v>
      </c>
      <c r="CZ64" t="s">
        <v>388</v>
      </c>
      <c r="DA64" t="s">
        <v>388</v>
      </c>
      <c r="DB64" t="s">
        <v>387</v>
      </c>
      <c r="DC64" t="s">
        <v>387</v>
      </c>
      <c r="DD64" t="s">
        <v>387</v>
      </c>
      <c r="DE64" t="s">
        <v>388</v>
      </c>
      <c r="DF64" t="s">
        <v>388</v>
      </c>
      <c r="DG64" t="s">
        <v>388</v>
      </c>
      <c r="DH64" t="s">
        <v>388</v>
      </c>
      <c r="DI64" t="s">
        <v>388</v>
      </c>
      <c r="DJ64" t="s">
        <v>388</v>
      </c>
      <c r="DK64" t="s">
        <v>388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9"/>
      <c r="B65" s="12" t="str">
        <f t="shared" si="4"/>
        <v>RPU_OFF_SP450-HH100</v>
      </c>
      <c r="C65" s="11" t="s">
        <v>277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387</v>
      </c>
      <c r="CI65" t="s">
        <v>387</v>
      </c>
      <c r="CJ65" t="s">
        <v>387</v>
      </c>
      <c r="CK65" t="s">
        <v>388</v>
      </c>
      <c r="CL65" t="s">
        <v>388</v>
      </c>
      <c r="CM65" t="s">
        <v>388</v>
      </c>
      <c r="CN65" t="s">
        <v>388</v>
      </c>
      <c r="CO65" t="s">
        <v>388</v>
      </c>
      <c r="CP65" t="s">
        <v>388</v>
      </c>
      <c r="CQ65" t="s">
        <v>388</v>
      </c>
      <c r="CR65" t="s">
        <v>387</v>
      </c>
      <c r="CS65" t="s">
        <v>387</v>
      </c>
      <c r="CT65" t="s">
        <v>387</v>
      </c>
      <c r="CU65" t="s">
        <v>388</v>
      </c>
      <c r="CV65" t="s">
        <v>388</v>
      </c>
      <c r="CW65" t="s">
        <v>388</v>
      </c>
      <c r="CX65" t="s">
        <v>388</v>
      </c>
      <c r="CY65" t="s">
        <v>388</v>
      </c>
      <c r="CZ65" t="s">
        <v>388</v>
      </c>
      <c r="DA65" t="s">
        <v>388</v>
      </c>
      <c r="DB65" t="s">
        <v>387</v>
      </c>
      <c r="DC65" t="s">
        <v>387</v>
      </c>
      <c r="DD65" t="s">
        <v>387</v>
      </c>
      <c r="DE65" t="s">
        <v>388</v>
      </c>
      <c r="DF65" t="s">
        <v>388</v>
      </c>
      <c r="DG65" t="s">
        <v>388</v>
      </c>
      <c r="DH65" t="s">
        <v>388</v>
      </c>
      <c r="DI65" t="s">
        <v>388</v>
      </c>
      <c r="DJ65" t="s">
        <v>388</v>
      </c>
      <c r="DK65" t="s">
        <v>388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9"/>
      <c r="B66" s="12" t="str">
        <f t="shared" si="4"/>
        <v>RPU_OFF_SP450-HH150</v>
      </c>
      <c r="C66" s="11" t="s">
        <v>277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387</v>
      </c>
      <c r="CI66" t="s">
        <v>387</v>
      </c>
      <c r="CJ66" t="s">
        <v>387</v>
      </c>
      <c r="CK66" t="s">
        <v>388</v>
      </c>
      <c r="CL66" t="s">
        <v>388</v>
      </c>
      <c r="CM66" t="s">
        <v>388</v>
      </c>
      <c r="CN66" t="s">
        <v>388</v>
      </c>
      <c r="CO66" t="s">
        <v>388</v>
      </c>
      <c r="CP66" t="s">
        <v>388</v>
      </c>
      <c r="CQ66" t="s">
        <v>388</v>
      </c>
      <c r="CR66" t="s">
        <v>387</v>
      </c>
      <c r="CS66" t="s">
        <v>387</v>
      </c>
      <c r="CT66" t="s">
        <v>387</v>
      </c>
      <c r="CU66" t="s">
        <v>388</v>
      </c>
      <c r="CV66" t="s">
        <v>388</v>
      </c>
      <c r="CW66" t="s">
        <v>388</v>
      </c>
      <c r="CX66" t="s">
        <v>388</v>
      </c>
      <c r="CY66" t="s">
        <v>388</v>
      </c>
      <c r="CZ66" t="s">
        <v>388</v>
      </c>
      <c r="DA66" t="s">
        <v>388</v>
      </c>
      <c r="DB66" t="s">
        <v>387</v>
      </c>
      <c r="DC66" t="s">
        <v>387</v>
      </c>
      <c r="DD66" t="s">
        <v>387</v>
      </c>
      <c r="DE66" t="s">
        <v>388</v>
      </c>
      <c r="DF66" t="s">
        <v>388</v>
      </c>
      <c r="DG66" t="s">
        <v>388</v>
      </c>
      <c r="DH66" t="s">
        <v>388</v>
      </c>
      <c r="DI66" t="s">
        <v>388</v>
      </c>
      <c r="DJ66" t="s">
        <v>388</v>
      </c>
      <c r="DK66" t="s">
        <v>388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109"/>
      <c r="B67" s="12" t="s">
        <v>236</v>
      </c>
      <c r="C67" s="11" t="s">
        <v>277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287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2">
        <v>0</v>
      </c>
      <c r="FK67" s="32">
        <v>0</v>
      </c>
      <c r="FL67" s="32">
        <v>0</v>
      </c>
      <c r="FM67" s="32">
        <v>0</v>
      </c>
      <c r="FN67" s="32">
        <v>0</v>
      </c>
      <c r="FO67" s="32">
        <v>0</v>
      </c>
      <c r="FP67" s="32">
        <v>0</v>
      </c>
      <c r="FQ67" s="32">
        <v>0</v>
      </c>
      <c r="FR67" s="32">
        <v>0</v>
      </c>
      <c r="FS67" s="32">
        <v>0</v>
      </c>
    </row>
    <row r="68" spans="1:175" x14ac:dyDescent="0.3">
      <c r="A68" s="109"/>
      <c r="B68" s="12" t="s">
        <v>15</v>
      </c>
      <c r="C68" s="11" t="s">
        <v>277</v>
      </c>
      <c r="D68" s="2" t="s">
        <v>271</v>
      </c>
      <c r="E68" s="9">
        <v>0</v>
      </c>
      <c r="F68" s="13">
        <v>0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0">
        <v>0</v>
      </c>
      <c r="AU68" s="60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109"/>
      <c r="B69" s="12" t="s">
        <v>16</v>
      </c>
      <c r="C69" s="11" t="s">
        <v>277</v>
      </c>
      <c r="D69" s="2" t="s">
        <v>272</v>
      </c>
      <c r="E69" s="9">
        <v>0</v>
      </c>
      <c r="F69" s="13">
        <v>0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9"/>
      <c r="B70" s="12" t="s">
        <v>17</v>
      </c>
      <c r="C70" s="11" t="s">
        <v>277</v>
      </c>
      <c r="D70" s="2" t="s">
        <v>273</v>
      </c>
      <c r="E70" s="9">
        <v>0</v>
      </c>
      <c r="F70" s="13">
        <v>0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2">
        <v>0</v>
      </c>
      <c r="FK70" s="32">
        <v>0</v>
      </c>
      <c r="FL70" s="32">
        <v>0</v>
      </c>
      <c r="FM70" s="32">
        <v>0</v>
      </c>
      <c r="FN70" s="32">
        <v>0</v>
      </c>
      <c r="FO70" s="32">
        <v>0</v>
      </c>
      <c r="FP70" s="32">
        <v>0</v>
      </c>
      <c r="FQ70" s="32">
        <v>0</v>
      </c>
      <c r="FR70" s="32">
        <v>0</v>
      </c>
      <c r="FS70" s="32">
        <v>0</v>
      </c>
    </row>
    <row r="71" spans="1:175" x14ac:dyDescent="0.3">
      <c r="A71" s="109"/>
      <c r="B71" s="61" t="s">
        <v>277</v>
      </c>
      <c r="C71" s="11" t="s">
        <v>277</v>
      </c>
      <c r="D71" s="2" t="s">
        <v>278</v>
      </c>
      <c r="E71" s="9">
        <v>0</v>
      </c>
      <c r="F71" s="13">
        <v>0</v>
      </c>
      <c r="G71" s="13" t="s">
        <v>278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9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0</v>
      </c>
      <c r="FK72" s="32">
        <v>0</v>
      </c>
      <c r="FL72" s="32">
        <v>0</v>
      </c>
      <c r="FM72" s="32">
        <v>0</v>
      </c>
      <c r="FN72" s="32">
        <v>0</v>
      </c>
      <c r="FO72" s="32">
        <v>0</v>
      </c>
      <c r="FP72" s="32">
        <v>0</v>
      </c>
      <c r="FQ72" s="32">
        <v>0</v>
      </c>
      <c r="FR72" s="32">
        <v>0</v>
      </c>
      <c r="FS72" s="32">
        <v>0</v>
      </c>
    </row>
    <row r="73" spans="1:175" x14ac:dyDescent="0.3">
      <c r="A73" s="109"/>
      <c r="B73" s="12" t="s">
        <v>217</v>
      </c>
      <c r="C73" s="4" t="s">
        <v>34</v>
      </c>
      <c r="D73" s="6" t="s">
        <v>279</v>
      </c>
      <c r="E73" s="9">
        <v>0</v>
      </c>
      <c r="F73" s="13">
        <v>0</v>
      </c>
      <c r="G73" s="13" t="s">
        <v>279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09"/>
      <c r="B74" s="12" t="s">
        <v>218</v>
      </c>
      <c r="C74" s="11" t="s">
        <v>277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4">
        <v>0</v>
      </c>
      <c r="AU74" s="3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109"/>
      <c r="B75" s="12" t="s">
        <v>15</v>
      </c>
      <c r="C75" s="11" t="s">
        <v>277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389</v>
      </c>
      <c r="BY75" t="s">
        <v>389</v>
      </c>
      <c r="BZ75" t="s">
        <v>389</v>
      </c>
      <c r="CA75" t="s">
        <v>389</v>
      </c>
      <c r="CB75" t="s">
        <v>389</v>
      </c>
      <c r="CC75" t="s">
        <v>389</v>
      </c>
      <c r="CD75" t="s">
        <v>389</v>
      </c>
      <c r="CE75" t="s">
        <v>389</v>
      </c>
      <c r="CF75" t="s">
        <v>389</v>
      </c>
      <c r="CG75" t="s">
        <v>389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09"/>
      <c r="B76" s="12" t="s">
        <v>16</v>
      </c>
      <c r="C76" s="11" t="s">
        <v>277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389</v>
      </c>
      <c r="BY76" t="s">
        <v>389</v>
      </c>
      <c r="BZ76" t="s">
        <v>389</v>
      </c>
      <c r="CA76" t="s">
        <v>389</v>
      </c>
      <c r="CB76" t="s">
        <v>389</v>
      </c>
      <c r="CC76" t="s">
        <v>389</v>
      </c>
      <c r="CD76" t="s">
        <v>389</v>
      </c>
      <c r="CE76" t="s">
        <v>389</v>
      </c>
      <c r="CF76" t="s">
        <v>389</v>
      </c>
      <c r="CG76" t="s">
        <v>389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109"/>
      <c r="B77" s="12" t="s">
        <v>17</v>
      </c>
      <c r="C77" s="11" t="s">
        <v>277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316</v>
      </c>
      <c r="AU77" s="14" t="s">
        <v>316</v>
      </c>
      <c r="AV77" s="14" t="s">
        <v>316</v>
      </c>
      <c r="AW77" s="14" t="s">
        <v>316</v>
      </c>
      <c r="AX77" s="14" t="s">
        <v>316</v>
      </c>
      <c r="AY77" s="14" t="s">
        <v>316</v>
      </c>
      <c r="AZ77" s="14" t="s">
        <v>316</v>
      </c>
      <c r="BA77" s="14" t="s">
        <v>316</v>
      </c>
      <c r="BB77" s="14" t="s">
        <v>316</v>
      </c>
      <c r="BC77" s="14" t="s">
        <v>316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390</v>
      </c>
      <c r="CI77" t="s">
        <v>391</v>
      </c>
      <c r="CJ77" t="s">
        <v>392</v>
      </c>
      <c r="CK77" t="s">
        <v>393</v>
      </c>
      <c r="CL77" t="s">
        <v>394</v>
      </c>
      <c r="CM77" t="s">
        <v>395</v>
      </c>
      <c r="CN77">
        <v>0</v>
      </c>
      <c r="CO77" t="s">
        <v>396</v>
      </c>
      <c r="CP77" t="s">
        <v>397</v>
      </c>
      <c r="CQ77" t="s">
        <v>398</v>
      </c>
      <c r="CR77" t="s">
        <v>399</v>
      </c>
      <c r="CS77" t="s">
        <v>400</v>
      </c>
      <c r="CT77" t="s">
        <v>401</v>
      </c>
      <c r="CU77" t="s">
        <v>399</v>
      </c>
      <c r="CV77" t="s">
        <v>400</v>
      </c>
      <c r="CW77" t="s">
        <v>401</v>
      </c>
      <c r="CX77">
        <v>0</v>
      </c>
      <c r="CY77" t="s">
        <v>399</v>
      </c>
      <c r="CZ77" t="s">
        <v>400</v>
      </c>
      <c r="DA77" t="s">
        <v>401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286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1">
        <v>0</v>
      </c>
      <c r="FN77" s="51">
        <v>0</v>
      </c>
      <c r="FO77" s="51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P4:Y4"/>
    <mergeCell ref="AJ4:AS4"/>
    <mergeCell ref="AT4:BB4"/>
    <mergeCell ref="BD4:BL4"/>
    <mergeCell ref="BN4:BV4"/>
    <mergeCell ref="Z4:AI4"/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B5:B8"/>
    <mergeCell ref="C5:C8"/>
    <mergeCell ref="D5:D8"/>
    <mergeCell ref="A4:C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G14" sqref="G14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326</v>
      </c>
      <c r="C7" s="38" t="s">
        <v>327</v>
      </c>
      <c r="D7" s="38">
        <v>2019</v>
      </c>
      <c r="E7" s="38" t="s">
        <v>328</v>
      </c>
      <c r="G7" s="41" t="s">
        <v>329</v>
      </c>
    </row>
    <row r="8" spans="1:8" ht="31.05" customHeight="1" x14ac:dyDescent="0.3">
      <c r="A8" s="39" t="s">
        <v>330</v>
      </c>
      <c r="B8" s="38" t="s">
        <v>331</v>
      </c>
      <c r="C8" s="38" t="s">
        <v>332</v>
      </c>
      <c r="D8" s="38">
        <v>2023</v>
      </c>
      <c r="E8" s="38" t="s">
        <v>305</v>
      </c>
      <c r="G8" s="41" t="s">
        <v>333</v>
      </c>
    </row>
    <row r="9" spans="1:8" x14ac:dyDescent="0.3">
      <c r="A9" s="39" t="s">
        <v>339</v>
      </c>
      <c r="B9" s="40" t="s">
        <v>340</v>
      </c>
      <c r="C9" s="38" t="s">
        <v>341</v>
      </c>
      <c r="D9" s="38">
        <v>2023</v>
      </c>
      <c r="E9" s="38" t="s">
        <v>297</v>
      </c>
      <c r="G9" s="41"/>
    </row>
    <row r="10" spans="1:8" x14ac:dyDescent="0.3">
      <c r="A10" s="39" t="s">
        <v>346</v>
      </c>
      <c r="B10" s="38" t="s">
        <v>345</v>
      </c>
      <c r="C10" s="38" t="s">
        <v>344</v>
      </c>
      <c r="D10" s="38">
        <v>2020</v>
      </c>
      <c r="E10" s="38" t="s">
        <v>343</v>
      </c>
      <c r="G10" s="41" t="s">
        <v>342</v>
      </c>
      <c r="H10" s="39" t="s">
        <v>347</v>
      </c>
    </row>
    <row r="11" spans="1:8" ht="28.8" x14ac:dyDescent="0.3">
      <c r="A11" s="39" t="str">
        <f t="shared" ref="A11" si="2">C11&amp;D11</f>
        <v>Ikäheimo2018</v>
      </c>
      <c r="B11" s="38" t="s">
        <v>348</v>
      </c>
      <c r="C11" s="38" t="s">
        <v>349</v>
      </c>
      <c r="D11" s="38">
        <v>2018</v>
      </c>
      <c r="E11" s="38" t="s">
        <v>350</v>
      </c>
      <c r="G11" s="41" t="s">
        <v>351</v>
      </c>
    </row>
    <row r="12" spans="1:8" x14ac:dyDescent="0.3">
      <c r="A12" s="39" t="s">
        <v>356</v>
      </c>
      <c r="B12" s="38" t="s">
        <v>352</v>
      </c>
      <c r="C12" s="38" t="s">
        <v>353</v>
      </c>
      <c r="D12" s="38">
        <v>2020</v>
      </c>
      <c r="E12" s="38" t="s">
        <v>354</v>
      </c>
      <c r="G12" s="41" t="s">
        <v>355</v>
      </c>
    </row>
    <row r="13" spans="1:8" x14ac:dyDescent="0.3">
      <c r="A13" s="39" t="s">
        <v>357</v>
      </c>
      <c r="B13" s="39" t="s">
        <v>358</v>
      </c>
      <c r="C13" s="38" t="s">
        <v>332</v>
      </c>
      <c r="D13" s="38">
        <v>2021</v>
      </c>
      <c r="E13" s="38" t="s">
        <v>296</v>
      </c>
      <c r="G13" s="41" t="s">
        <v>359</v>
      </c>
    </row>
    <row r="14" spans="1:8" ht="28.8" x14ac:dyDescent="0.3">
      <c r="A14" s="39" t="s">
        <v>560</v>
      </c>
      <c r="B14" s="72" t="s">
        <v>561</v>
      </c>
      <c r="C14" s="38" t="s">
        <v>562</v>
      </c>
      <c r="D14" s="38">
        <v>2022</v>
      </c>
      <c r="E14" s="38" t="s">
        <v>305</v>
      </c>
      <c r="G14" s="41" t="s">
        <v>563</v>
      </c>
    </row>
    <row r="15" spans="1:8" ht="43.2" x14ac:dyDescent="0.3">
      <c r="A15" s="39" t="s">
        <v>564</v>
      </c>
      <c r="B15" s="40" t="s">
        <v>565</v>
      </c>
      <c r="C15" s="38" t="s">
        <v>566</v>
      </c>
      <c r="D15" s="38">
        <v>2019</v>
      </c>
      <c r="E15" s="38" t="s">
        <v>305</v>
      </c>
      <c r="G15" s="73" t="s">
        <v>608</v>
      </c>
    </row>
    <row r="16" spans="1:8" ht="43.2" x14ac:dyDescent="0.3">
      <c r="A16" s="39" t="s">
        <v>567</v>
      </c>
      <c r="B16" s="39" t="s">
        <v>568</v>
      </c>
      <c r="C16" s="38" t="s">
        <v>569</v>
      </c>
      <c r="D16" s="38">
        <v>2014</v>
      </c>
      <c r="E16" s="38" t="s">
        <v>296</v>
      </c>
      <c r="F16" s="38" t="s">
        <v>570</v>
      </c>
      <c r="G16" s="41" t="s">
        <v>571</v>
      </c>
    </row>
    <row r="17" spans="1:7" x14ac:dyDescent="0.3">
      <c r="A17" s="39" t="s">
        <v>574</v>
      </c>
      <c r="B17" s="38" t="s">
        <v>575</v>
      </c>
      <c r="C17" s="38" t="s">
        <v>576</v>
      </c>
      <c r="D17" s="38">
        <v>2023</v>
      </c>
      <c r="E17" s="38" t="s">
        <v>296</v>
      </c>
      <c r="G17" s="41" t="s">
        <v>572</v>
      </c>
    </row>
    <row r="18" spans="1:7" x14ac:dyDescent="0.3">
      <c r="G18" s="41"/>
    </row>
    <row r="19" spans="1:7" x14ac:dyDescent="0.3">
      <c r="G19" s="41"/>
    </row>
    <row r="20" spans="1:7" x14ac:dyDescent="0.3">
      <c r="G20" s="41"/>
    </row>
    <row r="21" spans="1:7" x14ac:dyDescent="0.3">
      <c r="B21" s="13"/>
      <c r="G21" s="41"/>
    </row>
    <row r="22" spans="1:7" x14ac:dyDescent="0.3">
      <c r="B22" s="40"/>
      <c r="G22" s="41"/>
    </row>
    <row r="23" spans="1:7" x14ac:dyDescent="0.3">
      <c r="G23" s="41"/>
    </row>
    <row r="24" spans="1:7" x14ac:dyDescent="0.3">
      <c r="G24" s="41"/>
    </row>
    <row r="25" spans="1:7" x14ac:dyDescent="0.3">
      <c r="G25" s="41"/>
    </row>
    <row r="26" spans="1:7" x14ac:dyDescent="0.3">
      <c r="G26" s="41"/>
    </row>
    <row r="27" spans="1:7" x14ac:dyDescent="0.3">
      <c r="G27" s="41"/>
    </row>
    <row r="28" spans="1:7" x14ac:dyDescent="0.3">
      <c r="G28" s="41"/>
    </row>
    <row r="29" spans="1:7" x14ac:dyDescent="0.3">
      <c r="G29" s="41"/>
    </row>
    <row r="30" spans="1:7" x14ac:dyDescent="0.3">
      <c r="G30" s="41"/>
    </row>
    <row r="31" spans="1:7" x14ac:dyDescent="0.3">
      <c r="G31" s="41"/>
    </row>
    <row r="32" spans="1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941A9CE8-62D1-4045-8401-E482EFAA9B01}"/>
    <hyperlink ref="G117" r:id="rId2" xr:uid="{92153DC2-3837-4DF0-96AC-4917611656DE}"/>
    <hyperlink ref="G118" r:id="rId3" tooltip="Persistent link using digital object identifier" xr:uid="{3750B9E2-2914-4FA5-8521-B55C211559FE}"/>
    <hyperlink ref="G124" r:id="rId4" xr:uid="{8B7A2B8C-A3C7-46F4-ACD9-ADE96F003224}"/>
    <hyperlink ref="G126" r:id="rId5" xr:uid="{333B5B5E-4CF3-471D-AA12-BB75652D9B8F}"/>
    <hyperlink ref="G127" r:id="rId6" xr:uid="{4043FF83-C166-4A45-8CE8-BC2B04ACCDFD}"/>
    <hyperlink ref="G120" r:id="rId7" xr:uid="{7F05CC4A-2499-4E6D-89BE-CB00D3866546}"/>
    <hyperlink ref="G128" r:id="rId8" xr:uid="{0E33B96F-EBA8-4D70-976B-5940B9AE5F29}"/>
    <hyperlink ref="G129" r:id="rId9" xr:uid="{BA6B4A3E-6971-4FBB-AA87-5243140FCFF2}"/>
    <hyperlink ref="G130" r:id="rId10" xr:uid="{C31BD694-B885-44E1-8427-A856DE167CA8}"/>
    <hyperlink ref="G131" r:id="rId11" xr:uid="{0DAFF558-95D6-4B26-BD78-AFC687F8E2BD}"/>
    <hyperlink ref="G132" r:id="rId12" xr:uid="{279AFA4D-61EB-40FA-A483-1217C4DACDB1}"/>
    <hyperlink ref="G133" r:id="rId13" xr:uid="{09A1099C-A0CF-4621-BF41-C356836E47AE}"/>
    <hyperlink ref="G135" r:id="rId14" xr:uid="{8456F575-BE6A-4D05-97B4-316EA579ADDD}"/>
    <hyperlink ref="G136" r:id="rId15" xr:uid="{5074AB86-251D-4215-9285-5C087609B488}"/>
    <hyperlink ref="G137" r:id="rId16" xr:uid="{1CF8FB64-6FD7-4527-BD78-FD84A98EC3D3}"/>
    <hyperlink ref="G139" r:id="rId17" xr:uid="{B7F86D34-B7A6-4778-BDF8-4CAC7C1AD951}"/>
    <hyperlink ref="G4" r:id="rId18" xr:uid="{F4EBF170-C48C-4E34-ADFA-BEDEC4D1C207}"/>
    <hyperlink ref="G5" r:id="rId19" xr:uid="{6ADDF5C1-44D2-49B5-AC1A-A0FBD92350FD}"/>
    <hyperlink ref="G6" r:id="rId20" xr:uid="{C6A64B31-92AD-45B0-BA21-DFCDB2BE0979}"/>
    <hyperlink ref="G7" r:id="rId21" xr:uid="{35DA8237-CF91-434B-B6A8-ED2A1E9BBC19}"/>
    <hyperlink ref="G8" r:id="rId22" xr:uid="{BF89911F-EFE3-4598-AA94-74A4FB57736F}"/>
    <hyperlink ref="G11" r:id="rId23" xr:uid="{66A6A64F-EA92-47F7-A6E1-2ABBBC7A9B9F}"/>
    <hyperlink ref="G12" r:id="rId24" xr:uid="{7BA9439C-B926-440A-9120-FCAB19CB5136}"/>
    <hyperlink ref="G10" r:id="rId25" xr:uid="{95A53AE5-0F35-48AA-ABC6-F5099B06F989}"/>
    <hyperlink ref="G15" r:id="rId26" xr:uid="{462CBAC3-6AE4-4E00-A341-0705B733BF63}"/>
    <hyperlink ref="G14" r:id="rId27" xr:uid="{B011012B-72AC-4ACB-A515-CCD250128C1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2023-10-12T07:03:50Z</dcterms:modified>
</cp:coreProperties>
</file>