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Users\Frede\Documents\DTU\DTU_Man\OptiPlant-DME\NH3 - locations\Data\Inputs\"/>
    </mc:Choice>
  </mc:AlternateContent>
  <xr:revisionPtr revIDLastSave="0" documentId="13_ncr:1_{510CE7B0-9E53-4FDF-868D-B0BA34DC3071}" xr6:coauthVersionLast="47" xr6:coauthVersionMax="47" xr10:uidLastSave="{00000000-0000-0000-0000-000000000000}"/>
  <bookViews>
    <workbookView xWindow="-96" yWindow="0" windowWidth="11712" windowHeight="12336" tabRatio="891" firstSheet="2" activeTab="5" xr2:uid="{00000000-000D-0000-FFFF-FFFF00000000}"/>
  </bookViews>
  <sheets>
    <sheet name="Sources" sheetId="4" r:id="rId1"/>
    <sheet name="Fuel production cost" sheetId="15" r:id="rId2"/>
    <sheet name="Fuel cost graphs" sheetId="48" r:id="rId3"/>
    <sheet name="Calculations" sheetId="1" r:id="rId4"/>
    <sheet name="Calculations 2" sheetId="46" r:id="rId5"/>
    <sheet name="Annuities" sheetId="30" r:id="rId6"/>
    <sheet name="All_data" sheetId="61" r:id="rId7"/>
    <sheet name="Desalination" sheetId="13" r:id="rId8"/>
    <sheet name="Bio-eMeOH plant" sheetId="57" r:id="rId9"/>
    <sheet name="MeOH plant + CO2" sheetId="18" r:id="rId10"/>
    <sheet name="NH3 plant + ASU" sheetId="58" r:id="rId11"/>
    <sheet name=" Storage + Transport" sheetId="11" r:id="rId12"/>
    <sheet name="Electrolyser + O2+Heat + Grid" sheetId="10" r:id="rId13"/>
    <sheet name="Solar PV" sheetId="19" r:id="rId14"/>
    <sheet name="Solar PV tracking" sheetId="49" r:id="rId15"/>
    <sheet name="CSP plant + TES" sheetId="62" r:id="rId16"/>
    <sheet name="Wind_turbines" sheetId="55" r:id="rId17"/>
    <sheet name="Wind_on" sheetId="20" r:id="rId18"/>
    <sheet name="Wind_off" sheetId="21" r:id="rId19"/>
    <sheet name="Sheet1" sheetId="60" r:id="rId20"/>
  </sheets>
  <definedNames>
    <definedName name="baut0005" localSheetId="0">Sources!$C$118</definedName>
    <definedName name="CEPCI_ref">Calculations!$C$29</definedName>
    <definedName name="CEPCI2008">Calculations!$C$17</definedName>
    <definedName name="CEPCI2009">Calculations!$C$18</definedName>
    <definedName name="CEPCI2010">Calculations!$C$19</definedName>
    <definedName name="CEPCI2011">Calculations!$C$20</definedName>
    <definedName name="CEPCI2012">Calculations!$C$21</definedName>
    <definedName name="CEPCI2013">Calculations!$C$22</definedName>
    <definedName name="CEPCI2014">Calculations!$C$23</definedName>
    <definedName name="CEPCI2015">Calculations!$C$24</definedName>
    <definedName name="CEPCI2016">Calculations!$C$25</definedName>
    <definedName name="CEPCI2017">Calculations!$C$26</definedName>
    <definedName name="CEPCI2018">Calculations!$C$27</definedName>
    <definedName name="CEPCI2019">Calculations!$C$28</definedName>
    <definedName name="DE2014_">Calculations!$C$9</definedName>
    <definedName name="DE2015_">Calculations!$C$8</definedName>
    <definedName name="DE2016_">Calculations!$C$7</definedName>
    <definedName name="DE2017_">Calculations!$C$6</definedName>
    <definedName name="DE2018_">Calculations!$C$5</definedName>
    <definedName name="DE2019_">Calculations!$C$4</definedName>
    <definedName name="DE2020_">Calculations!$C$3</definedName>
    <definedName name="E2013_ref">Calculations!$C$10</definedName>
    <definedName name="E2014_ref">Calculations!$C$11</definedName>
    <definedName name="E2015_ref">Calculations!$C$12</definedName>
    <definedName name="E2016_ref">Calculations!$C$13</definedName>
    <definedName name="E2017_ref">Calculations!$C$14</definedName>
    <definedName name="E2018_ref">Calculations!$C$15</definedName>
    <definedName name="E2019_ref">Calculations!$C$16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0" i="30" l="1"/>
  <c r="K33" i="30" s="1"/>
  <c r="E5" i="1"/>
  <c r="C2" i="1"/>
  <c r="K27" i="30" l="1"/>
  <c r="K36" i="30"/>
  <c r="K29" i="30"/>
  <c r="K13" i="30"/>
  <c r="K30" i="30"/>
  <c r="K38" i="30"/>
  <c r="K23" i="30"/>
  <c r="K31" i="30"/>
  <c r="K44" i="30"/>
  <c r="K26" i="30"/>
  <c r="K34" i="30"/>
  <c r="K35" i="30"/>
  <c r="K28" i="30"/>
  <c r="K10" i="30"/>
  <c r="K37" i="30"/>
  <c r="K24" i="30"/>
  <c r="K32" i="30"/>
  <c r="K25" i="30"/>
  <c r="K39" i="30"/>
  <c r="D46" i="10"/>
  <c r="E46" i="10"/>
  <c r="F46" i="10"/>
  <c r="G46" i="10"/>
  <c r="H46" i="10"/>
  <c r="C46" i="10"/>
  <c r="C289" i="11"/>
  <c r="C284" i="11"/>
  <c r="C283" i="11"/>
  <c r="C282" i="11"/>
  <c r="C287" i="11"/>
  <c r="C288" i="11" s="1"/>
  <c r="C46" i="62" l="1"/>
  <c r="A140" i="4"/>
  <c r="E46" i="62" s="1"/>
  <c r="G8" i="62"/>
  <c r="F8" i="62"/>
  <c r="D8" i="62"/>
  <c r="E8" i="62"/>
  <c r="G7" i="62"/>
  <c r="F7" i="62"/>
  <c r="D7" i="62"/>
  <c r="E7" i="62"/>
  <c r="H14" i="62"/>
  <c r="G14" i="62"/>
  <c r="F14" i="62"/>
  <c r="E14" i="62"/>
  <c r="D14" i="62"/>
  <c r="C14" i="62"/>
  <c r="H12" i="62"/>
  <c r="G12" i="62"/>
  <c r="F12" i="62"/>
  <c r="E12" i="62"/>
  <c r="D12" i="62"/>
  <c r="C12" i="62"/>
  <c r="H10" i="62"/>
  <c r="G10" i="62"/>
  <c r="F10" i="62"/>
  <c r="E10" i="62"/>
  <c r="D10" i="62"/>
  <c r="C10" i="62"/>
  <c r="H8" i="62"/>
  <c r="C8" i="62"/>
  <c r="H7" i="62"/>
  <c r="C7" i="62"/>
  <c r="C78" i="20" l="1"/>
  <c r="C71" i="19"/>
  <c r="C64" i="49"/>
  <c r="C63" i="49"/>
  <c r="G95" i="11" l="1"/>
  <c r="H95" i="11"/>
  <c r="C292" i="11"/>
  <c r="C95" i="11" s="1"/>
  <c r="D95" i="11" s="1"/>
  <c r="C291" i="11"/>
  <c r="E95" i="11" s="1"/>
  <c r="C190" i="11"/>
  <c r="E13" i="20"/>
  <c r="C95" i="20"/>
  <c r="C94" i="20"/>
  <c r="C85" i="20"/>
  <c r="C93" i="20"/>
  <c r="C92" i="20"/>
  <c r="C91" i="20"/>
  <c r="C90" i="20"/>
  <c r="C89" i="20"/>
  <c r="C88" i="20"/>
  <c r="C87" i="20"/>
  <c r="C86" i="20"/>
  <c r="C83" i="20"/>
  <c r="C84" i="20"/>
  <c r="C82" i="20"/>
  <c r="C80" i="20"/>
  <c r="C81" i="20"/>
  <c r="C79" i="20"/>
  <c r="G89" i="20" s="1"/>
  <c r="H17" i="21"/>
  <c r="H13" i="20" s="1"/>
  <c r="G17" i="21"/>
  <c r="G13" i="20" s="1"/>
  <c r="F17" i="21"/>
  <c r="F13" i="20" s="1"/>
  <c r="E17" i="21"/>
  <c r="D17" i="21"/>
  <c r="D13" i="20" s="1"/>
  <c r="C17" i="21"/>
  <c r="C13" i="20" s="1"/>
  <c r="F63" i="18"/>
  <c r="H63" i="18"/>
  <c r="J63" i="18"/>
  <c r="C276" i="18"/>
  <c r="C63" i="18" s="1"/>
  <c r="C275" i="18"/>
  <c r="G63" i="18" s="1"/>
  <c r="C273" i="18"/>
  <c r="J43" i="18" s="1"/>
  <c r="C272" i="18"/>
  <c r="I43" i="18" s="1"/>
  <c r="C271" i="18"/>
  <c r="H43" i="18" s="1"/>
  <c r="C270" i="18"/>
  <c r="G43" i="18" s="1"/>
  <c r="C268" i="18"/>
  <c r="E43" i="18" s="1"/>
  <c r="C267" i="18"/>
  <c r="D43" i="18" s="1"/>
  <c r="C269" i="18"/>
  <c r="F43" i="18" s="1"/>
  <c r="C266" i="18"/>
  <c r="C43" i="18" s="1"/>
  <c r="F95" i="11" l="1"/>
  <c r="E63" i="18"/>
  <c r="D63" i="18" s="1"/>
  <c r="I63" i="18"/>
  <c r="D23" i="18"/>
  <c r="E23" i="18"/>
  <c r="F23" i="18"/>
  <c r="G23" i="18"/>
  <c r="C161" i="18"/>
  <c r="I23" i="18" l="1"/>
  <c r="J23" i="18"/>
  <c r="H23" i="18"/>
  <c r="C23" i="18"/>
  <c r="E30" i="10" l="1"/>
  <c r="E40" i="10" s="1"/>
  <c r="F30" i="10"/>
  <c r="F40" i="10" s="1"/>
  <c r="G30" i="10"/>
  <c r="G40" i="10" s="1"/>
  <c r="H30" i="10"/>
  <c r="H40" i="10" s="1"/>
  <c r="D30" i="10"/>
  <c r="D40" i="10" s="1"/>
  <c r="C109" i="58" l="1"/>
  <c r="C15" i="58" s="1"/>
  <c r="C108" i="58"/>
  <c r="H34" i="58" s="1"/>
  <c r="C107" i="58"/>
  <c r="E15" i="58" s="1"/>
  <c r="C94" i="58"/>
  <c r="C93" i="58"/>
  <c r="C92" i="58"/>
  <c r="C91" i="58"/>
  <c r="C90" i="58"/>
  <c r="C89" i="58"/>
  <c r="C88" i="58"/>
  <c r="C87" i="58"/>
  <c r="C81" i="58"/>
  <c r="G15" i="58" l="1"/>
  <c r="H15" i="58"/>
  <c r="C34" i="58"/>
  <c r="D34" i="58"/>
  <c r="E34" i="58"/>
  <c r="F34" i="58"/>
  <c r="D15" i="58"/>
  <c r="G34" i="58"/>
  <c r="F15" i="58"/>
  <c r="C53" i="10" l="1"/>
  <c r="C242" i="11"/>
  <c r="E32" i="18" l="1"/>
  <c r="C32" i="18"/>
  <c r="A134" i="4"/>
  <c r="E197" i="18" s="1"/>
  <c r="E185" i="18" l="1"/>
  <c r="E196" i="18"/>
  <c r="E184" i="18"/>
  <c r="E193" i="18"/>
  <c r="E194" i="18"/>
  <c r="E273" i="18"/>
  <c r="E275" i="18"/>
  <c r="E276" i="18"/>
  <c r="E272" i="18"/>
  <c r="E267" i="18"/>
  <c r="E268" i="18"/>
  <c r="E271" i="18"/>
  <c r="E266" i="18"/>
  <c r="E269" i="18"/>
  <c r="E270" i="18"/>
  <c r="E190" i="18"/>
  <c r="E198" i="18"/>
  <c r="E192" i="18"/>
  <c r="E186" i="18"/>
  <c r="E187" i="18"/>
  <c r="E195" i="18"/>
  <c r="E188" i="18"/>
  <c r="E189" i="18"/>
  <c r="E183" i="18"/>
  <c r="E191" i="18"/>
  <c r="C185" i="18"/>
  <c r="C52" i="18" s="1"/>
  <c r="C183" i="18"/>
  <c r="E52" i="18" s="1"/>
  <c r="C184" i="18"/>
  <c r="C64" i="58" l="1"/>
  <c r="A4" i="4"/>
  <c r="A5" i="4"/>
  <c r="G49" i="58" s="1"/>
  <c r="A6" i="4"/>
  <c r="G45" i="58" s="1"/>
  <c r="A7" i="4"/>
  <c r="A8" i="4"/>
  <c r="G144" i="58" s="1"/>
  <c r="A9" i="4"/>
  <c r="A10" i="4"/>
  <c r="A11" i="4"/>
  <c r="F55" i="58" s="1"/>
  <c r="A12" i="4"/>
  <c r="A13" i="4"/>
  <c r="A14" i="4"/>
  <c r="F59" i="58" s="1"/>
  <c r="A15" i="4"/>
  <c r="G81" i="58" s="1"/>
  <c r="A16" i="4"/>
  <c r="E60" i="58" s="1"/>
  <c r="A17" i="4"/>
  <c r="G60" i="58" s="1"/>
  <c r="A18" i="4"/>
  <c r="A19" i="4"/>
  <c r="A20" i="4"/>
  <c r="E53" i="10" s="1"/>
  <c r="A21" i="4"/>
  <c r="A22" i="4"/>
  <c r="G123" i="58" s="1"/>
  <c r="A23" i="4"/>
  <c r="A24" i="4"/>
  <c r="A25" i="4"/>
  <c r="A26" i="4"/>
  <c r="A27" i="4"/>
  <c r="A28" i="4"/>
  <c r="A29" i="4"/>
  <c r="A30" i="4"/>
  <c r="A31" i="4"/>
  <c r="A32" i="4"/>
  <c r="A33" i="4"/>
  <c r="A34" i="4"/>
  <c r="E148" i="11" s="1"/>
  <c r="A35" i="4"/>
  <c r="A36" i="4"/>
  <c r="A37" i="4"/>
  <c r="A38" i="4"/>
  <c r="E115" i="58" s="1"/>
  <c r="A39" i="4"/>
  <c r="E63" i="58" s="1"/>
  <c r="A40" i="4"/>
  <c r="A41" i="4"/>
  <c r="A42" i="4"/>
  <c r="A43" i="4"/>
  <c r="A44" i="4"/>
  <c r="A45" i="4"/>
  <c r="A46" i="4"/>
  <c r="E117" i="58" s="1"/>
  <c r="A47" i="4"/>
  <c r="A48" i="4"/>
  <c r="A49" i="4"/>
  <c r="A50" i="4"/>
  <c r="A51" i="4"/>
  <c r="A52" i="4"/>
  <c r="A53" i="4"/>
  <c r="F32" i="19" s="1"/>
  <c r="A54" i="4"/>
  <c r="A55" i="4"/>
  <c r="A56" i="4"/>
  <c r="A57" i="4"/>
  <c r="A58" i="4"/>
  <c r="A59" i="4"/>
  <c r="A60" i="4"/>
  <c r="A61" i="4"/>
  <c r="E48" i="58" s="1"/>
  <c r="A62" i="4"/>
  <c r="A63" i="4"/>
  <c r="A64" i="4"/>
  <c r="A65" i="4"/>
  <c r="A66" i="4"/>
  <c r="A67" i="4"/>
  <c r="E68" i="10" s="1"/>
  <c r="A68" i="4"/>
  <c r="A69" i="4"/>
  <c r="E67" i="10" s="1"/>
  <c r="A70" i="4"/>
  <c r="A71" i="4"/>
  <c r="E73" i="10" s="1"/>
  <c r="A72" i="4"/>
  <c r="A73" i="4"/>
  <c r="A74" i="4"/>
  <c r="A75" i="4"/>
  <c r="A76" i="4"/>
  <c r="A77" i="4"/>
  <c r="A78" i="4"/>
  <c r="E73" i="58" s="1"/>
  <c r="A79" i="4"/>
  <c r="A80" i="4"/>
  <c r="A81" i="4"/>
  <c r="A82" i="4"/>
  <c r="A83" i="4"/>
  <c r="A84" i="4"/>
  <c r="A85" i="4"/>
  <c r="E232" i="11" s="1"/>
  <c r="A86" i="4"/>
  <c r="A87" i="4"/>
  <c r="A88" i="4"/>
  <c r="A89" i="4"/>
  <c r="A90" i="4"/>
  <c r="A91" i="4"/>
  <c r="A92" i="4"/>
  <c r="A93" i="4"/>
  <c r="A94" i="4"/>
  <c r="A95" i="4"/>
  <c r="A96" i="4"/>
  <c r="A97" i="4"/>
  <c r="A98" i="4"/>
  <c r="A99" i="4"/>
  <c r="A100" i="4"/>
  <c r="E115" i="10" s="1"/>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5" i="4"/>
  <c r="A136" i="4"/>
  <c r="A137" i="4"/>
  <c r="E66" i="58" s="1"/>
  <c r="A138" i="4"/>
  <c r="E69" i="10" s="1"/>
  <c r="A139" i="4"/>
  <c r="A141" i="4"/>
  <c r="E212" i="10" s="1"/>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G170" i="58"/>
  <c r="G163" i="58"/>
  <c r="E170" i="58"/>
  <c r="E163" i="58"/>
  <c r="E154" i="58"/>
  <c r="G148" i="58"/>
  <c r="E148" i="58"/>
  <c r="G145" i="58"/>
  <c r="F146" i="58"/>
  <c r="E146" i="58"/>
  <c r="E145" i="58"/>
  <c r="G142" i="58"/>
  <c r="E142" i="58"/>
  <c r="E127" i="58"/>
  <c r="E125" i="58"/>
  <c r="E123" i="58"/>
  <c r="E121" i="58"/>
  <c r="G119" i="58"/>
  <c r="E119" i="58"/>
  <c r="E112" i="58"/>
  <c r="E101" i="58"/>
  <c r="G99" i="58"/>
  <c r="E99" i="58"/>
  <c r="G85" i="58"/>
  <c r="E81" i="58"/>
  <c r="E61" i="58"/>
  <c r="G58" i="58"/>
  <c r="G57" i="58"/>
  <c r="G56" i="58"/>
  <c r="G55" i="58"/>
  <c r="E58" i="58"/>
  <c r="E57" i="58"/>
  <c r="E56" i="58"/>
  <c r="E55" i="58"/>
  <c r="E47" i="58"/>
  <c r="E46" i="58"/>
  <c r="F45" i="58"/>
  <c r="E115" i="57" l="1"/>
  <c r="E119" i="57"/>
  <c r="E116" i="57"/>
  <c r="E126" i="57"/>
  <c r="E118" i="57"/>
  <c r="E121" i="57"/>
  <c r="E120" i="57"/>
  <c r="E125" i="57"/>
  <c r="E117" i="57"/>
  <c r="E124" i="57"/>
  <c r="E123" i="57"/>
  <c r="E122" i="57"/>
  <c r="E306" i="10"/>
  <c r="E307" i="10"/>
  <c r="E163" i="11"/>
  <c r="E75" i="10"/>
  <c r="E54" i="10"/>
  <c r="E150" i="58"/>
  <c r="E155" i="11"/>
  <c r="E157" i="11"/>
  <c r="E250" i="11"/>
  <c r="E113" i="58"/>
  <c r="E102" i="21"/>
  <c r="E103" i="21"/>
  <c r="E101" i="21"/>
  <c r="E70" i="19"/>
  <c r="E104" i="21"/>
  <c r="E100" i="21"/>
  <c r="E105" i="21"/>
  <c r="E119" i="55"/>
  <c r="E106" i="21"/>
  <c r="E107" i="21"/>
  <c r="E162" i="18"/>
  <c r="E161" i="18"/>
  <c r="E314" i="10"/>
  <c r="E210" i="10"/>
  <c r="E204" i="10"/>
  <c r="E312" i="10"/>
  <c r="E313" i="10"/>
  <c r="E315" i="10"/>
  <c r="E211" i="10"/>
  <c r="E308" i="10"/>
  <c r="E309" i="10"/>
  <c r="E205" i="10"/>
  <c r="E207" i="10"/>
  <c r="E310" i="10"/>
  <c r="E206" i="10"/>
  <c r="E311" i="10"/>
  <c r="E208" i="10"/>
  <c r="E209" i="10"/>
  <c r="E108" i="58"/>
  <c r="E88" i="58"/>
  <c r="E79" i="58"/>
  <c r="E109" i="58"/>
  <c r="E89" i="58"/>
  <c r="E93" i="58"/>
  <c r="E107" i="58"/>
  <c r="E90" i="58"/>
  <c r="E94" i="58"/>
  <c r="E91" i="58"/>
  <c r="E92" i="58"/>
  <c r="E87" i="58"/>
  <c r="E114" i="58"/>
  <c r="E190" i="11"/>
  <c r="E192" i="11"/>
  <c r="E291" i="11"/>
  <c r="E292" i="11"/>
  <c r="E274" i="11"/>
  <c r="E122" i="11"/>
  <c r="E222" i="11"/>
  <c r="E62" i="58"/>
  <c r="E74" i="10"/>
  <c r="E286" i="11"/>
  <c r="E65" i="58"/>
  <c r="E284" i="11"/>
  <c r="E283" i="11"/>
  <c r="E282" i="11"/>
  <c r="E233" i="18"/>
  <c r="E236" i="18"/>
  <c r="E248" i="18"/>
  <c r="E245" i="18"/>
  <c r="E252" i="18"/>
  <c r="E235" i="18"/>
  <c r="E234" i="18"/>
  <c r="E244" i="18"/>
  <c r="E247" i="18"/>
  <c r="E232" i="18"/>
  <c r="E246" i="18"/>
  <c r="E97" i="58"/>
  <c r="E59" i="58"/>
  <c r="E106" i="58"/>
  <c r="E85" i="58"/>
  <c r="F120" i="58"/>
  <c r="E144" i="58"/>
  <c r="A3" i="4" l="1"/>
  <c r="A2" i="4"/>
  <c r="E64" i="58"/>
  <c r="E86" i="58"/>
  <c r="E100" i="58"/>
  <c r="E84" i="58"/>
  <c r="E104" i="58"/>
  <c r="E103" i="58"/>
  <c r="E64" i="49" l="1"/>
  <c r="E63" i="49"/>
  <c r="E51" i="58"/>
  <c r="E49" i="58"/>
  <c r="E53" i="58"/>
  <c r="E120" i="58"/>
  <c r="E45" i="58"/>
  <c r="E99" i="10"/>
  <c r="E98" i="10"/>
  <c r="E97" i="10"/>
  <c r="E118" i="10"/>
  <c r="C99" i="10"/>
  <c r="C98" i="10"/>
  <c r="C97" i="10"/>
  <c r="F120" i="10"/>
  <c r="F119" i="10"/>
  <c r="F118" i="10"/>
  <c r="E120" i="10"/>
  <c r="E119" i="10"/>
  <c r="E98" i="18" l="1"/>
  <c r="E97" i="18"/>
  <c r="E94" i="18"/>
  <c r="E93" i="18"/>
  <c r="E86" i="18"/>
  <c r="E80" i="18"/>
  <c r="C80" i="18"/>
  <c r="E104" i="18"/>
  <c r="C104" i="18"/>
  <c r="J6" i="15"/>
  <c r="J7" i="15"/>
  <c r="D67" i="11" l="1"/>
  <c r="E67" i="11"/>
  <c r="F67" i="11"/>
  <c r="G67" i="11"/>
  <c r="H67" i="11"/>
  <c r="C67" i="11"/>
  <c r="C119" i="55"/>
  <c r="C14" i="49"/>
  <c r="E14" i="49"/>
  <c r="E67" i="49"/>
  <c r="E66" i="49"/>
  <c r="E65" i="49"/>
  <c r="E62" i="49"/>
  <c r="H14" i="19"/>
  <c r="G14" i="19"/>
  <c r="F14" i="19"/>
  <c r="D14" i="19"/>
  <c r="E14" i="19"/>
  <c r="C14" i="19"/>
  <c r="E74" i="19"/>
  <c r="E72" i="19"/>
  <c r="E73" i="19"/>
  <c r="H14" i="49" l="1"/>
  <c r="G14" i="49"/>
  <c r="F14" i="49"/>
  <c r="D14" i="49"/>
  <c r="E45" i="49"/>
  <c r="C71" i="58" l="1"/>
  <c r="D11" i="10"/>
  <c r="D21" i="10" s="1"/>
  <c r="G77" i="58"/>
  <c r="E77" i="58"/>
  <c r="AM31" i="61" l="1"/>
  <c r="AN31" i="61"/>
  <c r="AO31" i="61"/>
  <c r="AP31" i="61"/>
  <c r="AQ31" i="61"/>
  <c r="AL31" i="61"/>
  <c r="AM29" i="61"/>
  <c r="AN29" i="61"/>
  <c r="AO29" i="61"/>
  <c r="AP29" i="61"/>
  <c r="AQ29" i="61"/>
  <c r="AL29" i="61"/>
  <c r="R29" i="61" l="1"/>
  <c r="D34" i="11"/>
  <c r="E34" i="11"/>
  <c r="D22" i="30" s="1"/>
  <c r="F34" i="11"/>
  <c r="G34" i="11"/>
  <c r="H34" i="11"/>
  <c r="C34" i="11"/>
  <c r="D17" i="11"/>
  <c r="C17" i="11"/>
  <c r="D63" i="11"/>
  <c r="C23" i="30" s="1"/>
  <c r="AA23" i="30" s="1"/>
  <c r="E63" i="11"/>
  <c r="F63" i="11"/>
  <c r="G63" i="11"/>
  <c r="H63" i="11"/>
  <c r="C63" i="11"/>
  <c r="B23" i="30" s="1"/>
  <c r="AF23" i="30" s="1"/>
  <c r="C64" i="11" s="1"/>
  <c r="CZ31" i="61" s="1"/>
  <c r="CO31" i="61"/>
  <c r="BD29" i="61"/>
  <c r="O29" i="61"/>
  <c r="P29" i="61"/>
  <c r="Q29" i="61"/>
  <c r="S29" i="61"/>
  <c r="N29" i="61"/>
  <c r="D57" i="11"/>
  <c r="AG31" i="61" s="1"/>
  <c r="E57" i="11"/>
  <c r="AH31" i="61" s="1"/>
  <c r="F57" i="11"/>
  <c r="AI31" i="61" s="1"/>
  <c r="G57" i="11"/>
  <c r="AJ31" i="61" s="1"/>
  <c r="H57" i="11"/>
  <c r="AK31" i="61" s="1"/>
  <c r="E195" i="11"/>
  <c r="C57" i="11"/>
  <c r="AF31" i="61" s="1"/>
  <c r="C22" i="30"/>
  <c r="AA22" i="30" s="1"/>
  <c r="E22" i="30"/>
  <c r="AI22" i="30" s="1"/>
  <c r="F22" i="30"/>
  <c r="AJ22" i="30" s="1"/>
  <c r="G22" i="30"/>
  <c r="AK22" i="30" s="1"/>
  <c r="B22" i="30"/>
  <c r="Z22" i="30" s="1"/>
  <c r="H13" i="11"/>
  <c r="F13" i="11"/>
  <c r="G13" i="11" s="1"/>
  <c r="D30" i="11"/>
  <c r="BE29" i="61" s="1"/>
  <c r="E30" i="11"/>
  <c r="BF29" i="61" s="1"/>
  <c r="F30" i="11"/>
  <c r="BG29" i="61" s="1"/>
  <c r="G30" i="11"/>
  <c r="BH29" i="61" s="1"/>
  <c r="H30" i="11"/>
  <c r="BI29" i="61" s="1"/>
  <c r="C30" i="11"/>
  <c r="E32" i="11"/>
  <c r="C32" i="11"/>
  <c r="H32" i="11"/>
  <c r="G32" i="11"/>
  <c r="F32" i="11"/>
  <c r="D32" i="11"/>
  <c r="E200" i="11"/>
  <c r="E197" i="11"/>
  <c r="C194" i="11"/>
  <c r="E194" i="11"/>
  <c r="E199" i="11"/>
  <c r="E206" i="11"/>
  <c r="E207" i="11"/>
  <c r="E208" i="11"/>
  <c r="E213" i="11"/>
  <c r="E30" i="61"/>
  <c r="E29" i="61"/>
  <c r="E31" i="61"/>
  <c r="D23" i="30"/>
  <c r="AH23" i="30" s="1"/>
  <c r="E64" i="11" s="1"/>
  <c r="DB31" i="61" s="1"/>
  <c r="E23" i="30"/>
  <c r="AI23" i="30" s="1"/>
  <c r="F64" i="11" s="1"/>
  <c r="DC31" i="61" s="1"/>
  <c r="F23" i="30"/>
  <c r="AD23" i="30" s="1"/>
  <c r="G23" i="30"/>
  <c r="AK23" i="30" s="1"/>
  <c r="H64" i="11" s="1"/>
  <c r="DE31" i="61" s="1"/>
  <c r="E65" i="11"/>
  <c r="CP31" i="61" s="1"/>
  <c r="D65" i="11"/>
  <c r="C65" i="11"/>
  <c r="CN31" i="61" s="1"/>
  <c r="AG22" i="30" l="1"/>
  <c r="CS31" i="61"/>
  <c r="AF22" i="30"/>
  <c r="C35" i="11" s="1"/>
  <c r="CZ29" i="61" s="1"/>
  <c r="AE22" i="30"/>
  <c r="AH22" i="30"/>
  <c r="AB22" i="30"/>
  <c r="AD22" i="30"/>
  <c r="AC22" i="30"/>
  <c r="AE23" i="30"/>
  <c r="AC23" i="30"/>
  <c r="AB23" i="30"/>
  <c r="AG23" i="30"/>
  <c r="D64" i="11" s="1"/>
  <c r="DA31" i="61" s="1"/>
  <c r="Z23" i="30"/>
  <c r="AJ23" i="30"/>
  <c r="G64" i="11" s="1"/>
  <c r="DD31" i="61" s="1"/>
  <c r="H7" i="61"/>
  <c r="H4" i="61"/>
  <c r="E35" i="11" l="1"/>
  <c r="DB29" i="61" s="1"/>
  <c r="D35" i="11"/>
  <c r="DA29" i="61" s="1"/>
  <c r="F35" i="11"/>
  <c r="DC29" i="61" s="1"/>
  <c r="G35" i="11"/>
  <c r="DD29" i="61" s="1"/>
  <c r="H35" i="11"/>
  <c r="DE29" i="61" s="1"/>
  <c r="C87" i="11"/>
  <c r="D87" i="11"/>
  <c r="E87" i="11"/>
  <c r="G87" i="11"/>
  <c r="H87" i="11"/>
  <c r="F87" i="11"/>
  <c r="H86" i="11"/>
  <c r="G86" i="11"/>
  <c r="F86" i="11"/>
  <c r="E86" i="11"/>
  <c r="D86" i="11"/>
  <c r="C86" i="11"/>
  <c r="C48" i="11"/>
  <c r="I11" i="61" l="1"/>
  <c r="CY11" i="61"/>
  <c r="CY20" i="61"/>
  <c r="CY21" i="61"/>
  <c r="CY22" i="61"/>
  <c r="CY23" i="61"/>
  <c r="CY24" i="61"/>
  <c r="CY25" i="61"/>
  <c r="CY27" i="61"/>
  <c r="CY34" i="61"/>
  <c r="CY35" i="61"/>
  <c r="CY36" i="61"/>
  <c r="CY37" i="61"/>
  <c r="CY38" i="61"/>
  <c r="CY39" i="61"/>
  <c r="CY40" i="61"/>
  <c r="CY41" i="61"/>
  <c r="CY42" i="61"/>
  <c r="CY43" i="61"/>
  <c r="CY44" i="61"/>
  <c r="CY45" i="61"/>
  <c r="CY47" i="61"/>
  <c r="CY48" i="61"/>
  <c r="CY49" i="61"/>
  <c r="CS11" i="61"/>
  <c r="CS20" i="61"/>
  <c r="CS21" i="61"/>
  <c r="CS22" i="61"/>
  <c r="CS23" i="61"/>
  <c r="CS24" i="61"/>
  <c r="CS25" i="61"/>
  <c r="CS27" i="61"/>
  <c r="CS47" i="61"/>
  <c r="CS48" i="61"/>
  <c r="CS49" i="61"/>
  <c r="CV50" i="61"/>
  <c r="CU50" i="61"/>
  <c r="CY50" i="61" s="1"/>
  <c r="CT50" i="61"/>
  <c r="AK50" i="61"/>
  <c r="AJ50" i="61"/>
  <c r="AI50" i="61"/>
  <c r="AH50" i="61"/>
  <c r="AG50" i="61"/>
  <c r="AF50" i="61"/>
  <c r="E50" i="61"/>
  <c r="BI49" i="61"/>
  <c r="BH49" i="61"/>
  <c r="BG49" i="61"/>
  <c r="BF49" i="61"/>
  <c r="BE49" i="61"/>
  <c r="BD49" i="61"/>
  <c r="E49" i="61"/>
  <c r="BI48" i="61"/>
  <c r="BH48" i="61"/>
  <c r="BG48" i="61"/>
  <c r="BF48" i="61"/>
  <c r="BE48" i="61"/>
  <c r="BD48" i="61"/>
  <c r="E48" i="61"/>
  <c r="E47" i="61"/>
  <c r="CP46" i="61"/>
  <c r="CO46" i="61"/>
  <c r="CS46" i="61" s="1"/>
  <c r="CN46" i="61"/>
  <c r="E46" i="61"/>
  <c r="CA45" i="61"/>
  <c r="BZ45" i="61"/>
  <c r="BY45" i="61"/>
  <c r="BX45" i="61"/>
  <c r="BW45" i="61"/>
  <c r="BV45" i="61"/>
  <c r="BU45" i="61"/>
  <c r="BT45" i="61"/>
  <c r="BS45" i="61"/>
  <c r="BR45" i="61"/>
  <c r="BQ45" i="61"/>
  <c r="BP45" i="61"/>
  <c r="BO45" i="61"/>
  <c r="BN45" i="61"/>
  <c r="BM45" i="61"/>
  <c r="BL45" i="61"/>
  <c r="BK45" i="61"/>
  <c r="BJ45" i="61"/>
  <c r="E45" i="61"/>
  <c r="C45" i="61"/>
  <c r="B45" i="61"/>
  <c r="CA44" i="61"/>
  <c r="BZ44" i="61"/>
  <c r="BY44" i="61"/>
  <c r="BX44" i="61"/>
  <c r="BW44" i="61"/>
  <c r="BV44" i="61"/>
  <c r="BU44" i="61"/>
  <c r="BT44" i="61"/>
  <c r="BS44" i="61"/>
  <c r="BR44" i="61"/>
  <c r="BQ44" i="61"/>
  <c r="BP44" i="61"/>
  <c r="BO44" i="61"/>
  <c r="BN44" i="61"/>
  <c r="BM44" i="61"/>
  <c r="BL44" i="61"/>
  <c r="BK44" i="61"/>
  <c r="BJ44" i="61"/>
  <c r="E44" i="61"/>
  <c r="C44" i="61"/>
  <c r="B44" i="61"/>
  <c r="CA43" i="61"/>
  <c r="BZ43" i="61"/>
  <c r="BY43" i="61"/>
  <c r="BX43" i="61"/>
  <c r="BW43" i="61"/>
  <c r="BV43" i="61"/>
  <c r="BU43" i="61"/>
  <c r="BT43" i="61"/>
  <c r="BS43" i="61"/>
  <c r="BR43" i="61"/>
  <c r="BQ43" i="61"/>
  <c r="BP43" i="61"/>
  <c r="BO43" i="61"/>
  <c r="BN43" i="61"/>
  <c r="BM43" i="61"/>
  <c r="BL43" i="61"/>
  <c r="BK43" i="61"/>
  <c r="BJ43" i="61"/>
  <c r="E43" i="61"/>
  <c r="C43" i="61"/>
  <c r="B43" i="61"/>
  <c r="CA42" i="61"/>
  <c r="BZ42" i="61"/>
  <c r="BY42" i="61"/>
  <c r="BX42" i="61"/>
  <c r="BW42" i="61"/>
  <c r="BV42" i="61"/>
  <c r="BU42" i="61"/>
  <c r="BT42" i="61"/>
  <c r="BS42" i="61"/>
  <c r="BR42" i="61"/>
  <c r="BQ42" i="61"/>
  <c r="BP42" i="61"/>
  <c r="BO42" i="61"/>
  <c r="BN42" i="61"/>
  <c r="BM42" i="61"/>
  <c r="BL42" i="61"/>
  <c r="BK42" i="61"/>
  <c r="BJ42" i="61"/>
  <c r="E42" i="61"/>
  <c r="C42" i="61"/>
  <c r="B42" i="61"/>
  <c r="CA41" i="61"/>
  <c r="BZ41" i="61"/>
  <c r="BY41" i="61"/>
  <c r="BX41" i="61"/>
  <c r="BW41" i="61"/>
  <c r="BV41" i="61"/>
  <c r="BU41" i="61"/>
  <c r="BT41" i="61"/>
  <c r="BS41" i="61"/>
  <c r="BR41" i="61"/>
  <c r="BQ41" i="61"/>
  <c r="BP41" i="61"/>
  <c r="BO41" i="61"/>
  <c r="BN41" i="61"/>
  <c r="BM41" i="61"/>
  <c r="BL41" i="61"/>
  <c r="BK41" i="61"/>
  <c r="BJ41" i="61"/>
  <c r="E41" i="61"/>
  <c r="C41" i="61"/>
  <c r="B41" i="61"/>
  <c r="CA40" i="61"/>
  <c r="BZ40" i="61"/>
  <c r="BY40" i="61"/>
  <c r="BX40" i="61"/>
  <c r="BW40" i="61"/>
  <c r="BV40" i="61"/>
  <c r="BU40" i="61"/>
  <c r="BT40" i="61"/>
  <c r="BS40" i="61"/>
  <c r="BR40" i="61"/>
  <c r="BQ40" i="61"/>
  <c r="BP40" i="61"/>
  <c r="BO40" i="61"/>
  <c r="BN40" i="61"/>
  <c r="BM40" i="61"/>
  <c r="BL40" i="61"/>
  <c r="BK40" i="61"/>
  <c r="BJ40" i="61"/>
  <c r="E40" i="61"/>
  <c r="C40" i="61"/>
  <c r="B40" i="61"/>
  <c r="CA39" i="61"/>
  <c r="BZ39" i="61"/>
  <c r="BY39" i="61"/>
  <c r="BX39" i="61"/>
  <c r="BW39" i="61"/>
  <c r="BV39" i="61"/>
  <c r="BU39" i="61"/>
  <c r="BT39" i="61"/>
  <c r="BS39" i="61"/>
  <c r="BR39" i="61"/>
  <c r="BQ39" i="61"/>
  <c r="BP39" i="61"/>
  <c r="BO39" i="61"/>
  <c r="BN39" i="61"/>
  <c r="BM39" i="61"/>
  <c r="BL39" i="61"/>
  <c r="BK39" i="61"/>
  <c r="BJ39" i="61"/>
  <c r="E39" i="61"/>
  <c r="C39" i="61"/>
  <c r="B39" i="61"/>
  <c r="CA38" i="61"/>
  <c r="BZ38" i="61"/>
  <c r="BY38" i="61"/>
  <c r="BX38" i="61"/>
  <c r="BW38" i="61"/>
  <c r="BV38" i="61"/>
  <c r="BU38" i="61"/>
  <c r="BT38" i="61"/>
  <c r="BS38" i="61"/>
  <c r="BR38" i="61"/>
  <c r="BQ38" i="61"/>
  <c r="BP38" i="61"/>
  <c r="BO38" i="61"/>
  <c r="BN38" i="61"/>
  <c r="BM38" i="61"/>
  <c r="BL38" i="61"/>
  <c r="BK38" i="61"/>
  <c r="BJ38" i="61"/>
  <c r="E38" i="61"/>
  <c r="C38" i="61"/>
  <c r="B38" i="61"/>
  <c r="CA37" i="61"/>
  <c r="BZ37" i="61"/>
  <c r="BY37" i="61"/>
  <c r="BX37" i="61"/>
  <c r="BW37" i="61"/>
  <c r="BV37" i="61"/>
  <c r="BU37" i="61"/>
  <c r="BT37" i="61"/>
  <c r="BS37" i="61"/>
  <c r="BR37" i="61"/>
  <c r="BQ37" i="61"/>
  <c r="BP37" i="61"/>
  <c r="BO37" i="61"/>
  <c r="BN37" i="61"/>
  <c r="BM37" i="61"/>
  <c r="BL37" i="61"/>
  <c r="BK37" i="61"/>
  <c r="BJ37" i="61"/>
  <c r="E37" i="61"/>
  <c r="C37" i="61"/>
  <c r="B37" i="61"/>
  <c r="CA36" i="61"/>
  <c r="BZ36" i="61"/>
  <c r="BY36" i="61"/>
  <c r="BX36" i="61"/>
  <c r="BW36" i="61"/>
  <c r="BV36" i="61"/>
  <c r="BU36" i="61"/>
  <c r="BT36" i="61"/>
  <c r="BS36" i="61"/>
  <c r="BR36" i="61"/>
  <c r="BQ36" i="61"/>
  <c r="BP36" i="61"/>
  <c r="BO36" i="61"/>
  <c r="BN36" i="61"/>
  <c r="BM36" i="61"/>
  <c r="BL36" i="61"/>
  <c r="BK36" i="61"/>
  <c r="BJ36" i="61"/>
  <c r="E36" i="61"/>
  <c r="C36" i="61"/>
  <c r="B36" i="61"/>
  <c r="CA35" i="61"/>
  <c r="BZ35" i="61"/>
  <c r="BY35" i="61"/>
  <c r="BX35" i="61"/>
  <c r="BW35" i="61"/>
  <c r="BV35" i="61"/>
  <c r="BU35" i="61"/>
  <c r="BT35" i="61"/>
  <c r="BS35" i="61"/>
  <c r="BR35" i="61"/>
  <c r="BQ35" i="61"/>
  <c r="BP35" i="61"/>
  <c r="BO35" i="61"/>
  <c r="BN35" i="61"/>
  <c r="BM35" i="61"/>
  <c r="BL35" i="61"/>
  <c r="BK35" i="61"/>
  <c r="BJ35" i="61"/>
  <c r="E35" i="61"/>
  <c r="C35" i="61"/>
  <c r="B35" i="61"/>
  <c r="CA34" i="61"/>
  <c r="BZ34" i="61"/>
  <c r="BY34" i="61"/>
  <c r="BX34" i="61"/>
  <c r="BW34" i="61"/>
  <c r="BV34" i="61"/>
  <c r="BU34" i="61"/>
  <c r="BT34" i="61"/>
  <c r="BS34" i="61"/>
  <c r="BR34" i="61"/>
  <c r="BQ34" i="61"/>
  <c r="BP34" i="61"/>
  <c r="BO34" i="61"/>
  <c r="BN34" i="61"/>
  <c r="BM34" i="61"/>
  <c r="BL34" i="61"/>
  <c r="BK34" i="61"/>
  <c r="BJ34" i="61"/>
  <c r="E34" i="61"/>
  <c r="C34" i="61"/>
  <c r="B34" i="61"/>
  <c r="CV33" i="61"/>
  <c r="CU33" i="61"/>
  <c r="CY33" i="61" s="1"/>
  <c r="CT33" i="61"/>
  <c r="CA33" i="61"/>
  <c r="BZ33" i="61"/>
  <c r="BY33" i="61"/>
  <c r="BX33" i="61"/>
  <c r="BW33" i="61"/>
  <c r="BV33" i="61"/>
  <c r="E33" i="61"/>
  <c r="CV32" i="61"/>
  <c r="CU32" i="61"/>
  <c r="CY32" i="61" s="1"/>
  <c r="CT32" i="61"/>
  <c r="CA32" i="61"/>
  <c r="BZ32" i="61"/>
  <c r="BY32" i="61"/>
  <c r="BX32" i="61"/>
  <c r="BW32" i="61"/>
  <c r="BV32" i="61"/>
  <c r="E32" i="61"/>
  <c r="C32" i="61"/>
  <c r="CV28" i="61"/>
  <c r="CU28" i="61"/>
  <c r="CY28" i="61" s="1"/>
  <c r="CT28" i="61"/>
  <c r="CA28" i="61"/>
  <c r="BZ28" i="61"/>
  <c r="BY28" i="61"/>
  <c r="BX28" i="61"/>
  <c r="BW28" i="61"/>
  <c r="BV28" i="61"/>
  <c r="BI28" i="61"/>
  <c r="BH28" i="61"/>
  <c r="BG28" i="61"/>
  <c r="BF28" i="61"/>
  <c r="BE28" i="61"/>
  <c r="BD28" i="61"/>
  <c r="AQ28" i="61"/>
  <c r="AP28" i="61"/>
  <c r="AO28" i="61"/>
  <c r="AN28" i="61"/>
  <c r="AM28" i="61"/>
  <c r="AL28" i="61"/>
  <c r="E28" i="61"/>
  <c r="C28" i="61"/>
  <c r="E27" i="61"/>
  <c r="C27" i="61"/>
  <c r="CV26" i="61"/>
  <c r="CU26" i="61"/>
  <c r="CY26" i="61" s="1"/>
  <c r="CT26" i="61"/>
  <c r="CP26" i="61"/>
  <c r="CO26" i="61"/>
  <c r="CS26" i="61" s="1"/>
  <c r="CN26" i="61"/>
  <c r="CA26" i="61"/>
  <c r="BZ26" i="61"/>
  <c r="BY26" i="61"/>
  <c r="BX26" i="61"/>
  <c r="BW26" i="61"/>
  <c r="BV26" i="61"/>
  <c r="BC26" i="61"/>
  <c r="BB26" i="61"/>
  <c r="BA26" i="61"/>
  <c r="AZ26" i="61"/>
  <c r="AY26" i="61"/>
  <c r="AX26" i="61"/>
  <c r="AW26" i="61"/>
  <c r="AV26" i="61"/>
  <c r="AU26" i="61"/>
  <c r="AT26" i="61"/>
  <c r="AS26" i="61"/>
  <c r="AR26" i="61"/>
  <c r="AQ26" i="61"/>
  <c r="AP26" i="61"/>
  <c r="AO26" i="61"/>
  <c r="AN26" i="61"/>
  <c r="AM26" i="61"/>
  <c r="AL26" i="61"/>
  <c r="AK26" i="61"/>
  <c r="AJ26" i="61"/>
  <c r="AI26" i="61"/>
  <c r="AH26" i="61"/>
  <c r="AG26" i="61"/>
  <c r="AF26" i="61"/>
  <c r="E26" i="61"/>
  <c r="C26" i="61"/>
  <c r="J25" i="61"/>
  <c r="E25" i="61"/>
  <c r="E24" i="61"/>
  <c r="E23" i="61"/>
  <c r="E22" i="61"/>
  <c r="C22" i="61"/>
  <c r="BU21" i="61"/>
  <c r="BT21" i="61"/>
  <c r="BS21" i="61"/>
  <c r="BO21" i="61"/>
  <c r="BN21" i="61"/>
  <c r="BM21" i="61"/>
  <c r="E21" i="61"/>
  <c r="C21" i="61"/>
  <c r="BU20" i="61"/>
  <c r="BT20" i="61"/>
  <c r="BS20" i="61"/>
  <c r="BO20" i="61"/>
  <c r="BN20" i="61"/>
  <c r="BM20" i="61"/>
  <c r="E20" i="61"/>
  <c r="C20" i="61"/>
  <c r="CV19" i="61"/>
  <c r="CU19" i="61"/>
  <c r="CY19" i="61" s="1"/>
  <c r="CT19" i="61"/>
  <c r="CG19" i="61"/>
  <c r="CF19" i="61"/>
  <c r="CE19" i="61"/>
  <c r="CD19" i="61"/>
  <c r="CC19" i="61"/>
  <c r="CB19" i="61"/>
  <c r="CA19" i="61"/>
  <c r="BZ19" i="61"/>
  <c r="BY19" i="61"/>
  <c r="BX19" i="61"/>
  <c r="BW19" i="61"/>
  <c r="BV19" i="61"/>
  <c r="BE19" i="61"/>
  <c r="BC19" i="61"/>
  <c r="BB19" i="61"/>
  <c r="BA19" i="61"/>
  <c r="AZ19" i="61"/>
  <c r="AY19" i="61"/>
  <c r="AX19" i="61"/>
  <c r="AW19" i="61"/>
  <c r="AV19" i="61"/>
  <c r="AU19" i="61"/>
  <c r="AT19" i="61"/>
  <c r="AS19" i="61"/>
  <c r="AR19" i="61"/>
  <c r="AQ19" i="61"/>
  <c r="AP19" i="61"/>
  <c r="AO19" i="61"/>
  <c r="AN19" i="61"/>
  <c r="AM19" i="61"/>
  <c r="AL19" i="61"/>
  <c r="AK19" i="61"/>
  <c r="AJ19" i="61"/>
  <c r="AI19" i="61"/>
  <c r="AH19" i="61"/>
  <c r="AG19" i="61"/>
  <c r="AF19" i="61"/>
  <c r="AE19" i="61"/>
  <c r="AD19" i="61"/>
  <c r="AC19" i="61"/>
  <c r="AB19" i="61"/>
  <c r="AA19" i="61"/>
  <c r="Z19" i="61"/>
  <c r="J19" i="61"/>
  <c r="E19" i="61"/>
  <c r="CV18" i="61"/>
  <c r="CU18" i="61"/>
  <c r="CY18" i="61" s="1"/>
  <c r="CT18" i="61"/>
  <c r="CA18" i="61"/>
  <c r="BZ18" i="61"/>
  <c r="BY18" i="61"/>
  <c r="BX18" i="61"/>
  <c r="BW18" i="61"/>
  <c r="BV18" i="61"/>
  <c r="BE18" i="61"/>
  <c r="BC18" i="61"/>
  <c r="BB18" i="61"/>
  <c r="BA18" i="61"/>
  <c r="AZ18" i="61"/>
  <c r="AY18" i="61"/>
  <c r="AX18" i="61"/>
  <c r="AW18" i="61"/>
  <c r="AV18" i="61"/>
  <c r="AU18" i="61"/>
  <c r="AT18" i="61"/>
  <c r="AS18" i="61"/>
  <c r="AR18" i="61"/>
  <c r="AQ18" i="61"/>
  <c r="AP18" i="61"/>
  <c r="AO18" i="61"/>
  <c r="AN18" i="61"/>
  <c r="AM18" i="61"/>
  <c r="AL18" i="61"/>
  <c r="AK18" i="61"/>
  <c r="AJ18" i="61"/>
  <c r="AI18" i="61"/>
  <c r="AH18" i="61"/>
  <c r="AG18" i="61"/>
  <c r="AF18" i="61"/>
  <c r="J18" i="61"/>
  <c r="E18" i="61"/>
  <c r="CV17" i="61"/>
  <c r="CU17" i="61"/>
  <c r="CY17" i="61" s="1"/>
  <c r="CT17" i="61"/>
  <c r="CP17" i="61"/>
  <c r="CO17" i="61"/>
  <c r="CS17" i="61" s="1"/>
  <c r="CN17" i="61"/>
  <c r="BU17" i="61"/>
  <c r="BT17" i="61"/>
  <c r="BS17" i="61"/>
  <c r="BR17" i="61"/>
  <c r="BQ17" i="61"/>
  <c r="BP17" i="61"/>
  <c r="AK17" i="61"/>
  <c r="AJ17" i="61"/>
  <c r="AI17" i="61"/>
  <c r="AH17" i="61"/>
  <c r="AG17" i="61"/>
  <c r="AF17" i="61"/>
  <c r="E17" i="61"/>
  <c r="C17" i="61"/>
  <c r="CV16" i="61"/>
  <c r="CU16" i="61"/>
  <c r="CT16" i="61"/>
  <c r="CG16" i="61"/>
  <c r="CF16" i="61"/>
  <c r="CE16" i="61"/>
  <c r="CD16" i="61"/>
  <c r="CC16" i="61"/>
  <c r="CB16" i="61"/>
  <c r="CA16" i="61"/>
  <c r="BZ16" i="61"/>
  <c r="BY16" i="61"/>
  <c r="BX16" i="61"/>
  <c r="BW16" i="61"/>
  <c r="BV16" i="61"/>
  <c r="BC16" i="61"/>
  <c r="BB16" i="61"/>
  <c r="BA16" i="61"/>
  <c r="AW16" i="61"/>
  <c r="AV16" i="61"/>
  <c r="AU16" i="61"/>
  <c r="AQ16" i="61"/>
  <c r="AP16" i="61"/>
  <c r="AO16" i="61"/>
  <c r="AN16" i="61"/>
  <c r="AM16" i="61"/>
  <c r="AL16" i="61"/>
  <c r="J16" i="61"/>
  <c r="I16" i="61"/>
  <c r="E16" i="61"/>
  <c r="CV15" i="61"/>
  <c r="CU15" i="61"/>
  <c r="CY15" i="61" s="1"/>
  <c r="CT15" i="61"/>
  <c r="CG15" i="61"/>
  <c r="CF15" i="61"/>
  <c r="CE15" i="61"/>
  <c r="CD15" i="61"/>
  <c r="CC15" i="61"/>
  <c r="CB15" i="61"/>
  <c r="CA15" i="61"/>
  <c r="BZ15" i="61"/>
  <c r="BY15" i="61"/>
  <c r="BX15" i="61"/>
  <c r="BW15" i="61"/>
  <c r="BV15" i="61"/>
  <c r="BC15" i="61"/>
  <c r="BB15" i="61"/>
  <c r="BA15" i="61"/>
  <c r="AW15" i="61"/>
  <c r="AV15" i="61"/>
  <c r="AU15" i="61"/>
  <c r="AQ15" i="61"/>
  <c r="AP15" i="61"/>
  <c r="AO15" i="61"/>
  <c r="AN15" i="61"/>
  <c r="AM15" i="61"/>
  <c r="AL15" i="61"/>
  <c r="M15" i="61"/>
  <c r="J15" i="61"/>
  <c r="I15" i="61"/>
  <c r="E15" i="61"/>
  <c r="CV14" i="61"/>
  <c r="CU14" i="61"/>
  <c r="CY14" i="61" s="1"/>
  <c r="CT14" i="61"/>
  <c r="CG14" i="61"/>
  <c r="CF14" i="61"/>
  <c r="CE14" i="61"/>
  <c r="CD14" i="61"/>
  <c r="CC14" i="61"/>
  <c r="CB14" i="61"/>
  <c r="CA14" i="61"/>
  <c r="BZ14" i="61"/>
  <c r="BY14" i="61"/>
  <c r="BX14" i="61"/>
  <c r="BW14" i="61"/>
  <c r="BV14" i="61"/>
  <c r="BC14" i="61"/>
  <c r="BB14" i="61"/>
  <c r="BA14" i="61"/>
  <c r="AZ14" i="61"/>
  <c r="AY14" i="61"/>
  <c r="AX14" i="61"/>
  <c r="AW14" i="61"/>
  <c r="AV14" i="61"/>
  <c r="AU14" i="61"/>
  <c r="AT14" i="61"/>
  <c r="AS14" i="61"/>
  <c r="AR14" i="61"/>
  <c r="AQ14" i="61"/>
  <c r="AP14" i="61"/>
  <c r="AO14" i="61"/>
  <c r="AN14" i="61"/>
  <c r="AM14" i="61"/>
  <c r="AL14" i="61"/>
  <c r="J14" i="61"/>
  <c r="I14" i="61"/>
  <c r="E14" i="61"/>
  <c r="CV13" i="61"/>
  <c r="CU13" i="61"/>
  <c r="CY13" i="61" s="1"/>
  <c r="CT13" i="61"/>
  <c r="CG13" i="61"/>
  <c r="CF13" i="61"/>
  <c r="CE13" i="61"/>
  <c r="CD13" i="61"/>
  <c r="CC13" i="61"/>
  <c r="CB13" i="61"/>
  <c r="CA13" i="61"/>
  <c r="BZ13" i="61"/>
  <c r="BY13" i="61"/>
  <c r="BX13" i="61"/>
  <c r="BW13" i="61"/>
  <c r="BV13" i="61"/>
  <c r="BC13" i="61"/>
  <c r="BB13" i="61"/>
  <c r="BA13" i="61"/>
  <c r="AZ13" i="61"/>
  <c r="AY13" i="61"/>
  <c r="AX13" i="61"/>
  <c r="AW13" i="61"/>
  <c r="AV13" i="61"/>
  <c r="AU13" i="61"/>
  <c r="AT13" i="61"/>
  <c r="AS13" i="61"/>
  <c r="AR13" i="61"/>
  <c r="AQ13" i="61"/>
  <c r="AP13" i="61"/>
  <c r="AO13" i="61"/>
  <c r="AN13" i="61"/>
  <c r="AM13" i="61"/>
  <c r="AL13" i="61"/>
  <c r="J13" i="61"/>
  <c r="I13" i="61"/>
  <c r="E13" i="61"/>
  <c r="CV12" i="61"/>
  <c r="CU12" i="61"/>
  <c r="CY12" i="61" s="1"/>
  <c r="CT12" i="61"/>
  <c r="CA12" i="61"/>
  <c r="BZ12" i="61"/>
  <c r="BY12" i="61"/>
  <c r="BX12" i="61"/>
  <c r="BW12" i="61"/>
  <c r="BV12" i="61"/>
  <c r="BU12" i="61"/>
  <c r="BT12" i="61"/>
  <c r="BS12" i="61"/>
  <c r="BR12" i="61"/>
  <c r="BQ12" i="61"/>
  <c r="BP12" i="61"/>
  <c r="BO12" i="61"/>
  <c r="BN12" i="61"/>
  <c r="BM12" i="61"/>
  <c r="BL12" i="61"/>
  <c r="BK12" i="61"/>
  <c r="BJ12" i="61"/>
  <c r="BI12" i="61"/>
  <c r="BH12" i="61"/>
  <c r="BG12" i="61"/>
  <c r="BF12" i="61"/>
  <c r="BE12" i="61"/>
  <c r="BD12" i="61"/>
  <c r="BC12" i="61"/>
  <c r="BB12" i="61"/>
  <c r="BA12" i="61"/>
  <c r="AZ12" i="61"/>
  <c r="AY12" i="61"/>
  <c r="AX12" i="61"/>
  <c r="AW12" i="61"/>
  <c r="AV12" i="61"/>
  <c r="AU12" i="61"/>
  <c r="AT12" i="61"/>
  <c r="AS12" i="61"/>
  <c r="AR12" i="61"/>
  <c r="AQ12" i="61"/>
  <c r="AP12" i="61"/>
  <c r="AO12" i="61"/>
  <c r="AN12" i="61"/>
  <c r="AM12" i="61"/>
  <c r="AL12" i="61"/>
  <c r="AK12" i="61"/>
  <c r="AJ12" i="61"/>
  <c r="AI12" i="61"/>
  <c r="AH12" i="61"/>
  <c r="AG12" i="61"/>
  <c r="AF12" i="61"/>
  <c r="J12" i="61"/>
  <c r="E12" i="61"/>
  <c r="C12" i="61"/>
  <c r="J11" i="61"/>
  <c r="E11" i="61"/>
  <c r="CV10" i="61"/>
  <c r="CU10" i="61"/>
  <c r="CY10" i="61" s="1"/>
  <c r="CT10" i="61"/>
  <c r="CG10" i="61"/>
  <c r="CF10" i="61"/>
  <c r="CE10" i="61"/>
  <c r="CD10" i="61"/>
  <c r="CC10" i="61"/>
  <c r="CB10" i="61"/>
  <c r="BC10" i="61"/>
  <c r="BB10" i="61"/>
  <c r="BA10" i="61"/>
  <c r="AZ10" i="61"/>
  <c r="AY10" i="61"/>
  <c r="AX10" i="61"/>
  <c r="AW10" i="61"/>
  <c r="AV10" i="61"/>
  <c r="AU10" i="61"/>
  <c r="AT10" i="61"/>
  <c r="AS10" i="61"/>
  <c r="AR10" i="61"/>
  <c r="AQ10" i="61"/>
  <c r="AP10" i="61"/>
  <c r="AO10" i="61"/>
  <c r="AN10" i="61"/>
  <c r="AM10" i="61"/>
  <c r="AL10" i="61"/>
  <c r="AK10" i="61"/>
  <c r="AJ10" i="61"/>
  <c r="AI10" i="61"/>
  <c r="AH10" i="61"/>
  <c r="AG10" i="61"/>
  <c r="AF10" i="61"/>
  <c r="M10" i="61"/>
  <c r="M11" i="61" s="1"/>
  <c r="J10" i="61"/>
  <c r="I10" i="61"/>
  <c r="E10" i="61"/>
  <c r="CP9" i="61"/>
  <c r="CO9" i="61"/>
  <c r="CS9" i="61" s="1"/>
  <c r="CN9" i="61"/>
  <c r="CM9" i="61"/>
  <c r="CL9" i="61"/>
  <c r="CK9" i="61"/>
  <c r="CJ9" i="61"/>
  <c r="CI9" i="61"/>
  <c r="CH9" i="61"/>
  <c r="CG9" i="61"/>
  <c r="CF9" i="61"/>
  <c r="CE9" i="61"/>
  <c r="CD9" i="61"/>
  <c r="CC9" i="61"/>
  <c r="CB9" i="61"/>
  <c r="BF9" i="61"/>
  <c r="BD9" i="61"/>
  <c r="BC9" i="61"/>
  <c r="BB9" i="61"/>
  <c r="BA9" i="61"/>
  <c r="AZ9" i="61"/>
  <c r="AY9" i="61"/>
  <c r="AX9" i="61"/>
  <c r="AW9" i="61"/>
  <c r="AV9" i="61"/>
  <c r="AU9" i="61"/>
  <c r="AT9" i="61"/>
  <c r="AS9" i="61"/>
  <c r="AR9" i="61"/>
  <c r="AQ9" i="61"/>
  <c r="AP9" i="61"/>
  <c r="AO9" i="61"/>
  <c r="AN9" i="61"/>
  <c r="AM9" i="61"/>
  <c r="AL9" i="61"/>
  <c r="AK9" i="61"/>
  <c r="AJ9" i="61"/>
  <c r="AI9" i="61"/>
  <c r="AH9" i="61"/>
  <c r="AG9" i="61"/>
  <c r="AF9" i="61"/>
  <c r="J9" i="61"/>
  <c r="E9" i="61"/>
  <c r="C9" i="61"/>
  <c r="CP8" i="61"/>
  <c r="CO8" i="61"/>
  <c r="CS8" i="61" s="1"/>
  <c r="CN8" i="61"/>
  <c r="CM8" i="61"/>
  <c r="CL8" i="61"/>
  <c r="CK8" i="61"/>
  <c r="CJ8" i="61"/>
  <c r="CI8" i="61"/>
  <c r="CH8" i="61"/>
  <c r="CG8" i="61"/>
  <c r="CF8" i="61"/>
  <c r="CE8" i="61"/>
  <c r="CD8" i="61"/>
  <c r="CC8" i="61"/>
  <c r="CB8" i="61"/>
  <c r="CA8" i="61"/>
  <c r="BZ8" i="61"/>
  <c r="BY8" i="61"/>
  <c r="BX8" i="61"/>
  <c r="BW8" i="61"/>
  <c r="BV8" i="61"/>
  <c r="BD8" i="61"/>
  <c r="BC8" i="61"/>
  <c r="BB8" i="61"/>
  <c r="BA8" i="61"/>
  <c r="AZ8" i="61"/>
  <c r="AY8" i="61"/>
  <c r="AX8" i="61"/>
  <c r="AW8" i="61"/>
  <c r="AV8" i="61"/>
  <c r="AU8" i="61"/>
  <c r="AT8" i="61"/>
  <c r="AS8" i="61"/>
  <c r="AR8" i="61"/>
  <c r="AQ8" i="61"/>
  <c r="AP8" i="61"/>
  <c r="AO8" i="61"/>
  <c r="AN8" i="61"/>
  <c r="AM8" i="61"/>
  <c r="AL8" i="61"/>
  <c r="AK8" i="61"/>
  <c r="AJ8" i="61"/>
  <c r="AI8" i="61"/>
  <c r="AH8" i="61"/>
  <c r="AG8" i="61"/>
  <c r="AF8" i="61"/>
  <c r="J8" i="61"/>
  <c r="E8" i="61"/>
  <c r="C8" i="61"/>
  <c r="DE7" i="61"/>
  <c r="DD7" i="61"/>
  <c r="DC7" i="61"/>
  <c r="DB7" i="61"/>
  <c r="DA7" i="61"/>
  <c r="CZ7" i="61"/>
  <c r="CY7" i="61"/>
  <c r="CX7" i="61"/>
  <c r="CW7" i="61"/>
  <c r="CV7" i="61"/>
  <c r="CU7" i="61"/>
  <c r="CT7" i="61"/>
  <c r="CS7" i="61"/>
  <c r="CR7" i="61"/>
  <c r="CQ7" i="61"/>
  <c r="CP7" i="61"/>
  <c r="CO7" i="61"/>
  <c r="CN7" i="61"/>
  <c r="CM7" i="61"/>
  <c r="CL7" i="61"/>
  <c r="CK7" i="61"/>
  <c r="CJ7" i="61"/>
  <c r="CI7" i="61"/>
  <c r="CH7" i="61"/>
  <c r="CG7" i="61"/>
  <c r="CF7" i="61"/>
  <c r="CE7" i="61"/>
  <c r="CD7" i="61"/>
  <c r="CC7" i="61"/>
  <c r="CB7" i="61"/>
  <c r="CA7" i="61"/>
  <c r="BZ7" i="61"/>
  <c r="BY7" i="61"/>
  <c r="BX7" i="61"/>
  <c r="BW7" i="61"/>
  <c r="BV7" i="61"/>
  <c r="BU7" i="61"/>
  <c r="BT7" i="61"/>
  <c r="BS7" i="61"/>
  <c r="BR7" i="61"/>
  <c r="BQ7" i="61"/>
  <c r="BP7" i="61"/>
  <c r="BO7" i="61"/>
  <c r="BN7" i="61"/>
  <c r="BM7" i="61"/>
  <c r="BL7" i="61"/>
  <c r="BK7" i="61"/>
  <c r="BJ7" i="61"/>
  <c r="BI7" i="61"/>
  <c r="BH7" i="61"/>
  <c r="BG7" i="61"/>
  <c r="BF7" i="61"/>
  <c r="BE7" i="61"/>
  <c r="BD7" i="61"/>
  <c r="BC7" i="61"/>
  <c r="BB7" i="61"/>
  <c r="BA7" i="61"/>
  <c r="AZ7" i="61"/>
  <c r="AY7" i="61"/>
  <c r="AX7" i="61"/>
  <c r="AW7" i="61"/>
  <c r="AV7" i="61"/>
  <c r="AU7" i="61"/>
  <c r="AT7" i="61"/>
  <c r="AS7" i="61"/>
  <c r="AR7" i="61"/>
  <c r="AQ7" i="61"/>
  <c r="AP7" i="61"/>
  <c r="AO7" i="61"/>
  <c r="AN7" i="61"/>
  <c r="AM7" i="61"/>
  <c r="AL7" i="61"/>
  <c r="AK7" i="61"/>
  <c r="AJ7" i="61"/>
  <c r="AI7" i="61"/>
  <c r="AH7" i="61"/>
  <c r="AG7" i="61"/>
  <c r="AF7" i="61"/>
  <c r="AE7" i="61"/>
  <c r="AD7" i="61"/>
  <c r="AC7" i="61"/>
  <c r="AB7" i="61"/>
  <c r="AA7" i="61"/>
  <c r="Z7" i="61"/>
  <c r="Y7" i="61"/>
  <c r="X7" i="61"/>
  <c r="W7" i="61"/>
  <c r="V7" i="61"/>
  <c r="U7" i="61"/>
  <c r="T7" i="61"/>
  <c r="S7" i="61"/>
  <c r="R7" i="61"/>
  <c r="Q7" i="61"/>
  <c r="P7" i="61"/>
  <c r="O7" i="61"/>
  <c r="N7" i="61"/>
  <c r="M7" i="61"/>
  <c r="L7" i="61"/>
  <c r="K7" i="61"/>
  <c r="J7" i="61"/>
  <c r="I7" i="61"/>
  <c r="G7" i="61"/>
  <c r="F7" i="61"/>
  <c r="DB6" i="61"/>
  <c r="CZ6" i="61"/>
  <c r="CV6" i="61"/>
  <c r="CT6" i="61"/>
  <c r="CP6" i="61"/>
  <c r="CN6" i="61"/>
  <c r="CJ6" i="61"/>
  <c r="CH6" i="61"/>
  <c r="CD6" i="61"/>
  <c r="CB6" i="61"/>
  <c r="BX6" i="61"/>
  <c r="BV6" i="61"/>
  <c r="BR6" i="61"/>
  <c r="BP6" i="61"/>
  <c r="BL6" i="61"/>
  <c r="BJ6" i="61"/>
  <c r="BF6" i="61"/>
  <c r="BD6" i="61"/>
  <c r="AZ6" i="61"/>
  <c r="AX6" i="61"/>
  <c r="AT6" i="61"/>
  <c r="AR6" i="61"/>
  <c r="AN6" i="61"/>
  <c r="AL6" i="61"/>
  <c r="AH6" i="61"/>
  <c r="AF6" i="61"/>
  <c r="AB6" i="61"/>
  <c r="Z6" i="61"/>
  <c r="V6" i="61"/>
  <c r="T6" i="61"/>
  <c r="P6" i="61"/>
  <c r="N6" i="61"/>
  <c r="M6" i="61"/>
  <c r="L6" i="61"/>
  <c r="K6" i="61"/>
  <c r="J6" i="61"/>
  <c r="I6" i="61"/>
  <c r="F6" i="61"/>
  <c r="DE5" i="61"/>
  <c r="DE6" i="61" s="1"/>
  <c r="DD5" i="61"/>
  <c r="DD6" i="61" s="1"/>
  <c r="DC5" i="61"/>
  <c r="DC6" i="61" s="1"/>
  <c r="DA5" i="61"/>
  <c r="DA6" i="61" s="1"/>
  <c r="CY5" i="61"/>
  <c r="CY6" i="61" s="1"/>
  <c r="CX5" i="61"/>
  <c r="CX6" i="61" s="1"/>
  <c r="CW5" i="61"/>
  <c r="CW6" i="61" s="1"/>
  <c r="CU5" i="61"/>
  <c r="CU6" i="61" s="1"/>
  <c r="CS5" i="61"/>
  <c r="CS6" i="61" s="1"/>
  <c r="CR5" i="61"/>
  <c r="CR6" i="61" s="1"/>
  <c r="CQ5" i="61"/>
  <c r="CQ6" i="61" s="1"/>
  <c r="CO5" i="61"/>
  <c r="CO6" i="61" s="1"/>
  <c r="CM5" i="61"/>
  <c r="CM6" i="61" s="1"/>
  <c r="CL5" i="61"/>
  <c r="CL6" i="61" s="1"/>
  <c r="CK5" i="61"/>
  <c r="CK6" i="61" s="1"/>
  <c r="CI5" i="61"/>
  <c r="CI6" i="61" s="1"/>
  <c r="CG5" i="61"/>
  <c r="CG6" i="61" s="1"/>
  <c r="CF5" i="61"/>
  <c r="CF6" i="61" s="1"/>
  <c r="CE5" i="61"/>
  <c r="CE6" i="61" s="1"/>
  <c r="CC5" i="61"/>
  <c r="CC6" i="61" s="1"/>
  <c r="CA5" i="61"/>
  <c r="CA6" i="61" s="1"/>
  <c r="BZ5" i="61"/>
  <c r="BZ6" i="61" s="1"/>
  <c r="BY5" i="61"/>
  <c r="BY6" i="61" s="1"/>
  <c r="BW5" i="61"/>
  <c r="BW6" i="61" s="1"/>
  <c r="BU5" i="61"/>
  <c r="BU6" i="61" s="1"/>
  <c r="BT5" i="61"/>
  <c r="BT6" i="61" s="1"/>
  <c r="BS5" i="61"/>
  <c r="BS6" i="61" s="1"/>
  <c r="BQ5" i="61"/>
  <c r="BQ6" i="61" s="1"/>
  <c r="BO5" i="61"/>
  <c r="BO6" i="61" s="1"/>
  <c r="BN5" i="61"/>
  <c r="BN6" i="61" s="1"/>
  <c r="BM5" i="61"/>
  <c r="BM6" i="61" s="1"/>
  <c r="BK5" i="61"/>
  <c r="BK6" i="61" s="1"/>
  <c r="BI5" i="61"/>
  <c r="BI6" i="61" s="1"/>
  <c r="BH5" i="61"/>
  <c r="BH6" i="61" s="1"/>
  <c r="BG5" i="61"/>
  <c r="BG6" i="61" s="1"/>
  <c r="BE5" i="61"/>
  <c r="BE6" i="61" s="1"/>
  <c r="BC5" i="61"/>
  <c r="BC6" i="61" s="1"/>
  <c r="BB5" i="61"/>
  <c r="BB6" i="61" s="1"/>
  <c r="BA5" i="61"/>
  <c r="BA6" i="61" s="1"/>
  <c r="AY5" i="61"/>
  <c r="AY6" i="61" s="1"/>
  <c r="AW5" i="61"/>
  <c r="AW6" i="61" s="1"/>
  <c r="AV5" i="61"/>
  <c r="AV6" i="61" s="1"/>
  <c r="AU5" i="61"/>
  <c r="AU6" i="61" s="1"/>
  <c r="AS5" i="61"/>
  <c r="AS6" i="61" s="1"/>
  <c r="AQ5" i="61"/>
  <c r="AQ6" i="61" s="1"/>
  <c r="AP5" i="61"/>
  <c r="AP6" i="61" s="1"/>
  <c r="AO5" i="61"/>
  <c r="AO6" i="61" s="1"/>
  <c r="AM5" i="61"/>
  <c r="AM6" i="61" s="1"/>
  <c r="AK5" i="61"/>
  <c r="AK6" i="61" s="1"/>
  <c r="AJ5" i="61"/>
  <c r="AJ6" i="61" s="1"/>
  <c r="AI5" i="61"/>
  <c r="AI6" i="61" s="1"/>
  <c r="AG5" i="61"/>
  <c r="AG6" i="61" s="1"/>
  <c r="AE5" i="61"/>
  <c r="AE6" i="61" s="1"/>
  <c r="AD5" i="61"/>
  <c r="AD6" i="61" s="1"/>
  <c r="AC5" i="61"/>
  <c r="AC6" i="61" s="1"/>
  <c r="AA5" i="61"/>
  <c r="AA6" i="61" s="1"/>
  <c r="Y5" i="61"/>
  <c r="Y6" i="61" s="1"/>
  <c r="X5" i="61"/>
  <c r="X6" i="61" s="1"/>
  <c r="W5" i="61"/>
  <c r="W6" i="61" s="1"/>
  <c r="U5" i="61"/>
  <c r="U6" i="61" s="1"/>
  <c r="S5" i="61"/>
  <c r="S6" i="61" s="1"/>
  <c r="R5" i="61"/>
  <c r="R6" i="61" s="1"/>
  <c r="Q5" i="61"/>
  <c r="Q6" i="61" s="1"/>
  <c r="O5" i="61"/>
  <c r="O6" i="61" s="1"/>
  <c r="G4" i="61"/>
  <c r="G6" i="61" s="1"/>
  <c r="C3" i="61"/>
  <c r="B3" i="61"/>
  <c r="CQ31" i="61" s="1"/>
  <c r="CX16" i="61" l="1"/>
  <c r="CX35" i="61"/>
  <c r="CR31" i="61"/>
  <c r="CW14" i="61"/>
  <c r="M18" i="61"/>
  <c r="CW19" i="61"/>
  <c r="CW47" i="61"/>
  <c r="CX24" i="61"/>
  <c r="CW11" i="61"/>
  <c r="CY16" i="61"/>
  <c r="M8" i="61"/>
  <c r="CW38" i="61"/>
  <c r="CR23" i="61"/>
  <c r="CQ26" i="61"/>
  <c r="CX43" i="61"/>
  <c r="CW27" i="61"/>
  <c r="CR47" i="61"/>
  <c r="CQ23" i="61"/>
  <c r="CR20" i="61"/>
  <c r="CX49" i="61"/>
  <c r="CW43" i="61"/>
  <c r="CX40" i="61"/>
  <c r="CW35" i="61"/>
  <c r="CX32" i="61"/>
  <c r="CW24" i="61"/>
  <c r="CX21" i="61"/>
  <c r="CW16" i="61"/>
  <c r="CX13" i="61"/>
  <c r="CQ47" i="61"/>
  <c r="CR25" i="61"/>
  <c r="CQ20" i="61"/>
  <c r="CR17" i="61"/>
  <c r="CW49" i="61"/>
  <c r="CX45" i="61"/>
  <c r="CW40" i="61"/>
  <c r="CX37" i="61"/>
  <c r="CW32" i="61"/>
  <c r="CX26" i="61"/>
  <c r="CW21" i="61"/>
  <c r="CX18" i="61"/>
  <c r="CW13" i="61"/>
  <c r="CX10" i="61"/>
  <c r="CR49" i="61"/>
  <c r="CQ25" i="61"/>
  <c r="CR22" i="61"/>
  <c r="CQ17" i="61"/>
  <c r="CW45" i="61"/>
  <c r="CX42" i="61"/>
  <c r="CW37" i="61"/>
  <c r="CX34" i="61"/>
  <c r="CW26" i="61"/>
  <c r="CX23" i="61"/>
  <c r="CW18" i="61"/>
  <c r="CX15" i="61"/>
  <c r="CW10" i="61"/>
  <c r="CQ49" i="61"/>
  <c r="CR46" i="61"/>
  <c r="CR27" i="61"/>
  <c r="CQ22" i="61"/>
  <c r="CR11" i="61"/>
  <c r="CX48" i="61"/>
  <c r="CW42" i="61"/>
  <c r="CX39" i="61"/>
  <c r="CW34" i="61"/>
  <c r="CX28" i="61"/>
  <c r="CW23" i="61"/>
  <c r="CX20" i="61"/>
  <c r="CW15" i="61"/>
  <c r="CX12" i="61"/>
  <c r="CQ46" i="61"/>
  <c r="CQ27" i="61"/>
  <c r="CR24" i="61"/>
  <c r="CQ11" i="61"/>
  <c r="CW48" i="61"/>
  <c r="CX44" i="61"/>
  <c r="CW39" i="61"/>
  <c r="CX36" i="61"/>
  <c r="CW28" i="61"/>
  <c r="CX25" i="61"/>
  <c r="CW20" i="61"/>
  <c r="CX17" i="61"/>
  <c r="CW12" i="61"/>
  <c r="CR48" i="61"/>
  <c r="CQ24" i="61"/>
  <c r="CR21" i="61"/>
  <c r="CX50" i="61"/>
  <c r="CW44" i="61"/>
  <c r="CX41" i="61"/>
  <c r="CW36" i="61"/>
  <c r="CX33" i="61"/>
  <c r="CW25" i="61"/>
  <c r="CX22" i="61"/>
  <c r="CW17" i="61"/>
  <c r="CX14" i="61"/>
  <c r="CQ48" i="61"/>
  <c r="CR26" i="61"/>
  <c r="CQ21" i="61"/>
  <c r="CW50" i="61"/>
  <c r="CX47" i="61"/>
  <c r="CW41" i="61"/>
  <c r="CX38" i="61"/>
  <c r="CW33" i="61"/>
  <c r="CX27" i="61"/>
  <c r="CW22" i="61"/>
  <c r="CX19" i="61"/>
  <c r="CX11" i="61"/>
  <c r="CR8" i="61"/>
  <c r="CR9" i="61"/>
  <c r="CQ9" i="61"/>
  <c r="CQ8" i="61"/>
  <c r="M13" i="61"/>
  <c r="M14" i="61" s="1"/>
  <c r="M16" i="61"/>
  <c r="M31" i="61" l="1"/>
  <c r="M28" i="61"/>
  <c r="M29" i="61"/>
  <c r="M26" i="61"/>
  <c r="M32" i="61"/>
  <c r="M45" i="61" s="1"/>
  <c r="M50" i="61"/>
  <c r="M48" i="61" s="1"/>
  <c r="M17" i="61"/>
  <c r="M20" i="61"/>
  <c r="M21" i="61" s="1"/>
  <c r="M19" i="61"/>
  <c r="M22" i="61"/>
  <c r="M25" i="61"/>
  <c r="M9" i="61"/>
  <c r="M12" i="61"/>
  <c r="M27" i="61" l="1"/>
  <c r="M30" i="61"/>
  <c r="M35" i="61"/>
  <c r="M33" i="61"/>
  <c r="M39" i="61"/>
  <c r="M34" i="61"/>
  <c r="M38" i="61"/>
  <c r="M40" i="61"/>
  <c r="M41" i="61"/>
  <c r="M23" i="61"/>
  <c r="M37" i="61"/>
  <c r="M24" i="61"/>
  <c r="M49" i="61"/>
  <c r="M36" i="61"/>
  <c r="M43" i="61"/>
  <c r="M44" i="61"/>
  <c r="M42" i="61"/>
  <c r="M46" i="61"/>
  <c r="I32" i="18"/>
  <c r="BI8" i="61" s="1"/>
  <c r="G32" i="18"/>
  <c r="BH8" i="61" s="1"/>
  <c r="F32" i="18"/>
  <c r="BG8" i="61" s="1"/>
  <c r="D32" i="18"/>
  <c r="BE8" i="61" s="1"/>
  <c r="BF8" i="61"/>
  <c r="D52" i="18"/>
  <c r="BE9" i="61" s="1"/>
  <c r="C248" i="18"/>
  <c r="I35" i="18" s="1"/>
  <c r="BU8" i="61" s="1"/>
  <c r="C247" i="18"/>
  <c r="G35" i="18" s="1"/>
  <c r="BT8" i="61" s="1"/>
  <c r="C246" i="18"/>
  <c r="F35" i="18" s="1"/>
  <c r="BS8" i="61" s="1"/>
  <c r="C245" i="18"/>
  <c r="C35" i="18" s="1"/>
  <c r="BP8" i="61" s="1"/>
  <c r="C236" i="18"/>
  <c r="I34" i="18" s="1"/>
  <c r="BO8" i="61" s="1"/>
  <c r="C235" i="18"/>
  <c r="G34" i="18" s="1"/>
  <c r="BN8" i="61" s="1"/>
  <c r="C234" i="18"/>
  <c r="F34" i="18" s="1"/>
  <c r="BM8" i="61" s="1"/>
  <c r="C233" i="18"/>
  <c r="E34" i="18" s="1"/>
  <c r="BL8" i="61" s="1"/>
  <c r="E255" i="18"/>
  <c r="E254" i="18"/>
  <c r="E253" i="18"/>
  <c r="E243" i="18"/>
  <c r="E242" i="18"/>
  <c r="E241" i="18"/>
  <c r="E231" i="18"/>
  <c r="C253" i="18"/>
  <c r="F56" i="18" s="1"/>
  <c r="BY9" i="61" s="1"/>
  <c r="C254" i="18"/>
  <c r="G56" i="18" s="1"/>
  <c r="BZ9" i="61" s="1"/>
  <c r="C255" i="18"/>
  <c r="I56" i="18" s="1"/>
  <c r="CA9" i="61" s="1"/>
  <c r="C252" i="18"/>
  <c r="E56" i="18" s="1"/>
  <c r="BX9" i="61" s="1"/>
  <c r="C242" i="18"/>
  <c r="F55" i="18" s="1"/>
  <c r="BS9" i="61" s="1"/>
  <c r="C244" i="18"/>
  <c r="I55" i="18" s="1"/>
  <c r="BU9" i="61" s="1"/>
  <c r="C243" i="18"/>
  <c r="G55" i="18" s="1"/>
  <c r="BT9" i="61" s="1"/>
  <c r="C241" i="18"/>
  <c r="C55" i="18" s="1"/>
  <c r="BP9" i="61" s="1"/>
  <c r="E230" i="18"/>
  <c r="E229" i="18"/>
  <c r="C232" i="18"/>
  <c r="I54" i="18" s="1"/>
  <c r="BO9" i="61" s="1"/>
  <c r="C231" i="18"/>
  <c r="G54" i="18" s="1"/>
  <c r="BN9" i="61" s="1"/>
  <c r="C230" i="18"/>
  <c r="F54" i="18" s="1"/>
  <c r="BM9" i="61" s="1"/>
  <c r="C229" i="18"/>
  <c r="E54" i="18" s="1"/>
  <c r="BL9" i="61" s="1"/>
  <c r="C222" i="18"/>
  <c r="C189" i="18"/>
  <c r="I52" i="18" s="1"/>
  <c r="BI9" i="61" s="1"/>
  <c r="C187" i="18"/>
  <c r="G52" i="18" s="1"/>
  <c r="BH9" i="61" s="1"/>
  <c r="C186" i="18"/>
  <c r="F52" i="18" s="1"/>
  <c r="BG9" i="61" s="1"/>
  <c r="C54" i="18" l="1"/>
  <c r="BJ9" i="61" s="1"/>
  <c r="D55" i="18"/>
  <c r="BQ9" i="61" s="1"/>
  <c r="D54" i="18"/>
  <c r="BK9" i="61" s="1"/>
  <c r="D34" i="18"/>
  <c r="BK8" i="61" s="1"/>
  <c r="D35" i="18"/>
  <c r="BQ8" i="61" s="1"/>
  <c r="E55" i="18"/>
  <c r="BR9" i="61" s="1"/>
  <c r="C34" i="18"/>
  <c r="BJ8" i="61" s="1"/>
  <c r="E35" i="18"/>
  <c r="BR8" i="61" s="1"/>
  <c r="C56" i="18"/>
  <c r="BV9" i="61" s="1"/>
  <c r="D56" i="18"/>
  <c r="BW9" i="61" s="1"/>
  <c r="C8" i="30" l="1"/>
  <c r="AG8" i="30" s="1"/>
  <c r="D60" i="18" s="1"/>
  <c r="DA9" i="61" s="1"/>
  <c r="D8" i="30"/>
  <c r="AH8" i="30" s="1"/>
  <c r="E60" i="18" s="1"/>
  <c r="DB9" i="61" s="1"/>
  <c r="E8" i="30"/>
  <c r="AC8" i="30" s="1"/>
  <c r="F8" i="30"/>
  <c r="AJ8" i="30" s="1"/>
  <c r="G60" i="18" s="1"/>
  <c r="DD9" i="61" s="1"/>
  <c r="G8" i="30"/>
  <c r="AK8" i="30" s="1"/>
  <c r="I60" i="18" s="1"/>
  <c r="DE9" i="61" s="1"/>
  <c r="B8" i="30"/>
  <c r="Z8" i="30" s="1"/>
  <c r="H17" i="10"/>
  <c r="G17" i="10"/>
  <c r="F17" i="10"/>
  <c r="E17" i="10"/>
  <c r="D17" i="10"/>
  <c r="C17" i="10"/>
  <c r="H13" i="10"/>
  <c r="G13" i="10"/>
  <c r="F13" i="10"/>
  <c r="E13" i="10"/>
  <c r="D13" i="10"/>
  <c r="C13" i="10"/>
  <c r="H12" i="10"/>
  <c r="G12" i="10"/>
  <c r="F12" i="10"/>
  <c r="E12" i="10"/>
  <c r="D12" i="10"/>
  <c r="C12" i="10"/>
  <c r="H11" i="10"/>
  <c r="F11" i="10"/>
  <c r="E11" i="10"/>
  <c r="D10" i="10"/>
  <c r="AA18" i="61" s="1"/>
  <c r="C11" i="10"/>
  <c r="C21" i="10" s="1"/>
  <c r="H17" i="58"/>
  <c r="G17" i="58"/>
  <c r="F17" i="58"/>
  <c r="E17" i="58"/>
  <c r="D17" i="58"/>
  <c r="C17" i="58"/>
  <c r="H14" i="58"/>
  <c r="BU15" i="61" s="1"/>
  <c r="G14" i="58"/>
  <c r="BT15" i="61" s="1"/>
  <c r="F14" i="58"/>
  <c r="BS15" i="61" s="1"/>
  <c r="E14" i="58"/>
  <c r="BR15" i="61" s="1"/>
  <c r="D14" i="58"/>
  <c r="BQ15" i="61" s="1"/>
  <c r="C14" i="58"/>
  <c r="BP15" i="61" s="1"/>
  <c r="H13" i="58"/>
  <c r="BO15" i="61" s="1"/>
  <c r="G13" i="58"/>
  <c r="BN15" i="61" s="1"/>
  <c r="F13" i="58"/>
  <c r="BM15" i="61" s="1"/>
  <c r="E13" i="58"/>
  <c r="BL15" i="61" s="1"/>
  <c r="D13" i="58"/>
  <c r="BK15" i="61" s="1"/>
  <c r="C13" i="58"/>
  <c r="BJ15" i="61" s="1"/>
  <c r="H11" i="58"/>
  <c r="BI15" i="61" s="1"/>
  <c r="G11" i="58"/>
  <c r="BH15" i="61" s="1"/>
  <c r="F11" i="58"/>
  <c r="BG15" i="61" s="1"/>
  <c r="E11" i="58"/>
  <c r="BF15" i="61" s="1"/>
  <c r="D11" i="58"/>
  <c r="BE15" i="61" s="1"/>
  <c r="C11" i="58"/>
  <c r="BD15" i="61" s="1"/>
  <c r="E9" i="58"/>
  <c r="AZ15" i="61" s="1"/>
  <c r="D9" i="58"/>
  <c r="AY15" i="61" s="1"/>
  <c r="C9" i="58"/>
  <c r="AX15" i="61" s="1"/>
  <c r="E8" i="58"/>
  <c r="AT15" i="61" s="1"/>
  <c r="D8" i="58"/>
  <c r="AS15" i="61" s="1"/>
  <c r="C8" i="58"/>
  <c r="AR15" i="61" s="1"/>
  <c r="H6" i="58"/>
  <c r="AK15" i="61" s="1"/>
  <c r="G6" i="58"/>
  <c r="AJ15" i="61" s="1"/>
  <c r="F6" i="58"/>
  <c r="AI15" i="61" s="1"/>
  <c r="E6" i="58"/>
  <c r="AH15" i="61" s="1"/>
  <c r="D6" i="58"/>
  <c r="AG15" i="61" s="1"/>
  <c r="C6" i="58"/>
  <c r="AF15" i="61" s="1"/>
  <c r="G19" i="57"/>
  <c r="F19" i="57"/>
  <c r="H18" i="57"/>
  <c r="G18" i="57"/>
  <c r="F18" i="57"/>
  <c r="E18" i="57"/>
  <c r="D18" i="57"/>
  <c r="C18" i="57"/>
  <c r="H15" i="57"/>
  <c r="BU13" i="61" s="1"/>
  <c r="G15" i="57"/>
  <c r="BT13" i="61" s="1"/>
  <c r="F15" i="57"/>
  <c r="BS13" i="61" s="1"/>
  <c r="E15" i="57"/>
  <c r="BR13" i="61" s="1"/>
  <c r="D15" i="57"/>
  <c r="BQ13" i="61" s="1"/>
  <c r="C15" i="57"/>
  <c r="BP13" i="61" s="1"/>
  <c r="H14" i="57"/>
  <c r="BO13" i="61" s="1"/>
  <c r="G14" i="57"/>
  <c r="BN13" i="61" s="1"/>
  <c r="F14" i="57"/>
  <c r="BM13" i="61" s="1"/>
  <c r="E14" i="57"/>
  <c r="BL13" i="61" s="1"/>
  <c r="D14" i="57"/>
  <c r="BK13" i="61" s="1"/>
  <c r="C14" i="57"/>
  <c r="BJ13" i="61" s="1"/>
  <c r="H7" i="57"/>
  <c r="AK13" i="61" s="1"/>
  <c r="G7" i="57"/>
  <c r="AJ13" i="61" s="1"/>
  <c r="F7" i="57"/>
  <c r="AI13" i="61" s="1"/>
  <c r="E7" i="57"/>
  <c r="AH13" i="61" s="1"/>
  <c r="D7" i="57"/>
  <c r="AG13" i="61" s="1"/>
  <c r="C7" i="57"/>
  <c r="AF13" i="61" s="1"/>
  <c r="I33" i="18"/>
  <c r="Y8" i="61" s="1"/>
  <c r="G33" i="18"/>
  <c r="X8" i="61" s="1"/>
  <c r="F33" i="18"/>
  <c r="W8" i="61" s="1"/>
  <c r="E33" i="18"/>
  <c r="V8" i="61" s="1"/>
  <c r="D33" i="18"/>
  <c r="U8" i="61" s="1"/>
  <c r="C33" i="18"/>
  <c r="T8" i="61" s="1"/>
  <c r="BF18" i="61" l="1"/>
  <c r="E21" i="10"/>
  <c r="BG18" i="61"/>
  <c r="F21" i="10"/>
  <c r="BI18" i="61"/>
  <c r="H21" i="10"/>
  <c r="C32" i="10"/>
  <c r="T25" i="61"/>
  <c r="D32" i="10"/>
  <c r="U25" i="61"/>
  <c r="C31" i="10"/>
  <c r="T19" i="61" s="1"/>
  <c r="T18" i="61"/>
  <c r="D31" i="10"/>
  <c r="U19" i="61" s="1"/>
  <c r="U18" i="61"/>
  <c r="F32" i="10"/>
  <c r="W25" i="61"/>
  <c r="E31" i="10"/>
  <c r="V19" i="61" s="1"/>
  <c r="V18" i="61"/>
  <c r="G32" i="10"/>
  <c r="X25" i="61"/>
  <c r="E32" i="10"/>
  <c r="V25" i="61"/>
  <c r="C19" i="10"/>
  <c r="CN18" i="61" s="1"/>
  <c r="BD18" i="61"/>
  <c r="F31" i="10"/>
  <c r="W19" i="61" s="1"/>
  <c r="W18" i="61"/>
  <c r="H32" i="10"/>
  <c r="Y25" i="61"/>
  <c r="G31" i="10"/>
  <c r="X19" i="61" s="1"/>
  <c r="X18" i="61"/>
  <c r="H31" i="10"/>
  <c r="Y19" i="61" s="1"/>
  <c r="Y18" i="61"/>
  <c r="AF8" i="30"/>
  <c r="C60" i="18" s="1"/>
  <c r="CZ9" i="61" s="1"/>
  <c r="AI8" i="30"/>
  <c r="F60" i="18" s="1"/>
  <c r="DC9" i="61" s="1"/>
  <c r="AD8" i="30"/>
  <c r="AA8" i="30"/>
  <c r="AE8" i="30"/>
  <c r="AB8" i="30"/>
  <c r="D19" i="10"/>
  <c r="CO18" i="61" s="1"/>
  <c r="C10" i="10"/>
  <c r="Z18" i="61" s="1"/>
  <c r="E10" i="10"/>
  <c r="AB18" i="61" s="1"/>
  <c r="G11" i="10"/>
  <c r="E19" i="10"/>
  <c r="CP18" i="61" s="1"/>
  <c r="H10" i="10"/>
  <c r="AE18" i="61" s="1"/>
  <c r="F10" i="10"/>
  <c r="AC18" i="61" s="1"/>
  <c r="BH18" i="61" l="1"/>
  <c r="G21" i="10"/>
  <c r="CQ18" i="61"/>
  <c r="CS18" i="61"/>
  <c r="CR18" i="61"/>
  <c r="G10" i="10"/>
  <c r="AD18" i="61" s="1"/>
  <c r="C260" i="18" l="1"/>
  <c r="D42" i="18" l="1"/>
  <c r="CU8" i="61" s="1"/>
  <c r="D62" i="18"/>
  <c r="CU9" i="61" s="1"/>
  <c r="C42" i="18" l="1"/>
  <c r="CT8" i="61" s="1"/>
  <c r="E42" i="18"/>
  <c r="CV8" i="61" s="1"/>
  <c r="CY9" i="61"/>
  <c r="CX9" i="61"/>
  <c r="CW9" i="61"/>
  <c r="CY8" i="61"/>
  <c r="CW8" i="61"/>
  <c r="CX8" i="61"/>
  <c r="E133" i="58"/>
  <c r="E99" i="57"/>
  <c r="C133" i="58"/>
  <c r="C136" i="58" s="1"/>
  <c r="C321" i="10" l="1"/>
  <c r="C320" i="10"/>
  <c r="C319" i="10"/>
  <c r="C221" i="10"/>
  <c r="G19" i="10" s="1"/>
  <c r="C181" i="11"/>
  <c r="C220" i="10"/>
  <c r="F19" i="10" s="1"/>
  <c r="C180" i="11"/>
  <c r="C222" i="10"/>
  <c r="H19" i="10" s="1"/>
  <c r="E50" i="11"/>
  <c r="CP28" i="61" s="1"/>
  <c r="D50" i="11"/>
  <c r="CO28" i="61" s="1"/>
  <c r="C50" i="11"/>
  <c r="CN28" i="61" s="1"/>
  <c r="C182" i="11"/>
  <c r="H50" i="11" l="1"/>
  <c r="H65" i="11"/>
  <c r="F50" i="11"/>
  <c r="F65" i="11"/>
  <c r="G50" i="11"/>
  <c r="G65" i="11"/>
  <c r="CS28" i="61"/>
  <c r="CQ28" i="61"/>
  <c r="CR28" i="61"/>
  <c r="E175" i="11"/>
  <c r="C175" i="11"/>
  <c r="C178" i="11" s="1"/>
  <c r="C176" i="11" l="1"/>
  <c r="C177" i="11"/>
  <c r="H48" i="10"/>
  <c r="CY46" i="61" s="1"/>
  <c r="G48" i="10"/>
  <c r="CX46" i="61" s="1"/>
  <c r="F48" i="10"/>
  <c r="CW46" i="61" s="1"/>
  <c r="D48" i="10"/>
  <c r="CU46" i="61" s="1"/>
  <c r="E48" i="10"/>
  <c r="CV46" i="61" s="1"/>
  <c r="C48" i="10"/>
  <c r="CT46" i="61" s="1"/>
  <c r="E84" i="10"/>
  <c r="E83" i="10"/>
  <c r="E82" i="10"/>
  <c r="E81" i="10"/>
  <c r="G86" i="55" l="1"/>
  <c r="G87" i="55"/>
  <c r="G88" i="55"/>
  <c r="G85" i="55"/>
  <c r="F86" i="55"/>
  <c r="F87" i="55"/>
  <c r="F88" i="55"/>
  <c r="F85" i="55"/>
  <c r="G78" i="55"/>
  <c r="G79" i="55"/>
  <c r="G80" i="55"/>
  <c r="G81" i="55"/>
  <c r="G82" i="55"/>
  <c r="G83" i="55"/>
  <c r="G84" i="55"/>
  <c r="G77" i="55"/>
  <c r="F78" i="55"/>
  <c r="F79" i="55"/>
  <c r="F80" i="55"/>
  <c r="F81" i="55"/>
  <c r="F82" i="55"/>
  <c r="F83" i="55"/>
  <c r="F84" i="55"/>
  <c r="F77" i="55"/>
  <c r="H12" i="49"/>
  <c r="G12" i="49"/>
  <c r="F12" i="49"/>
  <c r="E12" i="49"/>
  <c r="CP33" i="61" s="1"/>
  <c r="D12" i="49"/>
  <c r="CO33" i="61" s="1"/>
  <c r="C12" i="49"/>
  <c r="CN33" i="61" s="1"/>
  <c r="CS33" i="61" l="1"/>
  <c r="CR33" i="61"/>
  <c r="CQ33" i="61"/>
  <c r="C33" i="58"/>
  <c r="BP16" i="61" s="1"/>
  <c r="E33" i="58" l="1"/>
  <c r="BR16" i="61" s="1"/>
  <c r="F33" i="58"/>
  <c r="BS16" i="61" s="1"/>
  <c r="G33" i="58"/>
  <c r="BT16" i="61" s="1"/>
  <c r="H33" i="58"/>
  <c r="BU16" i="61" s="1"/>
  <c r="D33" i="58"/>
  <c r="BQ16" i="61" s="1"/>
  <c r="C32" i="58"/>
  <c r="BJ16" i="61" s="1"/>
  <c r="E32" i="58"/>
  <c r="BL16" i="61" s="1"/>
  <c r="F32" i="58"/>
  <c r="BM16" i="61" s="1"/>
  <c r="G32" i="58"/>
  <c r="BN16" i="61" s="1"/>
  <c r="H32" i="58"/>
  <c r="BO16" i="61" s="1"/>
  <c r="E16" i="18"/>
  <c r="BR10" i="61" s="1"/>
  <c r="F16" i="18"/>
  <c r="BS10" i="61" s="1"/>
  <c r="G16" i="18"/>
  <c r="BT10" i="61" s="1"/>
  <c r="I16" i="18"/>
  <c r="BU10" i="61" s="1"/>
  <c r="C16" i="18"/>
  <c r="BP10" i="61" s="1"/>
  <c r="D16" i="18"/>
  <c r="BQ10" i="61" s="1"/>
  <c r="E130" i="18"/>
  <c r="E131" i="18"/>
  <c r="B127" i="1"/>
  <c r="B131" i="1" s="1"/>
  <c r="F34" i="57"/>
  <c r="BS14" i="61" s="1"/>
  <c r="G34" i="57"/>
  <c r="BT14" i="61" s="1"/>
  <c r="H34" i="57"/>
  <c r="BU14" i="61" s="1"/>
  <c r="C34" i="57"/>
  <c r="BP14" i="61" s="1"/>
  <c r="E34" i="57"/>
  <c r="BR14" i="61" s="1"/>
  <c r="D34" i="57"/>
  <c r="BQ14" i="61" s="1"/>
  <c r="C262" i="10"/>
  <c r="C261" i="10"/>
  <c r="C260" i="10"/>
  <c r="C141" i="10"/>
  <c r="H14" i="10" s="1"/>
  <c r="C140" i="10"/>
  <c r="F14" i="10" s="1"/>
  <c r="BM18" i="61" s="1"/>
  <c r="D36" i="10"/>
  <c r="C13" i="30" s="1"/>
  <c r="E36" i="10"/>
  <c r="D13" i="30" s="1"/>
  <c r="F36" i="10"/>
  <c r="E13" i="30" s="1"/>
  <c r="G36" i="10"/>
  <c r="F13" i="30" s="1"/>
  <c r="H36" i="10"/>
  <c r="G13" i="30" s="1"/>
  <c r="C36" i="10"/>
  <c r="B13" i="30" s="1"/>
  <c r="E186" i="10"/>
  <c r="E187" i="10"/>
  <c r="E292" i="10"/>
  <c r="E262" i="10"/>
  <c r="E261" i="10"/>
  <c r="E260" i="10"/>
  <c r="E259" i="10"/>
  <c r="E141" i="10"/>
  <c r="E140" i="10"/>
  <c r="E139" i="10"/>
  <c r="E136" i="10"/>
  <c r="E137" i="10"/>
  <c r="H15" i="10" l="1"/>
  <c r="BU18" i="61" s="1"/>
  <c r="BO18" i="61"/>
  <c r="AG13" i="30"/>
  <c r="D37" i="10" s="1"/>
  <c r="DA19" i="61" s="1"/>
  <c r="AA13" i="30"/>
  <c r="AF13" i="30"/>
  <c r="C37" i="10" s="1"/>
  <c r="CZ19" i="61" s="1"/>
  <c r="Z13" i="30"/>
  <c r="AE13" i="30"/>
  <c r="AK13" i="30"/>
  <c r="H37" i="10" s="1"/>
  <c r="DE19" i="61" s="1"/>
  <c r="AJ13" i="30"/>
  <c r="G37" i="10" s="1"/>
  <c r="DD19" i="61" s="1"/>
  <c r="AD13" i="30"/>
  <c r="AI13" i="30"/>
  <c r="F37" i="10" s="1"/>
  <c r="DC19" i="61" s="1"/>
  <c r="AC13" i="30"/>
  <c r="AB13" i="30"/>
  <c r="AH13" i="30"/>
  <c r="E37" i="10" s="1"/>
  <c r="DB19" i="61" s="1"/>
  <c r="F15" i="10"/>
  <c r="BS18" i="61" s="1"/>
  <c r="G14" i="10"/>
  <c r="C156" i="58"/>
  <c r="E285" i="11"/>
  <c r="G15" i="10" l="1"/>
  <c r="BT18" i="61" s="1"/>
  <c r="BN18" i="61"/>
  <c r="E19" i="58"/>
  <c r="CP15" i="61" s="1"/>
  <c r="D19" i="58"/>
  <c r="CO15" i="61" s="1"/>
  <c r="C19" i="58"/>
  <c r="CN15" i="61" s="1"/>
  <c r="E38" i="58"/>
  <c r="CP16" i="61" s="1"/>
  <c r="D38" i="58"/>
  <c r="CO16" i="61" s="1"/>
  <c r="C38" i="58"/>
  <c r="CN16" i="61" s="1"/>
  <c r="C157" i="58"/>
  <c r="F19" i="58" s="1"/>
  <c r="C158" i="58"/>
  <c r="G19" i="58" s="1"/>
  <c r="E225" i="18"/>
  <c r="E223" i="18"/>
  <c r="E224" i="18"/>
  <c r="CS16" i="61" l="1"/>
  <c r="CR16" i="61"/>
  <c r="CQ16" i="61"/>
  <c r="CR15" i="61"/>
  <c r="CQ15" i="61"/>
  <c r="CS15" i="61"/>
  <c r="G38" i="58"/>
  <c r="F38" i="58"/>
  <c r="C53" i="18"/>
  <c r="T9" i="61" s="1"/>
  <c r="G12" i="19" l="1"/>
  <c r="F12" i="19"/>
  <c r="D12" i="19"/>
  <c r="C68" i="19"/>
  <c r="H12" i="19" s="1"/>
  <c r="E65" i="19"/>
  <c r="E12" i="19" l="1"/>
  <c r="CP32" i="61" s="1"/>
  <c r="CO32" i="61"/>
  <c r="C12" i="19"/>
  <c r="CN32" i="61" s="1"/>
  <c r="E114" i="55"/>
  <c r="E109" i="55"/>
  <c r="C174" i="11"/>
  <c r="E171" i="11"/>
  <c r="G338" i="10"/>
  <c r="F338" i="10"/>
  <c r="E215" i="10"/>
  <c r="C215" i="10"/>
  <c r="E104" i="57"/>
  <c r="C104" i="57"/>
  <c r="E97" i="57"/>
  <c r="C74" i="57"/>
  <c r="E79" i="10"/>
  <c r="E78" i="10"/>
  <c r="E77" i="10"/>
  <c r="C80" i="10"/>
  <c r="C79" i="10"/>
  <c r="C78" i="10"/>
  <c r="C77" i="10"/>
  <c r="E156" i="58"/>
  <c r="E129" i="58"/>
  <c r="C129" i="58"/>
  <c r="C132" i="58" s="1"/>
  <c r="C62" i="18"/>
  <c r="CT9" i="61" s="1"/>
  <c r="C262" i="18"/>
  <c r="C261" i="18"/>
  <c r="E260" i="18"/>
  <c r="CS32" i="61" l="1"/>
  <c r="CR32" i="61"/>
  <c r="CQ32" i="61"/>
  <c r="F42" i="18"/>
  <c r="F62" i="18"/>
  <c r="G42" i="18"/>
  <c r="G62" i="18"/>
  <c r="C107" i="57"/>
  <c r="D338" i="10"/>
  <c r="C338" i="10" s="1"/>
  <c r="C218" i="10"/>
  <c r="C159" i="58"/>
  <c r="H19" i="58" s="1"/>
  <c r="E62" i="18"/>
  <c r="CV9" i="61" s="1"/>
  <c r="C263" i="18"/>
  <c r="C114" i="55"/>
  <c r="C109" i="55"/>
  <c r="I53" i="18"/>
  <c r="Y9" i="61" s="1"/>
  <c r="G53" i="18"/>
  <c r="X9" i="61" s="1"/>
  <c r="F53" i="18"/>
  <c r="W9" i="61" s="1"/>
  <c r="E53" i="18"/>
  <c r="V9" i="61" s="1"/>
  <c r="D53" i="18"/>
  <c r="U9" i="61" s="1"/>
  <c r="G21" i="18"/>
  <c r="F21" i="18"/>
  <c r="E156" i="18"/>
  <c r="C156" i="18"/>
  <c r="C159" i="18" s="1"/>
  <c r="I21" i="18" s="1"/>
  <c r="G38" i="57"/>
  <c r="F38" i="57"/>
  <c r="C99" i="57"/>
  <c r="D87" i="55" l="1"/>
  <c r="CO44" i="61" s="1"/>
  <c r="E87" i="55"/>
  <c r="CP44" i="61" s="1"/>
  <c r="E86" i="55"/>
  <c r="CP43" i="61" s="1"/>
  <c r="C85" i="55"/>
  <c r="CN42" i="61" s="1"/>
  <c r="C88" i="55"/>
  <c r="CN45" i="61" s="1"/>
  <c r="D88" i="55"/>
  <c r="CO45" i="61" s="1"/>
  <c r="E85" i="55"/>
  <c r="CP42" i="61" s="1"/>
  <c r="C87" i="55"/>
  <c r="CN44" i="61" s="1"/>
  <c r="C86" i="55"/>
  <c r="CN43" i="61" s="1"/>
  <c r="E88" i="55"/>
  <c r="CP45" i="61" s="1"/>
  <c r="D86" i="55"/>
  <c r="CO43" i="61" s="1"/>
  <c r="D85" i="55"/>
  <c r="CO42" i="61" s="1"/>
  <c r="C117" i="55"/>
  <c r="D77" i="55"/>
  <c r="CO34" i="61" s="1"/>
  <c r="D81" i="55"/>
  <c r="CO38" i="61" s="1"/>
  <c r="C78" i="55"/>
  <c r="CN35" i="61" s="1"/>
  <c r="E78" i="55"/>
  <c r="CP35" i="61" s="1"/>
  <c r="E82" i="55"/>
  <c r="CP39" i="61" s="1"/>
  <c r="C81" i="55"/>
  <c r="CN38" i="61" s="1"/>
  <c r="E77" i="55"/>
  <c r="CP34" i="61" s="1"/>
  <c r="E81" i="55"/>
  <c r="CP38" i="61" s="1"/>
  <c r="C79" i="55"/>
  <c r="CN36" i="61" s="1"/>
  <c r="D84" i="55"/>
  <c r="CO41" i="61" s="1"/>
  <c r="E80" i="55"/>
  <c r="CP37" i="61" s="1"/>
  <c r="D78" i="55"/>
  <c r="CO35" i="61" s="1"/>
  <c r="D82" i="55"/>
  <c r="CO39" i="61" s="1"/>
  <c r="C80" i="55"/>
  <c r="CN37" i="61" s="1"/>
  <c r="D80" i="55"/>
  <c r="CO37" i="61" s="1"/>
  <c r="C84" i="55"/>
  <c r="CN41" i="61" s="1"/>
  <c r="C77" i="55"/>
  <c r="CN34" i="61" s="1"/>
  <c r="D79" i="55"/>
  <c r="CO36" i="61" s="1"/>
  <c r="D83" i="55"/>
  <c r="CO40" i="61" s="1"/>
  <c r="C82" i="55"/>
  <c r="CN39" i="61" s="1"/>
  <c r="E79" i="55"/>
  <c r="CP36" i="61" s="1"/>
  <c r="E83" i="55"/>
  <c r="CP40" i="61" s="1"/>
  <c r="C83" i="55"/>
  <c r="CN40" i="61" s="1"/>
  <c r="E84" i="55"/>
  <c r="CP41" i="61" s="1"/>
  <c r="C112" i="55"/>
  <c r="I42" i="18"/>
  <c r="I62" i="18"/>
  <c r="H38" i="58"/>
  <c r="E38" i="57"/>
  <c r="CP14" i="61" s="1"/>
  <c r="D19" i="57"/>
  <c r="CO13" i="61" s="1"/>
  <c r="E19" i="57"/>
  <c r="CP13" i="61" s="1"/>
  <c r="C19" i="57"/>
  <c r="CN13" i="61" s="1"/>
  <c r="E338" i="10"/>
  <c r="H338" i="10"/>
  <c r="C102" i="57"/>
  <c r="C38" i="57"/>
  <c r="CN14" i="61" s="1"/>
  <c r="D38" i="57"/>
  <c r="CO14" i="61" s="1"/>
  <c r="C21" i="18"/>
  <c r="CN10" i="61" s="1"/>
  <c r="D21" i="18"/>
  <c r="CO10" i="61" s="1"/>
  <c r="E21" i="18"/>
  <c r="CP10" i="61" s="1"/>
  <c r="CS40" i="61" l="1"/>
  <c r="CR40" i="61"/>
  <c r="CQ40" i="61"/>
  <c r="CS38" i="61"/>
  <c r="CR38" i="61"/>
  <c r="CQ38" i="61"/>
  <c r="H78" i="55"/>
  <c r="H81" i="55"/>
  <c r="H79" i="55"/>
  <c r="H84" i="55"/>
  <c r="H80" i="55"/>
  <c r="H77" i="55"/>
  <c r="H82" i="55"/>
  <c r="H83" i="55"/>
  <c r="CR34" i="61"/>
  <c r="CS34" i="61"/>
  <c r="CQ34" i="61"/>
  <c r="CQ45" i="61"/>
  <c r="CR45" i="61"/>
  <c r="CS45" i="61"/>
  <c r="H86" i="55"/>
  <c r="H87" i="55"/>
  <c r="H85" i="55"/>
  <c r="H88" i="55"/>
  <c r="CQ37" i="61"/>
  <c r="CR37" i="61"/>
  <c r="CS37" i="61"/>
  <c r="CS42" i="61"/>
  <c r="CR42" i="61"/>
  <c r="CQ42" i="61"/>
  <c r="CS36" i="61"/>
  <c r="CQ36" i="61"/>
  <c r="CR36" i="61"/>
  <c r="CS41" i="61"/>
  <c r="CQ41" i="61"/>
  <c r="CR41" i="61"/>
  <c r="CS43" i="61"/>
  <c r="CQ43" i="61"/>
  <c r="CR43" i="61"/>
  <c r="CS39" i="61"/>
  <c r="CR39" i="61"/>
  <c r="CQ39" i="61"/>
  <c r="CS35" i="61"/>
  <c r="CQ35" i="61"/>
  <c r="CR35" i="61"/>
  <c r="CS44" i="61"/>
  <c r="CR44" i="61"/>
  <c r="CQ44" i="61"/>
  <c r="CS10" i="61"/>
  <c r="CQ10" i="61"/>
  <c r="CR10" i="61"/>
  <c r="CS14" i="61"/>
  <c r="CR14" i="61"/>
  <c r="CQ14" i="61"/>
  <c r="CS13" i="61"/>
  <c r="CQ13" i="61"/>
  <c r="CR13" i="61"/>
  <c r="H38" i="57"/>
  <c r="H19" i="57"/>
  <c r="H36" i="58" l="1"/>
  <c r="G36" i="58"/>
  <c r="F36" i="58"/>
  <c r="E36" i="58"/>
  <c r="D36" i="58"/>
  <c r="C36" i="58"/>
  <c r="D32" i="58"/>
  <c r="BK16" i="61" s="1"/>
  <c r="H30" i="58"/>
  <c r="BI16" i="61" s="1"/>
  <c r="G30" i="58"/>
  <c r="BH16" i="61" s="1"/>
  <c r="F30" i="58"/>
  <c r="BG16" i="61" s="1"/>
  <c r="E30" i="58"/>
  <c r="BF16" i="61" s="1"/>
  <c r="D30" i="58"/>
  <c r="BE16" i="61" s="1"/>
  <c r="C30" i="58"/>
  <c r="BD16" i="61" s="1"/>
  <c r="E28" i="58"/>
  <c r="AZ16" i="61" s="1"/>
  <c r="D28" i="58"/>
  <c r="AY16" i="61" s="1"/>
  <c r="C28" i="58"/>
  <c r="AX16" i="61" s="1"/>
  <c r="E27" i="58"/>
  <c r="AT16" i="61" s="1"/>
  <c r="D27" i="58"/>
  <c r="AS16" i="61" s="1"/>
  <c r="C27" i="58"/>
  <c r="AR16" i="61" s="1"/>
  <c r="H25" i="58"/>
  <c r="AK16" i="61" s="1"/>
  <c r="G25" i="58"/>
  <c r="AJ16" i="61" s="1"/>
  <c r="F25" i="58"/>
  <c r="AI16" i="61" s="1"/>
  <c r="E25" i="58"/>
  <c r="AH16" i="61" s="1"/>
  <c r="D25" i="58"/>
  <c r="AG16" i="61" s="1"/>
  <c r="C25" i="58"/>
  <c r="AF16" i="61" s="1"/>
  <c r="C104" i="58"/>
  <c r="C86" i="58"/>
  <c r="C112" i="58"/>
  <c r="C115" i="58"/>
  <c r="C114" i="58"/>
  <c r="C113" i="58"/>
  <c r="C85" i="58"/>
  <c r="C78" i="58"/>
  <c r="C77" i="58"/>
  <c r="C72" i="58"/>
  <c r="C29" i="58" s="1"/>
  <c r="Z16" i="61" s="1"/>
  <c r="C69" i="58"/>
  <c r="C68" i="58"/>
  <c r="C67" i="58"/>
  <c r="D10" i="58" l="1"/>
  <c r="AA15" i="61" s="1"/>
  <c r="C10" i="58"/>
  <c r="Z15" i="61" s="1"/>
  <c r="F10" i="58"/>
  <c r="AC15" i="61" s="1"/>
  <c r="H10" i="58"/>
  <c r="AE15" i="61" s="1"/>
  <c r="G10" i="58"/>
  <c r="AD15" i="61" s="1"/>
  <c r="E10" i="58"/>
  <c r="AB15" i="61" s="1"/>
  <c r="E31" i="58"/>
  <c r="V16" i="61" s="1"/>
  <c r="H12" i="58"/>
  <c r="Y15" i="61" s="1"/>
  <c r="G12" i="58"/>
  <c r="X15" i="61" s="1"/>
  <c r="C12" i="58"/>
  <c r="T15" i="61" s="1"/>
  <c r="F12" i="58"/>
  <c r="W15" i="61" s="1"/>
  <c r="E12" i="58"/>
  <c r="V15" i="61" s="1"/>
  <c r="D12" i="58"/>
  <c r="U15" i="61" s="1"/>
  <c r="C31" i="58"/>
  <c r="T16" i="61" s="1"/>
  <c r="F31" i="58"/>
  <c r="W16" i="61" s="1"/>
  <c r="G31" i="58"/>
  <c r="X16" i="61" s="1"/>
  <c r="H31" i="58"/>
  <c r="Y16" i="61" s="1"/>
  <c r="D29" i="58"/>
  <c r="AA16" i="61" s="1"/>
  <c r="H29" i="58"/>
  <c r="AE16" i="61" s="1"/>
  <c r="D31" i="58"/>
  <c r="U16" i="61" s="1"/>
  <c r="E29" i="58"/>
  <c r="AB16" i="61" s="1"/>
  <c r="G29" i="58"/>
  <c r="AD16" i="61" s="1"/>
  <c r="F29" i="58"/>
  <c r="AC16" i="61" s="1"/>
  <c r="C83" i="57"/>
  <c r="D11" i="57" l="1"/>
  <c r="AA13" i="61" s="1"/>
  <c r="H11" i="57"/>
  <c r="AE13" i="61" s="1"/>
  <c r="C11" i="57"/>
  <c r="Z13" i="61" s="1"/>
  <c r="G11" i="57"/>
  <c r="AD13" i="61" s="1"/>
  <c r="F11" i="57"/>
  <c r="AC13" i="61" s="1"/>
  <c r="E11" i="57"/>
  <c r="AB13" i="61" s="1"/>
  <c r="E91" i="57" l="1"/>
  <c r="E138" i="10" l="1"/>
  <c r="C136" i="10"/>
  <c r="C139" i="10" s="1"/>
  <c r="C14" i="10" l="1"/>
  <c r="D14" i="10"/>
  <c r="E14" i="10"/>
  <c r="BI19" i="61"/>
  <c r="BG19" i="61"/>
  <c r="F239" i="10"/>
  <c r="F238" i="10"/>
  <c r="F237" i="10"/>
  <c r="E240" i="10"/>
  <c r="E239" i="10"/>
  <c r="E238" i="10"/>
  <c r="E237" i="10"/>
  <c r="D15" i="10" l="1"/>
  <c r="BQ18" i="61" s="1"/>
  <c r="BK18" i="61"/>
  <c r="E15" i="10"/>
  <c r="BR18" i="61" s="1"/>
  <c r="BL18" i="61"/>
  <c r="C15" i="10"/>
  <c r="BP18" i="61" s="1"/>
  <c r="BJ18" i="61"/>
  <c r="F38" i="10"/>
  <c r="F33" i="10"/>
  <c r="D33" i="10"/>
  <c r="D38" i="10"/>
  <c r="CO19" i="61" s="1"/>
  <c r="H38" i="10"/>
  <c r="H33" i="10"/>
  <c r="E303" i="10"/>
  <c r="E302" i="10"/>
  <c r="E258" i="10"/>
  <c r="E257" i="10"/>
  <c r="H34" i="10" l="1"/>
  <c r="BO19" i="61"/>
  <c r="F34" i="10"/>
  <c r="BM19" i="61"/>
  <c r="BK19" i="61"/>
  <c r="D34" i="10"/>
  <c r="CS19" i="61"/>
  <c r="CR19" i="61"/>
  <c r="CQ19" i="61"/>
  <c r="C126" i="57"/>
  <c r="C125" i="57"/>
  <c r="C124" i="57"/>
  <c r="H54" i="57" s="1"/>
  <c r="C123" i="57"/>
  <c r="C122" i="57"/>
  <c r="C121" i="57"/>
  <c r="G54" i="57" s="1"/>
  <c r="C120" i="57"/>
  <c r="C119" i="57"/>
  <c r="C118" i="57"/>
  <c r="F54" i="57" s="1"/>
  <c r="C117" i="57"/>
  <c r="C54" i="57" s="1"/>
  <c r="C116" i="57"/>
  <c r="E54" i="57" s="1"/>
  <c r="C115" i="57"/>
  <c r="D54" i="57" s="1"/>
  <c r="CI12" i="61" l="1"/>
  <c r="CK12" i="61"/>
  <c r="CM12" i="61"/>
  <c r="CJ12" i="61"/>
  <c r="CH12" i="61"/>
  <c r="CL12" i="61"/>
  <c r="C47" i="49"/>
  <c r="C46" i="49"/>
  <c r="C45" i="49"/>
  <c r="C44" i="49"/>
  <c r="C43" i="49"/>
  <c r="C42" i="49"/>
  <c r="C41" i="49"/>
  <c r="C40" i="49"/>
  <c r="C38" i="49"/>
  <c r="C37" i="49"/>
  <c r="C36" i="49"/>
  <c r="C35" i="49"/>
  <c r="C34" i="49"/>
  <c r="C33" i="49"/>
  <c r="C32" i="49"/>
  <c r="C31" i="49"/>
  <c r="C51" i="19"/>
  <c r="C50" i="19"/>
  <c r="C49" i="19"/>
  <c r="C48" i="19"/>
  <c r="C35" i="19"/>
  <c r="C34" i="19"/>
  <c r="C33" i="19"/>
  <c r="C32" i="19"/>
  <c r="C5" i="30" l="1"/>
  <c r="AA5" i="30" s="1"/>
  <c r="D5" i="30"/>
  <c r="AH5" i="30" s="1"/>
  <c r="E58" i="57" s="1"/>
  <c r="DB12" i="61" s="1"/>
  <c r="E5" i="30"/>
  <c r="AI5" i="30" s="1"/>
  <c r="F58" i="57" s="1"/>
  <c r="DC12" i="61" s="1"/>
  <c r="F5" i="30"/>
  <c r="AJ5" i="30" s="1"/>
  <c r="G58" i="57" s="1"/>
  <c r="DD12" i="61" s="1"/>
  <c r="G5" i="30"/>
  <c r="AE5" i="30" s="1"/>
  <c r="B5" i="30"/>
  <c r="AF5" i="30" s="1"/>
  <c r="C58" i="57" s="1"/>
  <c r="CZ12" i="61" s="1"/>
  <c r="C37" i="57"/>
  <c r="B6" i="30" s="1"/>
  <c r="F7" i="30"/>
  <c r="G7" i="30"/>
  <c r="D33" i="57"/>
  <c r="BK14" i="61" s="1"/>
  <c r="E33" i="57"/>
  <c r="BL14" i="61" s="1"/>
  <c r="F33" i="57"/>
  <c r="BM14" i="61" s="1"/>
  <c r="G33" i="57"/>
  <c r="BN14" i="61" s="1"/>
  <c r="H33" i="57"/>
  <c r="BO14" i="61" s="1"/>
  <c r="C33" i="57"/>
  <c r="BJ14" i="61" s="1"/>
  <c r="C26" i="57"/>
  <c r="AF14" i="61" s="1"/>
  <c r="E26" i="57"/>
  <c r="AH14" i="61" s="1"/>
  <c r="D26" i="57"/>
  <c r="AG14" i="61" s="1"/>
  <c r="H37" i="57"/>
  <c r="G37" i="57"/>
  <c r="F37" i="57"/>
  <c r="E37" i="57"/>
  <c r="D37" i="57"/>
  <c r="H26" i="57"/>
  <c r="AK14" i="61" s="1"/>
  <c r="G26" i="57"/>
  <c r="AJ14" i="61" s="1"/>
  <c r="F26" i="57"/>
  <c r="AI14" i="61" s="1"/>
  <c r="E87" i="57"/>
  <c r="C84" i="57"/>
  <c r="F30" i="57" s="1"/>
  <c r="AC14" i="61" s="1"/>
  <c r="C80" i="57"/>
  <c r="D31" i="57" s="1"/>
  <c r="BE14" i="61" s="1"/>
  <c r="C79" i="57"/>
  <c r="E80" i="57"/>
  <c r="E79" i="57"/>
  <c r="E76" i="57"/>
  <c r="E75" i="57"/>
  <c r="C76" i="57"/>
  <c r="F50" i="57" s="1"/>
  <c r="W12" i="61" s="1"/>
  <c r="E83" i="57"/>
  <c r="E84" i="57"/>
  <c r="F12" i="57" l="1"/>
  <c r="BG13" i="61" s="1"/>
  <c r="E12" i="57"/>
  <c r="BF13" i="61" s="1"/>
  <c r="H12" i="57"/>
  <c r="BI13" i="61" s="1"/>
  <c r="D12" i="57"/>
  <c r="BE13" i="61" s="1"/>
  <c r="G12" i="57"/>
  <c r="BH13" i="61" s="1"/>
  <c r="C12" i="57"/>
  <c r="BD13" i="61" s="1"/>
  <c r="E50" i="57"/>
  <c r="V12" i="61" s="1"/>
  <c r="D50" i="57"/>
  <c r="U12" i="61" s="1"/>
  <c r="C50" i="57"/>
  <c r="T12" i="61" s="1"/>
  <c r="H50" i="57"/>
  <c r="Y12" i="61" s="1"/>
  <c r="G50" i="57"/>
  <c r="X12" i="61" s="1"/>
  <c r="AD5" i="30"/>
  <c r="AC5" i="30"/>
  <c r="AB5" i="30"/>
  <c r="AG5" i="30"/>
  <c r="Z5" i="30"/>
  <c r="AK5" i="30"/>
  <c r="H58" i="57" s="1"/>
  <c r="DE12" i="61" s="1"/>
  <c r="Z6" i="30"/>
  <c r="AF6" i="30"/>
  <c r="G30" i="57"/>
  <c r="AD14" i="61" s="1"/>
  <c r="E30" i="57"/>
  <c r="AB14" i="61" s="1"/>
  <c r="D30" i="57"/>
  <c r="AA14" i="61" s="1"/>
  <c r="C31" i="57"/>
  <c r="BD14" i="61" s="1"/>
  <c r="H31" i="57"/>
  <c r="BI14" i="61" s="1"/>
  <c r="G31" i="57"/>
  <c r="BH14" i="61" s="1"/>
  <c r="H30" i="57"/>
  <c r="AE14" i="61" s="1"/>
  <c r="C30" i="57"/>
  <c r="Z14" i="61" s="1"/>
  <c r="F31" i="57"/>
  <c r="BG14" i="61" s="1"/>
  <c r="E31" i="57"/>
  <c r="BF14" i="61" s="1"/>
  <c r="C21" i="57" l="1"/>
  <c r="CZ13" i="61" s="1"/>
  <c r="C40" i="57"/>
  <c r="CZ14" i="61" s="1"/>
  <c r="D58" i="57"/>
  <c r="DA12" i="61" s="1"/>
  <c r="C75" i="57"/>
  <c r="G56" i="57" l="1"/>
  <c r="F56" i="57"/>
  <c r="D56" i="57"/>
  <c r="CO12" i="61" s="1"/>
  <c r="H56" i="57"/>
  <c r="CS12" i="61" l="1"/>
  <c r="CQ12" i="61"/>
  <c r="CR12" i="61"/>
  <c r="E56" i="57"/>
  <c r="CP12" i="61" s="1"/>
  <c r="C56" i="57"/>
  <c r="CN12" i="61" s="1"/>
  <c r="E74" i="57"/>
  <c r="E70" i="57"/>
  <c r="C70" i="57"/>
  <c r="H13" i="57" l="1"/>
  <c r="Y13" i="61" s="1"/>
  <c r="G13" i="57"/>
  <c r="X13" i="61" s="1"/>
  <c r="F13" i="57"/>
  <c r="W13" i="61" s="1"/>
  <c r="E13" i="57"/>
  <c r="V13" i="61" s="1"/>
  <c r="D13" i="57"/>
  <c r="U13" i="61" s="1"/>
  <c r="C13" i="57"/>
  <c r="T13" i="61" s="1"/>
  <c r="F32" i="57"/>
  <c r="W14" i="61" s="1"/>
  <c r="G32" i="57"/>
  <c r="X14" i="61" s="1"/>
  <c r="H32" i="57"/>
  <c r="Y14" i="61" s="1"/>
  <c r="C32" i="57"/>
  <c r="T14" i="61" s="1"/>
  <c r="D32" i="57"/>
  <c r="U14" i="61" s="1"/>
  <c r="E32" i="57"/>
  <c r="V14" i="61" s="1"/>
  <c r="E95" i="57"/>
  <c r="E90" i="57"/>
  <c r="G6" i="30"/>
  <c r="F6" i="30"/>
  <c r="E6" i="30"/>
  <c r="D6" i="30"/>
  <c r="C6" i="30"/>
  <c r="AB6" i="30" l="1"/>
  <c r="AH6" i="30"/>
  <c r="E40" i="57" s="1"/>
  <c r="DB14" i="61" s="1"/>
  <c r="AI6" i="30"/>
  <c r="AC6" i="30"/>
  <c r="AG6" i="30"/>
  <c r="D40" i="57" s="1"/>
  <c r="DA14" i="61" s="1"/>
  <c r="AA6" i="30"/>
  <c r="AD6" i="30"/>
  <c r="AJ6" i="30"/>
  <c r="G40" i="57" s="1"/>
  <c r="DD14" i="61" s="1"/>
  <c r="AK6" i="30"/>
  <c r="H40" i="57" s="1"/>
  <c r="DE14" i="61" s="1"/>
  <c r="AE6" i="30"/>
  <c r="F21" i="57" l="1"/>
  <c r="DC13" i="61" s="1"/>
  <c r="F40" i="57"/>
  <c r="DC14" i="61" s="1"/>
  <c r="H21" i="57"/>
  <c r="DE13" i="61" s="1"/>
  <c r="E21" i="57"/>
  <c r="DB13" i="61" s="1"/>
  <c r="D21" i="57"/>
  <c r="DA13" i="61" s="1"/>
  <c r="G21" i="57"/>
  <c r="DD13" i="61" s="1"/>
  <c r="C65" i="10"/>
  <c r="C68" i="10"/>
  <c r="H43" i="10" l="1"/>
  <c r="CG25" i="61" s="1"/>
  <c r="G14" i="21" l="1"/>
  <c r="F27" i="30" s="1"/>
  <c r="G10" i="20"/>
  <c r="F26" i="30" s="1"/>
  <c r="AF40" i="30"/>
  <c r="AG40" i="30"/>
  <c r="AH40" i="30"/>
  <c r="AI40" i="30"/>
  <c r="AJ40" i="30"/>
  <c r="AK40" i="30"/>
  <c r="AF41" i="30"/>
  <c r="AG41" i="30"/>
  <c r="AH41" i="30"/>
  <c r="AI41" i="30"/>
  <c r="AJ41" i="30"/>
  <c r="AK41" i="30"/>
  <c r="AF42" i="30"/>
  <c r="AG42" i="30"/>
  <c r="AH42" i="30"/>
  <c r="AI42" i="30"/>
  <c r="AJ42" i="30"/>
  <c r="AK42" i="30"/>
  <c r="AF43" i="30"/>
  <c r="AG43" i="30"/>
  <c r="AH43" i="30"/>
  <c r="AI43" i="30"/>
  <c r="AJ43" i="30"/>
  <c r="AK43" i="30"/>
  <c r="B29" i="30"/>
  <c r="AF29" i="30" s="1"/>
  <c r="C66" i="55" s="1"/>
  <c r="CZ35" i="61" s="1"/>
  <c r="C29" i="30"/>
  <c r="AG29" i="30" s="1"/>
  <c r="D66" i="55" s="1"/>
  <c r="DA35" i="61" s="1"/>
  <c r="D29" i="30"/>
  <c r="AH29" i="30" s="1"/>
  <c r="E66" i="55" s="1"/>
  <c r="DB35" i="61" s="1"/>
  <c r="E29" i="30"/>
  <c r="AC29" i="30" s="1"/>
  <c r="F29" i="30"/>
  <c r="AD29" i="30" s="1"/>
  <c r="G29" i="30"/>
  <c r="AE29" i="30" s="1"/>
  <c r="B30" i="30"/>
  <c r="Z30" i="30" s="1"/>
  <c r="C30" i="30"/>
  <c r="AG30" i="30" s="1"/>
  <c r="D67" i="55" s="1"/>
  <c r="DA36" i="61" s="1"/>
  <c r="D30" i="30"/>
  <c r="AH30" i="30" s="1"/>
  <c r="E67" i="55" s="1"/>
  <c r="DB36" i="61" s="1"/>
  <c r="E30" i="30"/>
  <c r="AI30" i="30" s="1"/>
  <c r="F67" i="55" s="1"/>
  <c r="DC36" i="61" s="1"/>
  <c r="F30" i="30"/>
  <c r="AJ30" i="30" s="1"/>
  <c r="G67" i="55" s="1"/>
  <c r="DD36" i="61" s="1"/>
  <c r="G30" i="30"/>
  <c r="AE30" i="30" s="1"/>
  <c r="B31" i="30"/>
  <c r="Z31" i="30" s="1"/>
  <c r="C31" i="30"/>
  <c r="AG31" i="30" s="1"/>
  <c r="D68" i="55" s="1"/>
  <c r="DA37" i="61" s="1"/>
  <c r="D31" i="30"/>
  <c r="AH31" i="30" s="1"/>
  <c r="E68" i="55" s="1"/>
  <c r="DB37" i="61" s="1"/>
  <c r="E31" i="30"/>
  <c r="AI31" i="30" s="1"/>
  <c r="F68" i="55" s="1"/>
  <c r="DC37" i="61" s="1"/>
  <c r="F31" i="30"/>
  <c r="AJ31" i="30" s="1"/>
  <c r="G68" i="55" s="1"/>
  <c r="DD37" i="61" s="1"/>
  <c r="G31" i="30"/>
  <c r="AK31" i="30" s="1"/>
  <c r="H68" i="55" s="1"/>
  <c r="DE37" i="61" s="1"/>
  <c r="B32" i="30"/>
  <c r="AF32" i="30" s="1"/>
  <c r="C69" i="55" s="1"/>
  <c r="CZ38" i="61" s="1"/>
  <c r="C32" i="30"/>
  <c r="AA32" i="30" s="1"/>
  <c r="D32" i="30"/>
  <c r="AB32" i="30" s="1"/>
  <c r="E32" i="30"/>
  <c r="AC32" i="30" s="1"/>
  <c r="F32" i="30"/>
  <c r="AD32" i="30" s="1"/>
  <c r="G32" i="30"/>
  <c r="AK32" i="30" s="1"/>
  <c r="H69" i="55" s="1"/>
  <c r="DE38" i="61" s="1"/>
  <c r="B33" i="30"/>
  <c r="AF33" i="30" s="1"/>
  <c r="C70" i="55" s="1"/>
  <c r="CZ39" i="61" s="1"/>
  <c r="C33" i="30"/>
  <c r="AG33" i="30" s="1"/>
  <c r="D70" i="55" s="1"/>
  <c r="DA39" i="61" s="1"/>
  <c r="D33" i="30"/>
  <c r="AH33" i="30" s="1"/>
  <c r="E70" i="55" s="1"/>
  <c r="DB39" i="61" s="1"/>
  <c r="E33" i="30"/>
  <c r="AC33" i="30" s="1"/>
  <c r="F33" i="30"/>
  <c r="AD33" i="30" s="1"/>
  <c r="G33" i="30"/>
  <c r="AK33" i="30" s="1"/>
  <c r="H70" i="55" s="1"/>
  <c r="DE39" i="61" s="1"/>
  <c r="B34" i="30"/>
  <c r="AF34" i="30" s="1"/>
  <c r="C71" i="55" s="1"/>
  <c r="CZ40" i="61" s="1"/>
  <c r="C34" i="30"/>
  <c r="AG34" i="30" s="1"/>
  <c r="D71" i="55" s="1"/>
  <c r="DA40" i="61" s="1"/>
  <c r="D34" i="30"/>
  <c r="AH34" i="30" s="1"/>
  <c r="E71" i="55" s="1"/>
  <c r="DB40" i="61" s="1"/>
  <c r="E34" i="30"/>
  <c r="AI34" i="30" s="1"/>
  <c r="F71" i="55" s="1"/>
  <c r="DC40" i="61" s="1"/>
  <c r="F34" i="30"/>
  <c r="AJ34" i="30" s="1"/>
  <c r="G71" i="55" s="1"/>
  <c r="DD40" i="61" s="1"/>
  <c r="G34" i="30"/>
  <c r="AE34" i="30" s="1"/>
  <c r="B35" i="30"/>
  <c r="Z35" i="30" s="1"/>
  <c r="C35" i="30"/>
  <c r="AA35" i="30" s="1"/>
  <c r="D35" i="30"/>
  <c r="AB35" i="30" s="1"/>
  <c r="E35" i="30"/>
  <c r="AI35" i="30" s="1"/>
  <c r="F72" i="55" s="1"/>
  <c r="DC41" i="61" s="1"/>
  <c r="F35" i="30"/>
  <c r="AJ35" i="30" s="1"/>
  <c r="G72" i="55" s="1"/>
  <c r="DD41" i="61" s="1"/>
  <c r="G35" i="30"/>
  <c r="AK35" i="30" s="1"/>
  <c r="H72" i="55" s="1"/>
  <c r="DE41" i="61" s="1"/>
  <c r="B36" i="30"/>
  <c r="AF36" i="30" s="1"/>
  <c r="C73" i="55" s="1"/>
  <c r="CZ42" i="61" s="1"/>
  <c r="C36" i="30"/>
  <c r="AA36" i="30" s="1"/>
  <c r="D36" i="30"/>
  <c r="AB36" i="30" s="1"/>
  <c r="E36" i="30"/>
  <c r="AC36" i="30" s="1"/>
  <c r="F36" i="30"/>
  <c r="AJ36" i="30" s="1"/>
  <c r="G73" i="55" s="1"/>
  <c r="DD42" i="61" s="1"/>
  <c r="G36" i="30"/>
  <c r="AK36" i="30" s="1"/>
  <c r="H73" i="55" s="1"/>
  <c r="DE42" i="61" s="1"/>
  <c r="B37" i="30"/>
  <c r="AF37" i="30" s="1"/>
  <c r="C37" i="30"/>
  <c r="AG37" i="30" s="1"/>
  <c r="D37" i="30"/>
  <c r="AH37" i="30" s="1"/>
  <c r="E37" i="30"/>
  <c r="AC37" i="30" s="1"/>
  <c r="F37" i="30"/>
  <c r="AD37" i="30" s="1"/>
  <c r="G37" i="30"/>
  <c r="AE37" i="30" s="1"/>
  <c r="B38" i="30"/>
  <c r="Z38" i="30" s="1"/>
  <c r="C38" i="30"/>
  <c r="AG38" i="30" s="1"/>
  <c r="D75" i="55" s="1"/>
  <c r="DA44" i="61" s="1"/>
  <c r="D38" i="30"/>
  <c r="AH38" i="30" s="1"/>
  <c r="E75" i="55" s="1"/>
  <c r="DB44" i="61" s="1"/>
  <c r="E38" i="30"/>
  <c r="AI38" i="30" s="1"/>
  <c r="F75" i="55" s="1"/>
  <c r="DC44" i="61" s="1"/>
  <c r="F38" i="30"/>
  <c r="AJ38" i="30" s="1"/>
  <c r="G75" i="55" s="1"/>
  <c r="DD44" i="61" s="1"/>
  <c r="G38" i="30"/>
  <c r="AE38" i="30" s="1"/>
  <c r="B39" i="30"/>
  <c r="Z39" i="30" s="1"/>
  <c r="C39" i="30"/>
  <c r="AG39" i="30" s="1"/>
  <c r="D76" i="55" s="1"/>
  <c r="DA45" i="61" s="1"/>
  <c r="D39" i="30"/>
  <c r="AB39" i="30" s="1"/>
  <c r="E39" i="30"/>
  <c r="AI39" i="30" s="1"/>
  <c r="F76" i="55" s="1"/>
  <c r="DC45" i="61" s="1"/>
  <c r="F39" i="30"/>
  <c r="AJ39" i="30" s="1"/>
  <c r="G76" i="55" s="1"/>
  <c r="DD45" i="61" s="1"/>
  <c r="G39" i="30"/>
  <c r="AK39" i="30" s="1"/>
  <c r="H76" i="55" s="1"/>
  <c r="DE45" i="61" s="1"/>
  <c r="C28" i="30"/>
  <c r="AA28" i="30" s="1"/>
  <c r="D28" i="30"/>
  <c r="AB28" i="30" s="1"/>
  <c r="E28" i="30"/>
  <c r="AC28" i="30" s="1"/>
  <c r="F28" i="30"/>
  <c r="AD28" i="30" s="1"/>
  <c r="G28" i="30"/>
  <c r="AE28" i="30" s="1"/>
  <c r="B28" i="30"/>
  <c r="AF28" i="30" s="1"/>
  <c r="G10" i="49"/>
  <c r="F25" i="30" s="1"/>
  <c r="G10" i="19"/>
  <c r="F24" i="30" s="1"/>
  <c r="G8" i="19"/>
  <c r="AD3" i="55"/>
  <c r="AE3" i="55"/>
  <c r="AF3" i="55"/>
  <c r="AD4" i="55"/>
  <c r="AE4" i="55"/>
  <c r="AF4" i="55"/>
  <c r="AD5" i="55"/>
  <c r="AE5" i="55"/>
  <c r="AF5" i="55"/>
  <c r="AD6" i="55"/>
  <c r="AE6" i="55"/>
  <c r="AF6" i="55"/>
  <c r="AD7" i="55"/>
  <c r="AE7" i="55"/>
  <c r="AF7" i="55"/>
  <c r="AD8" i="55"/>
  <c r="AE8" i="55"/>
  <c r="AF8" i="55"/>
  <c r="AD9" i="55"/>
  <c r="AE9" i="55"/>
  <c r="AF9" i="55"/>
  <c r="AD10" i="55"/>
  <c r="AE10" i="55"/>
  <c r="AF10" i="55"/>
  <c r="AD11" i="55"/>
  <c r="AE11" i="55"/>
  <c r="AF11" i="55"/>
  <c r="AD12" i="55"/>
  <c r="AE12" i="55"/>
  <c r="AF12" i="55"/>
  <c r="AD13" i="55"/>
  <c r="AE13" i="55"/>
  <c r="AF13" i="55"/>
  <c r="AD14" i="55"/>
  <c r="AE14" i="55"/>
  <c r="AF14" i="55"/>
  <c r="AC4" i="55"/>
  <c r="AC5" i="55"/>
  <c r="AC6" i="55"/>
  <c r="AC7" i="55"/>
  <c r="AC8" i="55"/>
  <c r="AC9" i="55"/>
  <c r="AC10" i="55"/>
  <c r="AC11" i="55"/>
  <c r="AC12" i="55"/>
  <c r="AC13" i="55"/>
  <c r="AC14" i="55"/>
  <c r="AC3" i="55"/>
  <c r="Z3" i="55"/>
  <c r="AA3" i="55"/>
  <c r="AB3" i="55"/>
  <c r="Z4" i="55"/>
  <c r="AA4" i="55"/>
  <c r="AB4" i="55"/>
  <c r="Z5" i="55"/>
  <c r="AA5" i="55"/>
  <c r="AB5" i="55"/>
  <c r="Z6" i="55"/>
  <c r="AA6" i="55"/>
  <c r="AB6" i="55"/>
  <c r="Z7" i="55"/>
  <c r="AA7" i="55"/>
  <c r="AB7" i="55"/>
  <c r="Z8" i="55"/>
  <c r="AA8" i="55"/>
  <c r="AB8" i="55"/>
  <c r="Z9" i="55"/>
  <c r="AA9" i="55"/>
  <c r="AB9" i="55"/>
  <c r="Z10" i="55"/>
  <c r="AA10" i="55"/>
  <c r="AB10" i="55"/>
  <c r="Z11" i="55"/>
  <c r="AA11" i="55"/>
  <c r="AB11" i="55"/>
  <c r="Z12" i="55"/>
  <c r="AA12" i="55"/>
  <c r="AB12" i="55"/>
  <c r="Z13" i="55"/>
  <c r="AA13" i="55"/>
  <c r="AB13" i="55"/>
  <c r="Z14" i="55"/>
  <c r="AA14" i="55"/>
  <c r="AB14" i="55"/>
  <c r="Y4" i="55"/>
  <c r="Y5" i="55"/>
  <c r="Y6" i="55"/>
  <c r="Y7" i="55"/>
  <c r="Y8" i="55"/>
  <c r="Y9" i="55"/>
  <c r="Y10" i="55"/>
  <c r="Y11" i="55"/>
  <c r="Y12" i="55"/>
  <c r="Y13" i="55"/>
  <c r="Y14" i="55"/>
  <c r="Y3" i="55"/>
  <c r="V3" i="55"/>
  <c r="W3" i="55"/>
  <c r="X3" i="55"/>
  <c r="V4" i="55"/>
  <c r="W4" i="55"/>
  <c r="X4" i="55"/>
  <c r="V5" i="55"/>
  <c r="W5" i="55"/>
  <c r="X5" i="55"/>
  <c r="V6" i="55"/>
  <c r="W6" i="55"/>
  <c r="X6" i="55"/>
  <c r="V7" i="55"/>
  <c r="W7" i="55"/>
  <c r="X7" i="55"/>
  <c r="V8" i="55"/>
  <c r="W8" i="55"/>
  <c r="X8" i="55"/>
  <c r="V9" i="55"/>
  <c r="W9" i="55"/>
  <c r="X9" i="55"/>
  <c r="V10" i="55"/>
  <c r="W10" i="55"/>
  <c r="X10" i="55"/>
  <c r="V11" i="55"/>
  <c r="W11" i="55"/>
  <c r="X11" i="55"/>
  <c r="V12" i="55"/>
  <c r="W12" i="55"/>
  <c r="X12" i="55"/>
  <c r="V13" i="55"/>
  <c r="W13" i="55"/>
  <c r="X13" i="55"/>
  <c r="V14" i="55"/>
  <c r="W14" i="55"/>
  <c r="X14" i="55"/>
  <c r="U4" i="55"/>
  <c r="U5" i="55"/>
  <c r="U6" i="55"/>
  <c r="U7" i="55"/>
  <c r="U8" i="55"/>
  <c r="U9" i="55"/>
  <c r="U10" i="55"/>
  <c r="U11" i="55"/>
  <c r="U12" i="55"/>
  <c r="U13" i="55"/>
  <c r="U14" i="55"/>
  <c r="U3" i="55"/>
  <c r="BH19" i="61"/>
  <c r="E329" i="10"/>
  <c r="D329" i="10"/>
  <c r="C329" i="10"/>
  <c r="C74" i="55" l="1"/>
  <c r="CZ43" i="61" s="1"/>
  <c r="D74" i="55"/>
  <c r="DA43" i="61" s="1"/>
  <c r="E74" i="55"/>
  <c r="DB43" i="61" s="1"/>
  <c r="BT32" i="61"/>
  <c r="G38" i="10"/>
  <c r="Z36" i="30"/>
  <c r="AB29" i="30"/>
  <c r="AJ28" i="30"/>
  <c r="G65" i="55" s="1"/>
  <c r="DD34" i="61" s="1"/>
  <c r="AE36" i="30"/>
  <c r="AC39" i="30"/>
  <c r="AD35" i="30"/>
  <c r="Z32" i="30"/>
  <c r="Z28" i="30"/>
  <c r="AI28" i="30"/>
  <c r="Z33" i="30"/>
  <c r="AE32" i="30"/>
  <c r="AD38" i="30"/>
  <c r="AC35" i="30"/>
  <c r="AD31" i="30"/>
  <c r="C65" i="55"/>
  <c r="CZ34" i="61" s="1"/>
  <c r="AB38" i="30"/>
  <c r="AD34" i="30"/>
  <c r="AC31" i="30"/>
  <c r="AD39" i="30"/>
  <c r="Z29" i="30"/>
  <c r="AA38" i="30"/>
  <c r="AB34" i="30"/>
  <c r="AD30" i="30"/>
  <c r="AB37" i="30"/>
  <c r="AA34" i="30"/>
  <c r="AB30" i="30"/>
  <c r="Z37" i="30"/>
  <c r="AB33" i="30"/>
  <c r="AA30" i="30"/>
  <c r="AE39" i="30"/>
  <c r="AC38" i="30"/>
  <c r="AA37" i="30"/>
  <c r="AE35" i="30"/>
  <c r="AC34" i="30"/>
  <c r="AA33" i="30"/>
  <c r="AE31" i="30"/>
  <c r="AC30" i="30"/>
  <c r="AA29" i="30"/>
  <c r="AK28" i="30"/>
  <c r="AF38" i="30"/>
  <c r="C75" i="55" s="1"/>
  <c r="CZ44" i="61" s="1"/>
  <c r="AH39" i="30"/>
  <c r="E76" i="55" s="1"/>
  <c r="DB45" i="61" s="1"/>
  <c r="AH35" i="30"/>
  <c r="E72" i="55" s="1"/>
  <c r="DB41" i="61" s="1"/>
  <c r="AJ32" i="30"/>
  <c r="G69" i="55" s="1"/>
  <c r="DD38" i="61" s="1"/>
  <c r="AF30" i="30"/>
  <c r="C67" i="55" s="1"/>
  <c r="CZ36" i="61" s="1"/>
  <c r="AI36" i="30"/>
  <c r="F73" i="55" s="1"/>
  <c r="DC42" i="61" s="1"/>
  <c r="AK29" i="30"/>
  <c r="H66" i="55" s="1"/>
  <c r="DE35" i="61" s="1"/>
  <c r="AD36" i="30"/>
  <c r="Z34" i="30"/>
  <c r="AB31" i="30"/>
  <c r="AF39" i="30"/>
  <c r="C76" i="55" s="1"/>
  <c r="CZ45" i="61" s="1"/>
  <c r="AJ37" i="30"/>
  <c r="AH36" i="30"/>
  <c r="E73" i="55" s="1"/>
  <c r="DB42" i="61" s="1"/>
  <c r="AF35" i="30"/>
  <c r="C72" i="55" s="1"/>
  <c r="CZ41" i="61" s="1"/>
  <c r="AJ33" i="30"/>
  <c r="G70" i="55" s="1"/>
  <c r="DD39" i="61" s="1"/>
  <c r="AH32" i="30"/>
  <c r="E69" i="55" s="1"/>
  <c r="DB38" i="61" s="1"/>
  <c r="AF31" i="30"/>
  <c r="C68" i="55" s="1"/>
  <c r="CZ37" i="61" s="1"/>
  <c r="AJ29" i="30"/>
  <c r="G66" i="55" s="1"/>
  <c r="DD35" i="61" s="1"/>
  <c r="AH28" i="30"/>
  <c r="AK37" i="30"/>
  <c r="AG35" i="30"/>
  <c r="D72" i="55" s="1"/>
  <c r="DA41" i="61" s="1"/>
  <c r="AI32" i="30"/>
  <c r="F69" i="55" s="1"/>
  <c r="DC38" i="61" s="1"/>
  <c r="AA39" i="30"/>
  <c r="AE33" i="30"/>
  <c r="AA31" i="30"/>
  <c r="AK38" i="30"/>
  <c r="H75" i="55" s="1"/>
  <c r="DE44" i="61" s="1"/>
  <c r="AI37" i="30"/>
  <c r="AG36" i="30"/>
  <c r="D73" i="55" s="1"/>
  <c r="DA42" i="61" s="1"/>
  <c r="AK34" i="30"/>
  <c r="H71" i="55" s="1"/>
  <c r="DE40" i="61" s="1"/>
  <c r="AI33" i="30"/>
  <c r="F70" i="55" s="1"/>
  <c r="DC39" i="61" s="1"/>
  <c r="AG32" i="30"/>
  <c r="D69" i="55" s="1"/>
  <c r="DA38" i="61" s="1"/>
  <c r="AK30" i="30"/>
  <c r="H67" i="55" s="1"/>
  <c r="DE36" i="61" s="1"/>
  <c r="AI29" i="30"/>
  <c r="F66" i="55" s="1"/>
  <c r="DC35" i="61" s="1"/>
  <c r="AG28" i="30"/>
  <c r="G12" i="30"/>
  <c r="G91" i="11"/>
  <c r="F44" i="30" s="1"/>
  <c r="AJ44" i="30" s="1"/>
  <c r="G48" i="11"/>
  <c r="F21" i="30" s="1"/>
  <c r="G42" i="11"/>
  <c r="AJ28" i="61" s="1"/>
  <c r="AD7" i="30"/>
  <c r="AJ7" i="30" s="1"/>
  <c r="AK7" i="30"/>
  <c r="F14" i="30"/>
  <c r="G14" i="30"/>
  <c r="G17" i="11"/>
  <c r="F19" i="30" s="1"/>
  <c r="R26" i="61"/>
  <c r="G19" i="18"/>
  <c r="F9" i="30" s="1"/>
  <c r="G13" i="18"/>
  <c r="BH10" i="61" s="1"/>
  <c r="G12" i="18"/>
  <c r="AD10" i="61" s="1"/>
  <c r="AJ15" i="30"/>
  <c r="AK15" i="30"/>
  <c r="AJ16" i="30"/>
  <c r="AK16" i="30"/>
  <c r="AJ17" i="30"/>
  <c r="AK17" i="30"/>
  <c r="AJ18" i="30"/>
  <c r="AK18" i="30"/>
  <c r="AD15" i="30"/>
  <c r="AE15" i="30"/>
  <c r="AD16" i="30"/>
  <c r="AE16" i="30"/>
  <c r="AD17" i="30"/>
  <c r="AE17" i="30"/>
  <c r="AD18" i="30"/>
  <c r="AE18" i="30"/>
  <c r="AD20" i="30"/>
  <c r="AJ20" i="30" s="1"/>
  <c r="AE20" i="30"/>
  <c r="AK20" i="30" s="1"/>
  <c r="AD40" i="30"/>
  <c r="AE40" i="30"/>
  <c r="AD41" i="30"/>
  <c r="AE41" i="30"/>
  <c r="AD42" i="30"/>
  <c r="AE42" i="30"/>
  <c r="AD43" i="30"/>
  <c r="AE43" i="30"/>
  <c r="G13" i="13"/>
  <c r="F11" i="30" s="1"/>
  <c r="AD11" i="30" l="1"/>
  <c r="AJ11" i="30"/>
  <c r="G14" i="13" s="1"/>
  <c r="DD17" i="61" s="1"/>
  <c r="H74" i="55"/>
  <c r="DE43" i="61" s="1"/>
  <c r="G74" i="55"/>
  <c r="DD43" i="61" s="1"/>
  <c r="F74" i="55"/>
  <c r="DC43" i="61" s="1"/>
  <c r="AK14" i="30"/>
  <c r="AE14" i="30"/>
  <c r="AJ14" i="30"/>
  <c r="AD14" i="30"/>
  <c r="AK12" i="30"/>
  <c r="H18" i="10" s="1"/>
  <c r="DE18" i="61" s="1"/>
  <c r="AE12" i="30"/>
  <c r="AJ9" i="30"/>
  <c r="AD9" i="30"/>
  <c r="F65" i="55"/>
  <c r="DC34" i="61" s="1"/>
  <c r="E65" i="55"/>
  <c r="DB34" i="61" s="1"/>
  <c r="H65" i="55"/>
  <c r="DE34" i="61" s="1"/>
  <c r="D65" i="55"/>
  <c r="DA34" i="61" s="1"/>
  <c r="G40" i="18"/>
  <c r="DD8" i="61" s="1"/>
  <c r="AE7" i="30"/>
  <c r="L90" i="15" l="1"/>
  <c r="G41" i="15" l="1"/>
  <c r="F41" i="15"/>
  <c r="G95" i="15"/>
  <c r="F95" i="15"/>
  <c r="E236" i="11" l="1"/>
  <c r="E235" i="11"/>
  <c r="C246" i="11"/>
  <c r="F12" i="30" l="1"/>
  <c r="E188" i="10"/>
  <c r="AJ12" i="30" l="1"/>
  <c r="AD12" i="30"/>
  <c r="G7" i="19"/>
  <c r="E44" i="10"/>
  <c r="CD24" i="61" s="1"/>
  <c r="BN32" i="61" l="1"/>
  <c r="D44" i="10"/>
  <c r="CC24" i="61" s="1"/>
  <c r="E10" i="19"/>
  <c r="D10" i="19"/>
  <c r="C10" i="19"/>
  <c r="E8" i="19"/>
  <c r="D8" i="19"/>
  <c r="C8" i="19"/>
  <c r="E7" i="19"/>
  <c r="D7" i="19"/>
  <c r="C7" i="19"/>
  <c r="D10" i="49"/>
  <c r="C25" i="30" s="1"/>
  <c r="AA25" i="30" s="1"/>
  <c r="AG25" i="30" s="1"/>
  <c r="E10" i="49"/>
  <c r="D25" i="30" s="1"/>
  <c r="AB25" i="30" s="1"/>
  <c r="AH25" i="30" s="1"/>
  <c r="C10" i="49"/>
  <c r="B25" i="30" s="1"/>
  <c r="Z25" i="30" s="1"/>
  <c r="AF25" i="30" s="1"/>
  <c r="H8" i="49"/>
  <c r="G8" i="49"/>
  <c r="F8" i="49"/>
  <c r="C8" i="49"/>
  <c r="D8" i="49"/>
  <c r="E8" i="49"/>
  <c r="E47" i="49"/>
  <c r="E46" i="49"/>
  <c r="E44" i="49"/>
  <c r="E43" i="49"/>
  <c r="E42" i="49"/>
  <c r="E41" i="49"/>
  <c r="E40" i="49"/>
  <c r="H7" i="49"/>
  <c r="G7" i="49"/>
  <c r="F7" i="49"/>
  <c r="C7" i="49"/>
  <c r="D7" i="49"/>
  <c r="E7" i="49"/>
  <c r="E11" i="49" l="1"/>
  <c r="DB33" i="61" s="1"/>
  <c r="E11" i="62"/>
  <c r="D11" i="49"/>
  <c r="DA33" i="61" s="1"/>
  <c r="D11" i="62"/>
  <c r="C11" i="49"/>
  <c r="CZ33" i="61" s="1"/>
  <c r="C11" i="62"/>
  <c r="BU33" i="61"/>
  <c r="BR32" i="61"/>
  <c r="BM33" i="61"/>
  <c r="BQ32" i="61"/>
  <c r="BO33" i="61"/>
  <c r="BP33" i="61"/>
  <c r="BN33" i="61"/>
  <c r="BJ32" i="61"/>
  <c r="BK32" i="61"/>
  <c r="BL32" i="61"/>
  <c r="BR33" i="61"/>
  <c r="BQ33" i="61"/>
  <c r="BL33" i="61"/>
  <c r="BK33" i="61"/>
  <c r="BS33" i="61"/>
  <c r="BJ33" i="61"/>
  <c r="BT33" i="61"/>
  <c r="BP32" i="61"/>
  <c r="E62" i="20"/>
  <c r="H8" i="19" l="1"/>
  <c r="F8" i="19"/>
  <c r="H7" i="19"/>
  <c r="F7" i="19"/>
  <c r="BO32" i="61" l="1"/>
  <c r="BS32" i="61"/>
  <c r="BM32" i="61"/>
  <c r="BU32" i="61"/>
  <c r="E54" i="49"/>
  <c r="E53" i="49"/>
  <c r="E52" i="49"/>
  <c r="E51" i="49"/>
  <c r="E38" i="49"/>
  <c r="E37" i="49"/>
  <c r="E36" i="49"/>
  <c r="E35" i="49"/>
  <c r="E34" i="49"/>
  <c r="E33" i="49"/>
  <c r="E32" i="49"/>
  <c r="E31" i="49"/>
  <c r="E29" i="49"/>
  <c r="E28" i="49"/>
  <c r="E27" i="49"/>
  <c r="E26" i="49"/>
  <c r="E25" i="49"/>
  <c r="E24" i="49"/>
  <c r="E22" i="49"/>
  <c r="H10" i="49"/>
  <c r="F10" i="49"/>
  <c r="E25" i="30" s="1"/>
  <c r="AC25" i="30" s="1"/>
  <c r="AI25" i="30" s="1"/>
  <c r="F35" i="19"/>
  <c r="F34" i="19"/>
  <c r="F33" i="19"/>
  <c r="F51" i="19"/>
  <c r="F50" i="19"/>
  <c r="F49" i="19"/>
  <c r="F48" i="19"/>
  <c r="E51" i="19"/>
  <c r="E50" i="19"/>
  <c r="E49" i="19"/>
  <c r="E48" i="19"/>
  <c r="E33" i="19"/>
  <c r="E35" i="19"/>
  <c r="E34" i="19"/>
  <c r="E32" i="19"/>
  <c r="F11" i="49" l="1"/>
  <c r="DC33" i="61" s="1"/>
  <c r="F11" i="62"/>
  <c r="AD25" i="30"/>
  <c r="AJ25" i="30" s="1"/>
  <c r="G25" i="30"/>
  <c r="G11" i="49" l="1"/>
  <c r="DD33" i="61" s="1"/>
  <c r="G11" i="62"/>
  <c r="G16" i="49"/>
  <c r="AE25" i="30"/>
  <c r="AK25" i="30" s="1"/>
  <c r="H11" i="49" l="1"/>
  <c r="DE33" i="61" s="1"/>
  <c r="H11" i="62"/>
  <c r="C61" i="10"/>
  <c r="C32" i="13"/>
  <c r="E133" i="18" l="1"/>
  <c r="E122" i="18"/>
  <c r="C77" i="21"/>
  <c r="C56" i="21"/>
  <c r="C57" i="21"/>
  <c r="C64" i="21"/>
  <c r="C41" i="20"/>
  <c r="E43" i="10"/>
  <c r="CD25" i="61" s="1"/>
  <c r="D43" i="10"/>
  <c r="CC25" i="61" s="1"/>
  <c r="C43" i="10"/>
  <c r="CB25" i="61" s="1"/>
  <c r="F43" i="10"/>
  <c r="CE25" i="61" s="1"/>
  <c r="C122" i="18"/>
  <c r="C128" i="18"/>
  <c r="C286" i="10"/>
  <c r="C126" i="11"/>
  <c r="C287" i="10"/>
  <c r="C285" i="10"/>
  <c r="C284" i="10"/>
  <c r="C283" i="10"/>
  <c r="C282" i="10"/>
  <c r="C281" i="10"/>
  <c r="C277" i="10"/>
  <c r="C269" i="10"/>
  <c r="C268" i="10"/>
  <c r="C267" i="10"/>
  <c r="C266" i="10"/>
  <c r="C265" i="10"/>
  <c r="C264" i="10"/>
  <c r="C263" i="10"/>
  <c r="BF19" i="61"/>
  <c r="C30" i="10"/>
  <c r="BD19" i="61" l="1"/>
  <c r="C40" i="10"/>
  <c r="BU19" i="61"/>
  <c r="BQ19" i="61"/>
  <c r="E33" i="10"/>
  <c r="E38" i="10"/>
  <c r="CP19" i="61" s="1"/>
  <c r="C33" i="10"/>
  <c r="C38" i="10"/>
  <c r="CN19" i="61" s="1"/>
  <c r="G43" i="10"/>
  <c r="CF25" i="61" s="1"/>
  <c r="AF15" i="30"/>
  <c r="AG15" i="30"/>
  <c r="AH15" i="30"/>
  <c r="AI15" i="30"/>
  <c r="AF16" i="30"/>
  <c r="AG16" i="30"/>
  <c r="AH16" i="30"/>
  <c r="AI16" i="30"/>
  <c r="AF17" i="30"/>
  <c r="AG17" i="30"/>
  <c r="AH17" i="30"/>
  <c r="AI17" i="30"/>
  <c r="AF18" i="30"/>
  <c r="AG18" i="30"/>
  <c r="AH18" i="30"/>
  <c r="AI18" i="30"/>
  <c r="AF20" i="30"/>
  <c r="AG20" i="30"/>
  <c r="AH20" i="30"/>
  <c r="AI20" i="30"/>
  <c r="AJ2" i="30"/>
  <c r="C88" i="21"/>
  <c r="C87" i="21"/>
  <c r="C86" i="21"/>
  <c r="C85" i="21"/>
  <c r="G13" i="21" s="1"/>
  <c r="C84" i="21"/>
  <c r="C83" i="21"/>
  <c r="C13" i="21" s="1"/>
  <c r="C82" i="21"/>
  <c r="D13" i="21" s="1"/>
  <c r="C81" i="21"/>
  <c r="E13" i="21" s="1"/>
  <c r="C78" i="21"/>
  <c r="C76" i="21"/>
  <c r="C75" i="21"/>
  <c r="G12" i="21" s="1"/>
  <c r="C74" i="21"/>
  <c r="C73" i="21"/>
  <c r="C72" i="21"/>
  <c r="C71" i="21"/>
  <c r="C65" i="21"/>
  <c r="C63" i="21"/>
  <c r="C62" i="21"/>
  <c r="C61" i="21"/>
  <c r="C60" i="21"/>
  <c r="C59" i="21"/>
  <c r="C58" i="21"/>
  <c r="C55" i="21"/>
  <c r="C54" i="21"/>
  <c r="G9" i="21" s="1"/>
  <c r="C53" i="21"/>
  <c r="C52" i="21"/>
  <c r="C51" i="21"/>
  <c r="C50" i="21"/>
  <c r="E10" i="20"/>
  <c r="D10" i="20"/>
  <c r="C10" i="20"/>
  <c r="C65" i="20"/>
  <c r="C64" i="20"/>
  <c r="C63" i="20"/>
  <c r="C62" i="20"/>
  <c r="G9" i="20" s="1"/>
  <c r="C61" i="20"/>
  <c r="C60" i="20"/>
  <c r="C9" i="20" s="1"/>
  <c r="C59" i="20"/>
  <c r="D9" i="20" s="1"/>
  <c r="C58" i="20"/>
  <c r="E9" i="20" s="1"/>
  <c r="C55" i="20"/>
  <c r="C54" i="20"/>
  <c r="C53" i="20"/>
  <c r="C52" i="20"/>
  <c r="G8" i="20" s="1"/>
  <c r="C51" i="20"/>
  <c r="C50" i="20"/>
  <c r="C49" i="20"/>
  <c r="C48" i="20"/>
  <c r="C43" i="20"/>
  <c r="C39" i="20"/>
  <c r="C38" i="20"/>
  <c r="G7" i="20" s="1"/>
  <c r="C37" i="20"/>
  <c r="C36" i="20"/>
  <c r="C35" i="20"/>
  <c r="C34" i="20"/>
  <c r="C43" i="19"/>
  <c r="C181" i="10"/>
  <c r="C180" i="10"/>
  <c r="C179" i="10"/>
  <c r="C178" i="10"/>
  <c r="C177" i="10"/>
  <c r="C176" i="10"/>
  <c r="C175" i="10"/>
  <c r="C170" i="10"/>
  <c r="C169" i="10"/>
  <c r="C168" i="10"/>
  <c r="C167" i="10"/>
  <c r="C166" i="10"/>
  <c r="C165" i="10"/>
  <c r="C164" i="10"/>
  <c r="C163" i="10"/>
  <c r="C162" i="10"/>
  <c r="C161" i="10"/>
  <c r="C159" i="10"/>
  <c r="C158" i="10"/>
  <c r="C157" i="10"/>
  <c r="C156" i="10"/>
  <c r="C34" i="10" l="1"/>
  <c r="BP19" i="61" s="1"/>
  <c r="BJ19" i="61"/>
  <c r="E34" i="10"/>
  <c r="BR19" i="61" s="1"/>
  <c r="BL19" i="61"/>
  <c r="BS19" i="61"/>
  <c r="C263" i="11"/>
  <c r="C262" i="11"/>
  <c r="C261" i="11"/>
  <c r="H90" i="11" s="1"/>
  <c r="C260" i="11"/>
  <c r="C259" i="11"/>
  <c r="G90" i="11" s="1"/>
  <c r="C258" i="11"/>
  <c r="F90" i="11" s="1"/>
  <c r="C257" i="11"/>
  <c r="C90" i="11" s="1"/>
  <c r="C256" i="11"/>
  <c r="D90" i="11" s="1"/>
  <c r="C255" i="11"/>
  <c r="E90" i="11" s="1"/>
  <c r="C253" i="11"/>
  <c r="C252" i="11"/>
  <c r="C251" i="11"/>
  <c r="C250" i="11"/>
  <c r="G89" i="11" s="1"/>
  <c r="C247" i="11"/>
  <c r="C245" i="11"/>
  <c r="C244" i="11"/>
  <c r="C243" i="11"/>
  <c r="C241" i="11"/>
  <c r="C240" i="11"/>
  <c r="C157" i="11"/>
  <c r="C156" i="11"/>
  <c r="C130" i="11"/>
  <c r="C125" i="11"/>
  <c r="H14" i="11" s="1"/>
  <c r="C124" i="11"/>
  <c r="G14" i="11" s="1"/>
  <c r="C123" i="11"/>
  <c r="F14" i="11" s="1"/>
  <c r="C122" i="11"/>
  <c r="D14" i="11" s="1"/>
  <c r="C120" i="11"/>
  <c r="C9" i="1"/>
  <c r="C153" i="11" s="1"/>
  <c r="D45" i="11" l="1"/>
  <c r="E45" i="11"/>
  <c r="BZ48" i="61"/>
  <c r="BT50" i="61"/>
  <c r="BO26" i="61"/>
  <c r="G15" i="11"/>
  <c r="BN26" i="61"/>
  <c r="C119" i="11"/>
  <c r="C110" i="18"/>
  <c r="C108" i="18"/>
  <c r="C112" i="18"/>
  <c r="C111" i="18"/>
  <c r="C109" i="18"/>
  <c r="C121" i="11"/>
  <c r="E14" i="11" s="1"/>
  <c r="C152" i="11"/>
  <c r="E91" i="11"/>
  <c r="D91" i="11"/>
  <c r="C91" i="11"/>
  <c r="D89" i="11"/>
  <c r="E89" i="11"/>
  <c r="F89" i="11"/>
  <c r="H89" i="11"/>
  <c r="C89" i="11"/>
  <c r="C88" i="11"/>
  <c r="H48" i="11"/>
  <c r="F48" i="11"/>
  <c r="E48" i="11"/>
  <c r="D48" i="11"/>
  <c r="D42" i="11"/>
  <c r="AG28" i="61" s="1"/>
  <c r="E42" i="11"/>
  <c r="AH28" i="61" s="1"/>
  <c r="F42" i="11"/>
  <c r="AI28" i="61" s="1"/>
  <c r="H42" i="11"/>
  <c r="AK28" i="61" s="1"/>
  <c r="C42" i="11"/>
  <c r="AF28" i="61" s="1"/>
  <c r="E17" i="11"/>
  <c r="F17" i="11"/>
  <c r="H17" i="11"/>
  <c r="G19" i="30" s="1"/>
  <c r="AE19" i="30" s="1"/>
  <c r="AK19" i="30" s="1"/>
  <c r="H18" i="11" s="1"/>
  <c r="DE26" i="61" s="1"/>
  <c r="C14" i="11"/>
  <c r="BI26" i="61"/>
  <c r="BG26" i="61"/>
  <c r="D13" i="11"/>
  <c r="BE26" i="61" s="1"/>
  <c r="E13" i="11"/>
  <c r="BF26" i="61" s="1"/>
  <c r="C13" i="11"/>
  <c r="BD26" i="61" s="1"/>
  <c r="C45" i="11" l="1"/>
  <c r="C46" i="11" s="1"/>
  <c r="G93" i="11"/>
  <c r="F93" i="11"/>
  <c r="H93" i="11"/>
  <c r="D93" i="11"/>
  <c r="CO50" i="61" s="1"/>
  <c r="E93" i="11"/>
  <c r="CP50" i="61" s="1"/>
  <c r="C93" i="11"/>
  <c r="CN50" i="61" s="1"/>
  <c r="BT26" i="61"/>
  <c r="BK26" i="61"/>
  <c r="BX48" i="61"/>
  <c r="BU50" i="61"/>
  <c r="BJ50" i="61"/>
  <c r="BS50" i="61"/>
  <c r="BQ50" i="61"/>
  <c r="BR50" i="61"/>
  <c r="BV48" i="61"/>
  <c r="E15" i="11"/>
  <c r="BL26" i="61"/>
  <c r="BP50" i="61"/>
  <c r="BK28" i="61"/>
  <c r="E46" i="11"/>
  <c r="BL28" i="61"/>
  <c r="C15" i="11"/>
  <c r="BJ26" i="61"/>
  <c r="BW48" i="61"/>
  <c r="AD21" i="30"/>
  <c r="AJ21" i="30" s="1"/>
  <c r="G49" i="11" s="1"/>
  <c r="DD28" i="61" s="1"/>
  <c r="G21" i="30"/>
  <c r="AE21" i="30" s="1"/>
  <c r="AK21" i="30" s="1"/>
  <c r="H49" i="11" s="1"/>
  <c r="DE28" i="61" s="1"/>
  <c r="BH26" i="61"/>
  <c r="D15" i="11"/>
  <c r="AD19" i="30"/>
  <c r="AJ19" i="30" s="1"/>
  <c r="G18" i="11" s="1"/>
  <c r="DD26" i="61" s="1"/>
  <c r="D46" i="11"/>
  <c r="C251" i="18"/>
  <c r="C249" i="18"/>
  <c r="C240" i="18"/>
  <c r="C238" i="18"/>
  <c r="C237" i="18"/>
  <c r="C228" i="18"/>
  <c r="C221" i="18"/>
  <c r="C212" i="18"/>
  <c r="C211" i="18"/>
  <c r="C210" i="18"/>
  <c r="C209" i="18"/>
  <c r="C208" i="18"/>
  <c r="C207" i="18"/>
  <c r="C206" i="18"/>
  <c r="C136" i="18"/>
  <c r="C137" i="18" s="1"/>
  <c r="G17" i="18" s="1"/>
  <c r="C113" i="18"/>
  <c r="C135" i="18"/>
  <c r="C132" i="18"/>
  <c r="C131" i="18"/>
  <c r="C114" i="18"/>
  <c r="C107" i="18"/>
  <c r="C8" i="1"/>
  <c r="C7" i="1"/>
  <c r="C6" i="1"/>
  <c r="C5" i="1"/>
  <c r="C217" i="18" s="1"/>
  <c r="C4" i="1"/>
  <c r="C195" i="11" s="1"/>
  <c r="C3" i="1"/>
  <c r="C197" i="11" s="1"/>
  <c r="C230" i="11" l="1"/>
  <c r="C232" i="11"/>
  <c r="D61" i="11"/>
  <c r="BQ31" i="61" s="1"/>
  <c r="G61" i="11"/>
  <c r="BT31" i="61" s="1"/>
  <c r="F61" i="11"/>
  <c r="BS31" i="61" s="1"/>
  <c r="C61" i="11"/>
  <c r="BP31" i="61" s="1"/>
  <c r="E61" i="11"/>
  <c r="BR31" i="61" s="1"/>
  <c r="H61" i="11"/>
  <c r="BU31" i="61" s="1"/>
  <c r="D60" i="11"/>
  <c r="BK31" i="61" s="1"/>
  <c r="C60" i="11"/>
  <c r="BJ31" i="61" s="1"/>
  <c r="H60" i="11"/>
  <c r="BO31" i="61" s="1"/>
  <c r="G60" i="11"/>
  <c r="BN31" i="61" s="1"/>
  <c r="F60" i="11"/>
  <c r="BM31" i="61" s="1"/>
  <c r="E60" i="11"/>
  <c r="BL31" i="61" s="1"/>
  <c r="BJ28" i="61"/>
  <c r="CR50" i="61"/>
  <c r="CS50" i="61"/>
  <c r="CQ50" i="61"/>
  <c r="BP26" i="61"/>
  <c r="BR26" i="61"/>
  <c r="BR28" i="61"/>
  <c r="BQ28" i="61"/>
  <c r="BZ10" i="61"/>
  <c r="BQ26" i="61"/>
  <c r="BP28" i="61"/>
  <c r="F15" i="18"/>
  <c r="E15" i="18"/>
  <c r="G15" i="18"/>
  <c r="I15" i="18"/>
  <c r="F14" i="15"/>
  <c r="C52" i="19"/>
  <c r="D15" i="15"/>
  <c r="C15" i="15"/>
  <c r="G14" i="15"/>
  <c r="C142" i="10"/>
  <c r="K20" i="55"/>
  <c r="J29" i="55"/>
  <c r="K21" i="55"/>
  <c r="K25" i="55"/>
  <c r="K29" i="55"/>
  <c r="K33" i="55"/>
  <c r="K37" i="55"/>
  <c r="K41" i="55"/>
  <c r="K45" i="55"/>
  <c r="K49" i="55"/>
  <c r="J17" i="55"/>
  <c r="J18" i="55"/>
  <c r="J22" i="55"/>
  <c r="J26" i="55"/>
  <c r="J30" i="55"/>
  <c r="J34" i="55"/>
  <c r="J38" i="55"/>
  <c r="J46" i="55"/>
  <c r="J50" i="55"/>
  <c r="J32" i="55"/>
  <c r="J48" i="55"/>
  <c r="K32" i="55"/>
  <c r="K48" i="55"/>
  <c r="J37" i="55"/>
  <c r="K17" i="55"/>
  <c r="J42" i="55"/>
  <c r="J33" i="55"/>
  <c r="K18" i="55"/>
  <c r="K22" i="55"/>
  <c r="K26" i="55"/>
  <c r="K30" i="55"/>
  <c r="K34" i="55"/>
  <c r="K38" i="55"/>
  <c r="K42" i="55"/>
  <c r="K46" i="55"/>
  <c r="K50" i="55"/>
  <c r="K47" i="55"/>
  <c r="J20" i="55"/>
  <c r="J36" i="55"/>
  <c r="J52" i="55"/>
  <c r="K36" i="55"/>
  <c r="J25" i="55"/>
  <c r="J49" i="55"/>
  <c r="J19" i="55"/>
  <c r="J23" i="55"/>
  <c r="J27" i="55"/>
  <c r="J31" i="55"/>
  <c r="J35" i="55"/>
  <c r="J39" i="55"/>
  <c r="J43" i="55"/>
  <c r="J47" i="55"/>
  <c r="J51" i="55"/>
  <c r="K51" i="55"/>
  <c r="J28" i="55"/>
  <c r="J44" i="55"/>
  <c r="K28" i="55"/>
  <c r="K44" i="55"/>
  <c r="K52" i="55"/>
  <c r="J41" i="55"/>
  <c r="K19" i="55"/>
  <c r="K23" i="55"/>
  <c r="K27" i="55"/>
  <c r="K31" i="55"/>
  <c r="K35" i="55"/>
  <c r="K39" i="55"/>
  <c r="K43" i="55"/>
  <c r="J24" i="55"/>
  <c r="J40" i="55"/>
  <c r="K24" i="55"/>
  <c r="K40" i="55"/>
  <c r="J21" i="55"/>
  <c r="J45" i="55"/>
  <c r="D42" i="15"/>
  <c r="G42" i="15" s="1"/>
  <c r="C42" i="15"/>
  <c r="F42" i="15" s="1"/>
  <c r="C160" i="10"/>
  <c r="C143" i="10"/>
  <c r="C49" i="21"/>
  <c r="D9" i="21" s="1"/>
  <c r="C31" i="13"/>
  <c r="G9" i="13" s="1"/>
  <c r="BN17" i="61" s="1"/>
  <c r="C30" i="13"/>
  <c r="C38" i="13"/>
  <c r="G11" i="13" s="1"/>
  <c r="C276" i="10"/>
  <c r="C274" i="10"/>
  <c r="C273" i="10"/>
  <c r="C133" i="18"/>
  <c r="C272" i="10"/>
  <c r="C271" i="10"/>
  <c r="C270" i="10"/>
  <c r="C275" i="10"/>
  <c r="C53" i="15"/>
  <c r="D47" i="15"/>
  <c r="F31" i="15"/>
  <c r="C41" i="19"/>
  <c r="C370" i="10"/>
  <c r="F32" i="15"/>
  <c r="C372" i="10"/>
  <c r="D49" i="15"/>
  <c r="D52" i="15"/>
  <c r="C48" i="15"/>
  <c r="D29" i="15"/>
  <c r="C40" i="19"/>
  <c r="C369" i="10"/>
  <c r="C50" i="15"/>
  <c r="C53" i="19"/>
  <c r="D53" i="15"/>
  <c r="C371" i="10"/>
  <c r="C52" i="15"/>
  <c r="D48" i="15"/>
  <c r="C29" i="15"/>
  <c r="C33" i="20"/>
  <c r="C39" i="19"/>
  <c r="C365" i="10"/>
  <c r="C54" i="15"/>
  <c r="G31" i="15"/>
  <c r="D55" i="15"/>
  <c r="D51" i="15"/>
  <c r="C49" i="15"/>
  <c r="D28" i="15"/>
  <c r="C32" i="20"/>
  <c r="C7" i="20" s="1"/>
  <c r="C38" i="19"/>
  <c r="C364" i="10"/>
  <c r="C55" i="15"/>
  <c r="C51" i="15"/>
  <c r="C47" i="15"/>
  <c r="C28" i="15"/>
  <c r="C70" i="21"/>
  <c r="C31" i="20"/>
  <c r="E7" i="20" s="1"/>
  <c r="C37" i="19"/>
  <c r="D54" i="15"/>
  <c r="D50" i="15"/>
  <c r="G32" i="15"/>
  <c r="C48" i="21"/>
  <c r="C54" i="19"/>
  <c r="C36" i="19"/>
  <c r="C47" i="21"/>
  <c r="C47" i="20"/>
  <c r="G39" i="15"/>
  <c r="F39" i="15"/>
  <c r="C68" i="21"/>
  <c r="C69" i="21"/>
  <c r="C215" i="18"/>
  <c r="I31" i="46"/>
  <c r="P32" i="46"/>
  <c r="P31" i="46"/>
  <c r="M31" i="46"/>
  <c r="O32" i="46"/>
  <c r="I32" i="46"/>
  <c r="Q32" i="46"/>
  <c r="Q31" i="46"/>
  <c r="J31" i="46"/>
  <c r="K32" i="46"/>
  <c r="L32" i="46"/>
  <c r="L31" i="46"/>
  <c r="N32" i="46"/>
  <c r="J32" i="46"/>
  <c r="K31" i="46"/>
  <c r="M32" i="46"/>
  <c r="N31" i="46"/>
  <c r="O31" i="46"/>
  <c r="C216" i="18"/>
  <c r="C148" i="10"/>
  <c r="C155" i="10"/>
  <c r="C151" i="10"/>
  <c r="C154" i="10"/>
  <c r="C153" i="10"/>
  <c r="C152" i="10"/>
  <c r="C145" i="10"/>
  <c r="C144" i="10"/>
  <c r="E88" i="11"/>
  <c r="C231" i="11"/>
  <c r="C234" i="11"/>
  <c r="C235" i="11"/>
  <c r="C205" i="18"/>
  <c r="C214" i="18"/>
  <c r="B93" i="1"/>
  <c r="BZ17" i="61" l="1"/>
  <c r="BL10" i="61"/>
  <c r="BM10" i="61"/>
  <c r="BO10" i="61"/>
  <c r="BN10" i="61"/>
  <c r="C233" i="11"/>
  <c r="D88" i="11" s="1"/>
  <c r="S26" i="61"/>
  <c r="Q26" i="61"/>
  <c r="O26" i="61"/>
  <c r="P26" i="61"/>
  <c r="N26" i="61"/>
  <c r="E116" i="11"/>
  <c r="E115" i="11"/>
  <c r="E114" i="11"/>
  <c r="E117" i="11"/>
  <c r="BL50" i="61" l="1"/>
  <c r="C236" i="11"/>
  <c r="F13" i="13"/>
  <c r="E11" i="30" s="1"/>
  <c r="H13" i="13"/>
  <c r="G11" i="30" s="1"/>
  <c r="AK11" i="30" l="1"/>
  <c r="H14" i="13" s="1"/>
  <c r="DE17" i="61" s="1"/>
  <c r="AE11" i="30"/>
  <c r="AI11" i="30"/>
  <c r="F14" i="13" s="1"/>
  <c r="DC17" i="61" s="1"/>
  <c r="AC11" i="30"/>
  <c r="H88" i="11"/>
  <c r="G88" i="11"/>
  <c r="F88" i="11"/>
  <c r="BK50" i="61"/>
  <c r="E288" i="10"/>
  <c r="C288" i="10"/>
  <c r="E277" i="10"/>
  <c r="E250" i="10"/>
  <c r="E201" i="18"/>
  <c r="E202" i="18"/>
  <c r="C201" i="18"/>
  <c r="E251" i="18"/>
  <c r="E257" i="18"/>
  <c r="E178" i="18"/>
  <c r="E179" i="18"/>
  <c r="C178" i="18"/>
  <c r="E203" i="18"/>
  <c r="C202" i="18"/>
  <c r="E258" i="18"/>
  <c r="E249" i="18"/>
  <c r="E240" i="18"/>
  <c r="E237" i="18"/>
  <c r="E238" i="18"/>
  <c r="C179" i="18"/>
  <c r="C203" i="18"/>
  <c r="BO50" i="61" l="1"/>
  <c r="BM50" i="61"/>
  <c r="BN50" i="61"/>
  <c r="D13" i="13"/>
  <c r="C11" i="30" s="1"/>
  <c r="E13" i="13"/>
  <c r="D11" i="30" s="1"/>
  <c r="C13" i="13"/>
  <c r="F19" i="18"/>
  <c r="E9" i="30" s="1"/>
  <c r="I19" i="18"/>
  <c r="G9" i="30" s="1"/>
  <c r="E19" i="18"/>
  <c r="D9" i="30" s="1"/>
  <c r="D19" i="18"/>
  <c r="C9" i="30" s="1"/>
  <c r="C19" i="18"/>
  <c r="D13" i="18"/>
  <c r="BE10" i="61" s="1"/>
  <c r="E13" i="18"/>
  <c r="BF10" i="61" s="1"/>
  <c r="F13" i="18"/>
  <c r="BG10" i="61" s="1"/>
  <c r="I13" i="18"/>
  <c r="BI10" i="61" s="1"/>
  <c r="C13" i="18"/>
  <c r="BD10" i="61" s="1"/>
  <c r="D12" i="18"/>
  <c r="AA10" i="61" s="1"/>
  <c r="E12" i="18"/>
  <c r="AB10" i="61" s="1"/>
  <c r="F12" i="18"/>
  <c r="AC10" i="61" s="1"/>
  <c r="I12" i="18"/>
  <c r="AE10" i="61" s="1"/>
  <c r="C12" i="18"/>
  <c r="Z10" i="61" s="1"/>
  <c r="AH11" i="30" l="1"/>
  <c r="AB11" i="30"/>
  <c r="AG11" i="30"/>
  <c r="AA11" i="30"/>
  <c r="AB9" i="30"/>
  <c r="AH9" i="30"/>
  <c r="AK9" i="30"/>
  <c r="AE9" i="30"/>
  <c r="AC9" i="30"/>
  <c r="AI9" i="30"/>
  <c r="AA9" i="30"/>
  <c r="AG9" i="30"/>
  <c r="F330" i="10"/>
  <c r="H330" i="10"/>
  <c r="H329" i="10" s="1"/>
  <c r="H14" i="21"/>
  <c r="F14" i="21"/>
  <c r="H13" i="21"/>
  <c r="F13" i="21"/>
  <c r="H12" i="21"/>
  <c r="F12" i="21"/>
  <c r="H9" i="21"/>
  <c r="F9" i="21"/>
  <c r="H10" i="20"/>
  <c r="F10" i="20"/>
  <c r="H9" i="20"/>
  <c r="F9" i="20"/>
  <c r="H8" i="20"/>
  <c r="F8" i="20"/>
  <c r="H7" i="20"/>
  <c r="F7" i="20"/>
  <c r="H10" i="19"/>
  <c r="F10" i="19"/>
  <c r="H15" i="11"/>
  <c r="H91" i="11"/>
  <c r="F91" i="11"/>
  <c r="AD27" i="30" l="1"/>
  <c r="AJ27" i="30" s="1"/>
  <c r="G15" i="21" s="1"/>
  <c r="G18" i="21" s="1"/>
  <c r="G27" i="30"/>
  <c r="AD26" i="30"/>
  <c r="AJ26" i="30" s="1"/>
  <c r="G11" i="20" s="1"/>
  <c r="G15" i="20" s="1"/>
  <c r="G26" i="30"/>
  <c r="CA48" i="61"/>
  <c r="BY48" i="61"/>
  <c r="BM26" i="61"/>
  <c r="BU26" i="61"/>
  <c r="G330" i="10"/>
  <c r="G329" i="10" s="1"/>
  <c r="F329" i="10"/>
  <c r="AD44" i="30"/>
  <c r="G92" i="11" s="1"/>
  <c r="DD50" i="61" s="1"/>
  <c r="G44" i="30"/>
  <c r="I20" i="18"/>
  <c r="DE10" i="61" s="1"/>
  <c r="G20" i="18"/>
  <c r="DD10" i="61" s="1"/>
  <c r="F15" i="11"/>
  <c r="AD24" i="30"/>
  <c r="AJ24" i="30" s="1"/>
  <c r="G11" i="19" s="1"/>
  <c r="G24" i="30"/>
  <c r="AE24" i="30" s="1"/>
  <c r="AK24" i="30" s="1"/>
  <c r="H11" i="19" s="1"/>
  <c r="F333" i="10"/>
  <c r="H333" i="10"/>
  <c r="H334" i="10" s="1"/>
  <c r="DD32" i="61" l="1"/>
  <c r="G16" i="19"/>
  <c r="AE27" i="30"/>
  <c r="AK27" i="30"/>
  <c r="H15" i="21" s="1"/>
  <c r="DE32" i="61"/>
  <c r="H16" i="19"/>
  <c r="AE26" i="30"/>
  <c r="AK26" i="30"/>
  <c r="H11" i="20" s="1"/>
  <c r="BS26" i="61"/>
  <c r="AK44" i="30"/>
  <c r="AE44" i="30"/>
  <c r="F334" i="10"/>
  <c r="G333" i="10"/>
  <c r="G334" i="10" s="1"/>
  <c r="E227" i="11"/>
  <c r="E226" i="11"/>
  <c r="E225" i="11"/>
  <c r="E160" i="11"/>
  <c r="E159" i="11"/>
  <c r="E158" i="11"/>
  <c r="C160" i="11"/>
  <c r="C159" i="11"/>
  <c r="C158" i="11"/>
  <c r="E44" i="30"/>
  <c r="AI44" i="30" s="1"/>
  <c r="E27" i="30"/>
  <c r="E26" i="30"/>
  <c r="E24" i="30"/>
  <c r="E21" i="30"/>
  <c r="E19" i="30"/>
  <c r="E7" i="30"/>
  <c r="AB16" i="30"/>
  <c r="AC16" i="30"/>
  <c r="AC18" i="30"/>
  <c r="E14" i="30"/>
  <c r="AC14" i="30" s="1"/>
  <c r="AB15" i="30"/>
  <c r="AC15" i="30"/>
  <c r="AC17" i="30"/>
  <c r="AB18" i="30"/>
  <c r="AB20" i="30"/>
  <c r="AC20" i="30"/>
  <c r="AB40" i="30"/>
  <c r="AC40" i="30"/>
  <c r="AB41" i="30"/>
  <c r="AC41" i="30"/>
  <c r="AB42" i="30"/>
  <c r="AC42" i="30"/>
  <c r="AB43" i="30"/>
  <c r="AC43" i="30"/>
  <c r="E12" i="30"/>
  <c r="G18" i="10"/>
  <c r="DD18" i="61" s="1"/>
  <c r="G33" i="10"/>
  <c r="E300" i="10"/>
  <c r="E276" i="10"/>
  <c r="E251" i="10"/>
  <c r="E194" i="10"/>
  <c r="E160" i="10"/>
  <c r="E142" i="10"/>
  <c r="G34" i="10" l="1"/>
  <c r="BT19" i="61" s="1"/>
  <c r="BN19" i="61"/>
  <c r="G45" i="11"/>
  <c r="G46" i="11" s="1"/>
  <c r="F45" i="11"/>
  <c r="F46" i="11" s="1"/>
  <c r="H45" i="11"/>
  <c r="H46" i="11" s="1"/>
  <c r="BO28" i="61"/>
  <c r="BM28" i="61"/>
  <c r="AC12" i="30"/>
  <c r="AI12" i="30"/>
  <c r="F18" i="10" s="1"/>
  <c r="DC18" i="61" s="1"/>
  <c r="H92" i="11"/>
  <c r="DE50" i="61" s="1"/>
  <c r="H18" i="21"/>
  <c r="AC27" i="30"/>
  <c r="AI27" i="30"/>
  <c r="F15" i="21" s="1"/>
  <c r="AI14" i="30"/>
  <c r="AC44" i="30"/>
  <c r="F92" i="11" s="1"/>
  <c r="DC50" i="61" s="1"/>
  <c r="AC24" i="30"/>
  <c r="AI24" i="30" s="1"/>
  <c r="AC26" i="30"/>
  <c r="AI26" i="30" s="1"/>
  <c r="AC7" i="30"/>
  <c r="AI7" i="30" s="1"/>
  <c r="AC21" i="30"/>
  <c r="AI21" i="30" s="1"/>
  <c r="AC19" i="30"/>
  <c r="AI19" i="30" s="1"/>
  <c r="AB17" i="30"/>
  <c r="L15" i="15"/>
  <c r="BN28" i="61" l="1"/>
  <c r="BU28" i="61"/>
  <c r="BT28" i="61"/>
  <c r="BS28" i="61"/>
  <c r="F18" i="21"/>
  <c r="F20" i="18"/>
  <c r="DC10" i="61" s="1"/>
  <c r="F40" i="18"/>
  <c r="DC8" i="61" s="1"/>
  <c r="F49" i="11"/>
  <c r="DC28" i="61" s="1"/>
  <c r="F18" i="11"/>
  <c r="DC26" i="61" s="1"/>
  <c r="F11" i="20"/>
  <c r="H15" i="20"/>
  <c r="H16" i="49"/>
  <c r="F11" i="19"/>
  <c r="F16" i="49"/>
  <c r="E191" i="10"/>
  <c r="DC32" i="61" l="1"/>
  <c r="F16" i="19"/>
  <c r="F15" i="20"/>
  <c r="L3" i="15" l="1"/>
  <c r="E63" i="10" l="1"/>
  <c r="E56" i="10"/>
  <c r="Z15" i="30" l="1"/>
  <c r="Z16" i="30"/>
  <c r="Z17" i="30"/>
  <c r="Z18" i="30"/>
  <c r="Z20" i="30"/>
  <c r="Z40" i="30"/>
  <c r="Z41" i="30"/>
  <c r="Z42" i="30"/>
  <c r="Z43" i="30"/>
  <c r="AA15" i="30"/>
  <c r="AA16" i="30"/>
  <c r="AA17" i="30"/>
  <c r="AA18" i="30"/>
  <c r="AA20" i="30"/>
  <c r="AA40" i="30"/>
  <c r="AA41" i="30"/>
  <c r="AA42" i="30"/>
  <c r="AA43" i="30"/>
  <c r="E143" i="10" l="1"/>
  <c r="E28" i="19" l="1"/>
  <c r="E27" i="19"/>
  <c r="E27" i="20"/>
  <c r="E26" i="20"/>
  <c r="E27" i="21"/>
  <c r="E26" i="21"/>
  <c r="E234" i="11" l="1"/>
  <c r="E40" i="13" l="1"/>
  <c r="E38" i="13"/>
  <c r="E44" i="13"/>
  <c r="E31" i="13"/>
  <c r="E23" i="13"/>
  <c r="C23" i="13"/>
  <c r="G8" i="13" s="1"/>
  <c r="BH17" i="61" s="1"/>
  <c r="E45" i="13"/>
  <c r="E24" i="13"/>
  <c r="C24" i="13"/>
  <c r="F8" i="13" l="1"/>
  <c r="BG17" i="61" s="1"/>
  <c r="H8" i="13"/>
  <c r="BI17" i="61" s="1"/>
  <c r="D8" i="13"/>
  <c r="BE17" i="61" s="1"/>
  <c r="E8" i="13"/>
  <c r="BF17" i="61" s="1"/>
  <c r="C8" i="13"/>
  <c r="BD17" i="61" s="1"/>
  <c r="H9" i="13"/>
  <c r="F9" i="13"/>
  <c r="D9" i="13"/>
  <c r="E9" i="13"/>
  <c r="C9" i="13"/>
  <c r="F11" i="13"/>
  <c r="H11" i="13"/>
  <c r="D11" i="13"/>
  <c r="E11" i="13"/>
  <c r="C11" i="13"/>
  <c r="C79" i="18"/>
  <c r="G14" i="18" s="1"/>
  <c r="X10" i="61" s="1"/>
  <c r="C78" i="18"/>
  <c r="C77" i="18"/>
  <c r="BW17" i="61" l="1"/>
  <c r="BK17" i="61"/>
  <c r="BV17" i="61"/>
  <c r="BM17" i="61"/>
  <c r="CA17" i="61"/>
  <c r="BJ17" i="61"/>
  <c r="BX17" i="61"/>
  <c r="BO17" i="61"/>
  <c r="BY17" i="61"/>
  <c r="BL17" i="61"/>
  <c r="C14" i="18"/>
  <c r="T10" i="61" s="1"/>
  <c r="E14" i="18"/>
  <c r="V10" i="61" s="1"/>
  <c r="F14" i="18"/>
  <c r="W10" i="61" s="1"/>
  <c r="I14" i="18"/>
  <c r="Y10" i="61" s="1"/>
  <c r="D14" i="18"/>
  <c r="U10" i="61" s="1"/>
  <c r="E64" i="19"/>
  <c r="L127" i="15" l="1"/>
  <c r="L18" i="48" l="1"/>
  <c r="L19" i="48"/>
  <c r="L20" i="48"/>
  <c r="L21" i="48"/>
  <c r="L22" i="48"/>
  <c r="L23" i="48"/>
  <c r="L31" i="48"/>
  <c r="L24" i="48"/>
  <c r="L25" i="48"/>
  <c r="L26" i="48"/>
  <c r="L27" i="48"/>
  <c r="L28" i="48"/>
  <c r="L29" i="48"/>
  <c r="L30" i="48"/>
  <c r="L32" i="48"/>
  <c r="K18" i="48"/>
  <c r="K19" i="48"/>
  <c r="K20" i="48"/>
  <c r="K21" i="48"/>
  <c r="K22" i="48"/>
  <c r="K23" i="48"/>
  <c r="K31" i="48"/>
  <c r="K24" i="48"/>
  <c r="K25" i="48"/>
  <c r="K26" i="48"/>
  <c r="K27" i="48"/>
  <c r="K28" i="48"/>
  <c r="K29" i="48"/>
  <c r="K30" i="48"/>
  <c r="K32" i="48"/>
  <c r="L4" i="48"/>
  <c r="L5" i="48"/>
  <c r="L6" i="48"/>
  <c r="L7" i="48"/>
  <c r="L8" i="48"/>
  <c r="L9" i="48"/>
  <c r="L13" i="48"/>
  <c r="L10" i="48"/>
  <c r="L11" i="48"/>
  <c r="L12" i="48"/>
  <c r="L15" i="48"/>
  <c r="K5" i="48"/>
  <c r="K6" i="48"/>
  <c r="K7" i="48"/>
  <c r="K8" i="48"/>
  <c r="K9" i="48"/>
  <c r="K13" i="48"/>
  <c r="K10" i="48"/>
  <c r="K11" i="48"/>
  <c r="K12" i="48"/>
  <c r="K15" i="48"/>
  <c r="K4" i="48"/>
  <c r="C13" i="48"/>
  <c r="C9" i="48"/>
  <c r="J14" i="48"/>
  <c r="L14" i="48" s="1"/>
  <c r="I14" i="48"/>
  <c r="K14" i="48" s="1"/>
  <c r="C14" i="48"/>
  <c r="C15" i="48"/>
  <c r="L40" i="15"/>
  <c r="M4" i="48" l="1"/>
  <c r="M24" i="48"/>
  <c r="M11" i="48"/>
  <c r="M7" i="48"/>
  <c r="M26" i="48"/>
  <c r="M19" i="48"/>
  <c r="M30" i="48"/>
  <c r="M23" i="48"/>
  <c r="M10" i="48"/>
  <c r="M8" i="48"/>
  <c r="M27" i="48"/>
  <c r="M20" i="48"/>
  <c r="M13" i="48"/>
  <c r="M25" i="48"/>
  <c r="M9" i="48"/>
  <c r="M28" i="48"/>
  <c r="M21" i="48"/>
  <c r="M18" i="48"/>
  <c r="M15" i="48"/>
  <c r="M6" i="48"/>
  <c r="M12" i="48"/>
  <c r="M5" i="48"/>
  <c r="M14" i="48"/>
  <c r="M32" i="48"/>
  <c r="M31" i="48"/>
  <c r="M29" i="48"/>
  <c r="M22" i="48"/>
  <c r="C23" i="48"/>
  <c r="C30" i="48"/>
  <c r="C32" i="48"/>
  <c r="C24" i="48"/>
  <c r="C8" i="48"/>
  <c r="C10" i="48"/>
  <c r="C12" i="48"/>
  <c r="N80" i="15"/>
  <c r="B30" i="48" s="1"/>
  <c r="N65" i="15"/>
  <c r="B19" i="48" s="1"/>
  <c r="C19" i="48" s="1"/>
  <c r="N79" i="15"/>
  <c r="N70" i="15"/>
  <c r="B25" i="48" s="1"/>
  <c r="C25" i="48" s="1"/>
  <c r="N78" i="15"/>
  <c r="B28" i="48" s="1"/>
  <c r="C28" i="48" s="1"/>
  <c r="D19" i="48" l="1"/>
  <c r="D30" i="48"/>
  <c r="D28" i="48"/>
  <c r="D25" i="48"/>
  <c r="N77" i="15"/>
  <c r="B27" i="48" s="1"/>
  <c r="C27" i="48" s="1"/>
  <c r="N76" i="15"/>
  <c r="N75" i="15"/>
  <c r="B31" i="48" s="1"/>
  <c r="N74" i="15"/>
  <c r="B23" i="48" s="1"/>
  <c r="N73" i="15"/>
  <c r="B26" i="48" s="1"/>
  <c r="C26" i="48" s="1"/>
  <c r="N72" i="15"/>
  <c r="B22" i="48" s="1"/>
  <c r="C22" i="48" s="1"/>
  <c r="N71" i="15"/>
  <c r="N68" i="15"/>
  <c r="N67" i="15"/>
  <c r="B20" i="48" s="1"/>
  <c r="N66" i="15"/>
  <c r="B18" i="48" s="1"/>
  <c r="C18" i="48" s="1"/>
  <c r="N69" i="15"/>
  <c r="B21" i="48" s="1"/>
  <c r="C21" i="48" s="1"/>
  <c r="N21" i="15"/>
  <c r="B12" i="48" s="1"/>
  <c r="L22" i="15"/>
  <c r="G21" i="15"/>
  <c r="F21" i="15"/>
  <c r="N30" i="15"/>
  <c r="N29" i="15"/>
  <c r="N26" i="15"/>
  <c r="B9" i="48" s="1"/>
  <c r="N34" i="15"/>
  <c r="B8" i="48" s="1"/>
  <c r="G34" i="15"/>
  <c r="F34" i="15"/>
  <c r="L113" i="15"/>
  <c r="L139" i="15"/>
  <c r="L133" i="15"/>
  <c r="L126" i="15"/>
  <c r="G89" i="15"/>
  <c r="F89" i="15"/>
  <c r="N89" i="15"/>
  <c r="L121" i="15"/>
  <c r="L120" i="15"/>
  <c r="L119" i="15"/>
  <c r="L112" i="15"/>
  <c r="C86" i="15"/>
  <c r="C87" i="15"/>
  <c r="C88" i="15"/>
  <c r="D86" i="15"/>
  <c r="D87" i="15"/>
  <c r="D88" i="15"/>
  <c r="N88" i="15"/>
  <c r="B24" i="48" s="1"/>
  <c r="N87" i="15"/>
  <c r="N86" i="15"/>
  <c r="L110" i="15"/>
  <c r="L111" i="15"/>
  <c r="L109" i="15"/>
  <c r="L108" i="15"/>
  <c r="L107" i="15"/>
  <c r="L106" i="15"/>
  <c r="L105" i="15"/>
  <c r="L104" i="15"/>
  <c r="L103" i="15"/>
  <c r="L102" i="15"/>
  <c r="N85" i="15"/>
  <c r="C83" i="15"/>
  <c r="C84" i="15"/>
  <c r="C85" i="15"/>
  <c r="D83" i="15"/>
  <c r="D84" i="15"/>
  <c r="D85" i="15"/>
  <c r="N84" i="15"/>
  <c r="N83" i="15"/>
  <c r="B32" i="48" s="1"/>
  <c r="D32" i="48" s="1"/>
  <c r="N82" i="15"/>
  <c r="C81" i="15"/>
  <c r="D81" i="15"/>
  <c r="C82" i="15"/>
  <c r="D82" i="15"/>
  <c r="C80" i="15"/>
  <c r="D80" i="15"/>
  <c r="N81" i="15"/>
  <c r="L79" i="15"/>
  <c r="C33" i="15"/>
  <c r="N64" i="15"/>
  <c r="N63" i="15"/>
  <c r="N62" i="15"/>
  <c r="N61" i="15"/>
  <c r="B29" i="48" s="1"/>
  <c r="C29" i="48" s="1"/>
  <c r="N33" i="15"/>
  <c r="B10" i="48" s="1"/>
  <c r="C20" i="48" l="1"/>
  <c r="D20" i="48" s="1"/>
  <c r="C31" i="48"/>
  <c r="D31" i="48" s="1"/>
  <c r="D26" i="48"/>
  <c r="D29" i="48"/>
  <c r="D27" i="48"/>
  <c r="D18" i="48"/>
  <c r="D22" i="48"/>
  <c r="D23" i="48"/>
  <c r="D21" i="48"/>
  <c r="D24" i="48"/>
  <c r="D9" i="48"/>
  <c r="D10" i="48"/>
  <c r="D8" i="48"/>
  <c r="D12" i="48"/>
  <c r="E25" i="21"/>
  <c r="E25" i="20"/>
  <c r="E26" i="19"/>
  <c r="E145" i="10" l="1"/>
  <c r="E144" i="10"/>
  <c r="E231" i="11"/>
  <c r="E230" i="11"/>
  <c r="E47" i="20" l="1"/>
  <c r="E33" i="20"/>
  <c r="E32" i="20"/>
  <c r="E31" i="20"/>
  <c r="D7" i="20"/>
  <c r="E49" i="21"/>
  <c r="C9" i="21"/>
  <c r="E70" i="21"/>
  <c r="E69" i="21"/>
  <c r="E12" i="21"/>
  <c r="E68" i="21"/>
  <c r="E47" i="21"/>
  <c r="D12" i="21"/>
  <c r="C12" i="21"/>
  <c r="E48" i="21"/>
  <c r="E54" i="19"/>
  <c r="E53" i="19"/>
  <c r="E52" i="19"/>
  <c r="E39" i="19"/>
  <c r="E38" i="19"/>
  <c r="E37" i="19"/>
  <c r="E36" i="19"/>
  <c r="E41" i="19"/>
  <c r="E40" i="19"/>
  <c r="D33" i="15"/>
  <c r="E9" i="21" l="1"/>
  <c r="C8" i="20"/>
  <c r="D8" i="20"/>
  <c r="E8" i="20"/>
  <c r="L78" i="15"/>
  <c r="L77" i="15"/>
  <c r="L76" i="15"/>
  <c r="L75" i="15"/>
  <c r="L74" i="15"/>
  <c r="L73" i="15"/>
  <c r="L72" i="15"/>
  <c r="L71" i="15"/>
  <c r="L70" i="15"/>
  <c r="L69" i="15"/>
  <c r="L68" i="15"/>
  <c r="L67" i="15"/>
  <c r="L66" i="15"/>
  <c r="L65" i="15"/>
  <c r="L55" i="15"/>
  <c r="L54" i="15"/>
  <c r="L53" i="15"/>
  <c r="L52" i="15"/>
  <c r="L51" i="15"/>
  <c r="L50" i="15"/>
  <c r="L49" i="15"/>
  <c r="L48" i="15"/>
  <c r="L47" i="15"/>
  <c r="N28" i="15" l="1"/>
  <c r="N27" i="15"/>
  <c r="B13" i="48" s="1"/>
  <c r="D13" i="48" s="1"/>
  <c r="N25" i="15"/>
  <c r="B5" i="48" s="1"/>
  <c r="C5" i="48" s="1"/>
  <c r="N24" i="15"/>
  <c r="B7" i="48" s="1"/>
  <c r="C7" i="48" s="1"/>
  <c r="N23" i="15"/>
  <c r="B6" i="48" s="1"/>
  <c r="C6" i="48" s="1"/>
  <c r="N22" i="15"/>
  <c r="B4" i="48" s="1"/>
  <c r="C4" i="48" s="1"/>
  <c r="L25" i="15"/>
  <c r="L24" i="15"/>
  <c r="L23" i="15"/>
  <c r="D7" i="48" l="1"/>
  <c r="D4" i="48"/>
  <c r="D6" i="48"/>
  <c r="D5" i="48"/>
  <c r="N20" i="15"/>
  <c r="B15" i="48" s="1"/>
  <c r="D15" i="48" l="1"/>
  <c r="B9" i="30" l="1"/>
  <c r="Z9" i="30" l="1"/>
  <c r="AF9" i="30"/>
  <c r="F7" i="15"/>
  <c r="N32" i="15"/>
  <c r="B11" i="48" s="1"/>
  <c r="C11" i="48" s="1"/>
  <c r="N31" i="15"/>
  <c r="B14" i="48" s="1"/>
  <c r="D14" i="48" s="1"/>
  <c r="D32" i="15"/>
  <c r="C32" i="15"/>
  <c r="L39" i="15"/>
  <c r="D31" i="15"/>
  <c r="C31" i="15"/>
  <c r="L14" i="15"/>
  <c r="D39" i="15"/>
  <c r="C39" i="15"/>
  <c r="F6" i="15"/>
  <c r="F3" i="15"/>
  <c r="R3" i="15"/>
  <c r="F4" i="15"/>
  <c r="R2" i="15"/>
  <c r="D14" i="15"/>
  <c r="C14" i="15"/>
  <c r="I15" i="15" l="1"/>
  <c r="J15" i="15"/>
  <c r="I14" i="15"/>
  <c r="J14" i="15"/>
  <c r="D30" i="15"/>
  <c r="G30" i="15" s="1"/>
  <c r="C30" i="15"/>
  <c r="F30" i="15" s="1"/>
  <c r="D11" i="48"/>
  <c r="C79" i="15"/>
  <c r="D79" i="15"/>
  <c r="E293" i="10" l="1"/>
  <c r="E291" i="10"/>
  <c r="E301" i="10"/>
  <c r="E289" i="10"/>
  <c r="E280" i="10"/>
  <c r="E278" i="10"/>
  <c r="E256" i="10"/>
  <c r="E222" i="18" l="1"/>
  <c r="E221" i="18"/>
  <c r="E182" i="18"/>
  <c r="E145" i="18" l="1"/>
  <c r="E126" i="18"/>
  <c r="C26" i="30" l="1"/>
  <c r="AA26" i="30" l="1"/>
  <c r="AG26" i="30" s="1"/>
  <c r="E29" i="19"/>
  <c r="E28" i="20"/>
  <c r="E28" i="21"/>
  <c r="E24" i="21" l="1"/>
  <c r="E24" i="20"/>
  <c r="E25" i="19"/>
  <c r="E23" i="21" l="1"/>
  <c r="E23" i="20"/>
  <c r="E24" i="19"/>
  <c r="E22" i="19" l="1"/>
  <c r="B109" i="1" l="1"/>
  <c r="B122" i="1" l="1"/>
  <c r="B119" i="1"/>
  <c r="B121" i="1" s="1"/>
  <c r="E127" i="18" l="1"/>
  <c r="E129" i="18"/>
  <c r="E128" i="18"/>
  <c r="F196" i="21" l="1"/>
  <c r="C200" i="21" l="1"/>
  <c r="C186" i="21" s="1"/>
  <c r="C11" i="21" s="1"/>
  <c r="E185" i="21"/>
  <c r="D185" i="21"/>
  <c r="C185" i="21"/>
  <c r="C196" i="21"/>
  <c r="E202" i="21"/>
  <c r="E197" i="21"/>
  <c r="C197" i="21"/>
  <c r="D187" i="21" l="1"/>
  <c r="C187" i="21"/>
  <c r="E187" i="21"/>
  <c r="E186" i="21"/>
  <c r="E11" i="21" s="1"/>
  <c r="D186" i="21"/>
  <c r="E194" i="21"/>
  <c r="E34" i="21"/>
  <c r="D11" i="21" l="1"/>
  <c r="E173" i="18"/>
  <c r="E175" i="18"/>
  <c r="E75" i="11" l="1"/>
  <c r="BL21" i="61" s="1"/>
  <c r="D75" i="11"/>
  <c r="BK21" i="61" s="1"/>
  <c r="C75" i="11"/>
  <c r="BJ21" i="61" s="1"/>
  <c r="G7" i="46"/>
  <c r="C74" i="11" s="1"/>
  <c r="BJ20" i="61" s="1"/>
  <c r="D74" i="11" l="1"/>
  <c r="BK20" i="61" s="1"/>
  <c r="E74" i="11"/>
  <c r="BL20" i="61" s="1"/>
  <c r="E110" i="10"/>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2" i="46"/>
  <c r="K1" i="46"/>
  <c r="K3" i="46" s="1"/>
  <c r="H2" i="46" s="1"/>
  <c r="H4" i="46"/>
  <c r="I3" i="46"/>
  <c r="I2" i="46"/>
  <c r="K4" i="46" l="1"/>
  <c r="H3" i="46" s="1"/>
  <c r="G62" i="15" l="1"/>
  <c r="G63" i="15"/>
  <c r="G64" i="15"/>
  <c r="G65" i="15"/>
  <c r="G66" i="15"/>
  <c r="G67" i="15"/>
  <c r="G68" i="15"/>
  <c r="G69" i="15"/>
  <c r="G70" i="15"/>
  <c r="G71" i="15"/>
  <c r="G72" i="15"/>
  <c r="G73" i="15"/>
  <c r="G74" i="15"/>
  <c r="G75" i="15"/>
  <c r="G76" i="15"/>
  <c r="G77" i="15"/>
  <c r="G78" i="15"/>
  <c r="F62" i="15"/>
  <c r="F63" i="15"/>
  <c r="F64" i="15"/>
  <c r="F65" i="15"/>
  <c r="F66" i="15"/>
  <c r="F67" i="15"/>
  <c r="F68" i="15"/>
  <c r="F69" i="15"/>
  <c r="F70" i="15"/>
  <c r="F71" i="15"/>
  <c r="F72" i="15"/>
  <c r="F73" i="15"/>
  <c r="F74" i="15"/>
  <c r="F75" i="15"/>
  <c r="F76" i="15"/>
  <c r="F77" i="15"/>
  <c r="F78" i="15"/>
  <c r="G61" i="15"/>
  <c r="F61" i="15"/>
  <c r="G22" i="15"/>
  <c r="G23" i="15"/>
  <c r="G24" i="15"/>
  <c r="G25" i="15"/>
  <c r="G26" i="15"/>
  <c r="G27" i="15"/>
  <c r="G20" i="15"/>
  <c r="F22" i="15"/>
  <c r="F23" i="15"/>
  <c r="F24" i="15"/>
  <c r="F25" i="15"/>
  <c r="F26" i="15"/>
  <c r="F27" i="15"/>
  <c r="F20" i="15"/>
  <c r="E220" i="18" l="1"/>
  <c r="E219" i="18"/>
  <c r="E218" i="18"/>
  <c r="C73" i="10" l="1"/>
  <c r="C59" i="10"/>
  <c r="G45" i="10" l="1"/>
  <c r="CL46" i="61" s="1"/>
  <c r="H45" i="10"/>
  <c r="CM46" i="61" s="1"/>
  <c r="F45" i="10"/>
  <c r="CK46" i="61" s="1"/>
  <c r="C45" i="10"/>
  <c r="CH46" i="61" s="1"/>
  <c r="E45" i="10"/>
  <c r="CJ46" i="61" s="1"/>
  <c r="D45" i="10"/>
  <c r="CI46" i="61" s="1"/>
  <c r="C14" i="30"/>
  <c r="AA14" i="30" s="1"/>
  <c r="D14" i="30"/>
  <c r="AB14" i="30" s="1"/>
  <c r="B14" i="30"/>
  <c r="Z14" i="30" s="1"/>
  <c r="E76" i="11"/>
  <c r="BR20" i="61" s="1"/>
  <c r="C76" i="11"/>
  <c r="BP20" i="61" s="1"/>
  <c r="B3" i="46"/>
  <c r="D3" i="46" s="1"/>
  <c r="B4" i="46"/>
  <c r="D4" i="46" s="1"/>
  <c r="B5" i="46"/>
  <c r="D5" i="46" s="1"/>
  <c r="B6" i="46"/>
  <c r="D6" i="46" s="1"/>
  <c r="B7" i="46"/>
  <c r="D7" i="46" s="1"/>
  <c r="B8" i="46"/>
  <c r="D8" i="46" s="1"/>
  <c r="B9" i="46"/>
  <c r="D9" i="46" s="1"/>
  <c r="B10" i="46"/>
  <c r="D10" i="46" s="1"/>
  <c r="B11" i="46"/>
  <c r="D11" i="46" s="1"/>
  <c r="B12" i="46"/>
  <c r="D12" i="46" s="1"/>
  <c r="B13" i="46"/>
  <c r="D13" i="46" s="1"/>
  <c r="B14" i="46"/>
  <c r="D14" i="46" s="1"/>
  <c r="B15" i="46"/>
  <c r="D15" i="46" s="1"/>
  <c r="B16" i="46"/>
  <c r="D16" i="46" s="1"/>
  <c r="B17" i="46"/>
  <c r="D17" i="46" s="1"/>
  <c r="B18" i="46"/>
  <c r="D18" i="46" s="1"/>
  <c r="B19" i="46"/>
  <c r="D19" i="46" s="1"/>
  <c r="B20" i="46"/>
  <c r="D20" i="46" s="1"/>
  <c r="B21" i="46"/>
  <c r="D21" i="46" s="1"/>
  <c r="B22" i="46"/>
  <c r="D22" i="46" s="1"/>
  <c r="B23" i="46"/>
  <c r="D23" i="46" s="1"/>
  <c r="B24" i="46"/>
  <c r="D24" i="46" s="1"/>
  <c r="B25" i="46"/>
  <c r="D25" i="46" s="1"/>
  <c r="B26" i="46"/>
  <c r="D26" i="46" s="1"/>
  <c r="B27" i="46"/>
  <c r="D27" i="46" s="1"/>
  <c r="B28" i="46"/>
  <c r="D28" i="46" s="1"/>
  <c r="B29" i="46"/>
  <c r="D29" i="46" s="1"/>
  <c r="B30" i="46"/>
  <c r="D30" i="46" s="1"/>
  <c r="B31" i="46"/>
  <c r="D31" i="46" s="1"/>
  <c r="B32" i="46"/>
  <c r="D32" i="46" s="1"/>
  <c r="B33" i="46"/>
  <c r="D33" i="46" s="1"/>
  <c r="B34" i="46"/>
  <c r="D34" i="46" s="1"/>
  <c r="B35" i="46"/>
  <c r="D35" i="46" s="1"/>
  <c r="B36" i="46"/>
  <c r="D36" i="46" s="1"/>
  <c r="B37" i="46"/>
  <c r="D37" i="46" s="1"/>
  <c r="B38" i="46"/>
  <c r="D38" i="46" s="1"/>
  <c r="B39" i="46"/>
  <c r="D39" i="46" s="1"/>
  <c r="B40" i="46"/>
  <c r="D40" i="46" s="1"/>
  <c r="B41" i="46"/>
  <c r="D41" i="46" s="1"/>
  <c r="B42" i="46"/>
  <c r="D42" i="46" s="1"/>
  <c r="B43" i="46"/>
  <c r="D43" i="46" s="1"/>
  <c r="B44" i="46"/>
  <c r="D44" i="46" s="1"/>
  <c r="B45" i="46"/>
  <c r="D45" i="46" s="1"/>
  <c r="B46" i="46"/>
  <c r="D46" i="46" s="1"/>
  <c r="B47" i="46"/>
  <c r="D47" i="46" s="1"/>
  <c r="B48" i="46"/>
  <c r="D48" i="46" s="1"/>
  <c r="B49" i="46"/>
  <c r="D49" i="46" s="1"/>
  <c r="B50" i="46"/>
  <c r="D50" i="46" s="1"/>
  <c r="B51" i="46"/>
  <c r="D51" i="46" s="1"/>
  <c r="B52" i="46"/>
  <c r="D52" i="46" s="1"/>
  <c r="B2" i="46"/>
  <c r="D2" i="46" s="1"/>
  <c r="AF14" i="30" l="1"/>
  <c r="AG14" i="30"/>
  <c r="AH14" i="30"/>
  <c r="D76" i="11"/>
  <c r="BQ20" i="61" s="1"/>
  <c r="E78" i="11" l="1"/>
  <c r="C78" i="11"/>
  <c r="D78" i="11"/>
  <c r="E65" i="21" l="1"/>
  <c r="E64" i="21"/>
  <c r="E63" i="21"/>
  <c r="E62" i="21"/>
  <c r="E61" i="21"/>
  <c r="E60" i="21"/>
  <c r="E59" i="21"/>
  <c r="E58" i="21"/>
  <c r="E57" i="21"/>
  <c r="G29" i="15" l="1"/>
  <c r="F29" i="15"/>
  <c r="G28" i="15"/>
  <c r="F28" i="15"/>
  <c r="E181" i="10" l="1"/>
  <c r="E180" i="10"/>
  <c r="E179" i="10"/>
  <c r="E178" i="10"/>
  <c r="E177" i="10"/>
  <c r="E176" i="10"/>
  <c r="E175" i="10"/>
  <c r="E169" i="10"/>
  <c r="E170" i="10"/>
  <c r="E168" i="10"/>
  <c r="E167" i="10"/>
  <c r="E166" i="10"/>
  <c r="E165" i="10"/>
  <c r="E164" i="10"/>
  <c r="E163" i="10"/>
  <c r="E162" i="10"/>
  <c r="E161" i="10"/>
  <c r="E159" i="10"/>
  <c r="E158" i="10"/>
  <c r="E157" i="10"/>
  <c r="E156" i="10"/>
  <c r="E103" i="18" l="1"/>
  <c r="E96" i="18"/>
  <c r="E102" i="18"/>
  <c r="E101" i="18"/>
  <c r="C141" i="21"/>
  <c r="C140" i="21"/>
  <c r="C139" i="21"/>
  <c r="C138" i="21"/>
  <c r="C137" i="21"/>
  <c r="C136" i="21"/>
  <c r="C135" i="21"/>
  <c r="C134" i="21"/>
  <c r="E59" i="10" l="1"/>
  <c r="E58" i="10"/>
  <c r="E70" i="10"/>
  <c r="E57" i="10"/>
  <c r="E226" i="18"/>
  <c r="E388" i="10"/>
  <c r="C70" i="10"/>
  <c r="C67" i="10"/>
  <c r="E96" i="10"/>
  <c r="E95" i="10"/>
  <c r="E94" i="10"/>
  <c r="E66" i="10"/>
  <c r="E65" i="10"/>
  <c r="C66" i="10"/>
  <c r="G44" i="10" l="1"/>
  <c r="CF24" i="61" s="1"/>
  <c r="H44" i="10"/>
  <c r="CG24" i="61" s="1"/>
  <c r="F44" i="10"/>
  <c r="CE24" i="61" s="1"/>
  <c r="C44" i="10"/>
  <c r="CB24" i="61" s="1"/>
  <c r="E144" i="18"/>
  <c r="E85" i="18"/>
  <c r="E78" i="18"/>
  <c r="E287" i="10"/>
  <c r="E286" i="10"/>
  <c r="E285" i="10"/>
  <c r="E284" i="10"/>
  <c r="E283" i="10"/>
  <c r="E282" i="10"/>
  <c r="E281" i="10"/>
  <c r="E269" i="10"/>
  <c r="E268" i="10"/>
  <c r="E267" i="10"/>
  <c r="E266" i="10"/>
  <c r="E265" i="10"/>
  <c r="E264" i="10"/>
  <c r="E263" i="10"/>
  <c r="E245" i="10"/>
  <c r="E304" i="10"/>
  <c r="E246" i="10"/>
  <c r="E247" i="10"/>
  <c r="E244" i="10"/>
  <c r="E243" i="10"/>
  <c r="E242" i="10"/>
  <c r="E241" i="10"/>
  <c r="E231" i="10"/>
  <c r="E255" i="10"/>
  <c r="E235" i="10" l="1"/>
  <c r="E234" i="10"/>
  <c r="E227" i="10"/>
  <c r="C333" i="10"/>
  <c r="C334" i="10" s="1"/>
  <c r="E333" i="10"/>
  <c r="E334" i="10" s="1"/>
  <c r="D333" i="10"/>
  <c r="D334" i="10" s="1"/>
  <c r="E346" i="10"/>
  <c r="E343" i="10"/>
  <c r="E356" i="10"/>
  <c r="B11" i="30"/>
  <c r="E89" i="10"/>
  <c r="E90" i="10"/>
  <c r="AF11" i="30" l="1"/>
  <c r="Z11" i="30"/>
  <c r="E79" i="18"/>
  <c r="E92" i="18"/>
  <c r="E75" i="18"/>
  <c r="E74" i="18"/>
  <c r="E135" i="10"/>
  <c r="E363" i="10"/>
  <c r="E36" i="13"/>
  <c r="E32" i="13"/>
  <c r="C15" i="18" l="1"/>
  <c r="D15" i="18"/>
  <c r="E203" i="10"/>
  <c r="E201" i="10"/>
  <c r="D178" i="21"/>
  <c r="E168" i="21"/>
  <c r="E167" i="21"/>
  <c r="E166" i="21"/>
  <c r="E165" i="21"/>
  <c r="E164" i="21"/>
  <c r="E163" i="21"/>
  <c r="E162" i="21"/>
  <c r="E161" i="21"/>
  <c r="E159" i="21"/>
  <c r="E158" i="21"/>
  <c r="E157" i="21"/>
  <c r="E156" i="21"/>
  <c r="E155" i="21"/>
  <c r="E154" i="21"/>
  <c r="E153" i="21"/>
  <c r="E152" i="21"/>
  <c r="E150" i="21"/>
  <c r="C150" i="21"/>
  <c r="C149" i="21"/>
  <c r="C148" i="21"/>
  <c r="C147" i="21"/>
  <c r="C146" i="21"/>
  <c r="C145" i="21"/>
  <c r="C144" i="21"/>
  <c r="C143" i="21"/>
  <c r="E149" i="21"/>
  <c r="E148" i="21"/>
  <c r="E147" i="21"/>
  <c r="E146" i="21"/>
  <c r="E145" i="21"/>
  <c r="E144" i="21"/>
  <c r="E143" i="21"/>
  <c r="E141" i="21"/>
  <c r="E140" i="21"/>
  <c r="E139" i="21"/>
  <c r="E138" i="21"/>
  <c r="E137" i="21"/>
  <c r="E136" i="21"/>
  <c r="E135" i="21"/>
  <c r="E134" i="21"/>
  <c r="E132" i="21"/>
  <c r="E131" i="21"/>
  <c r="E130" i="21"/>
  <c r="E129" i="21"/>
  <c r="E128" i="21"/>
  <c r="E127" i="21"/>
  <c r="E126" i="21"/>
  <c r="E125" i="21"/>
  <c r="E123" i="21"/>
  <c r="E122" i="21"/>
  <c r="E121" i="21"/>
  <c r="E120" i="21"/>
  <c r="E119" i="21"/>
  <c r="E118" i="21"/>
  <c r="E117" i="21"/>
  <c r="E116" i="21"/>
  <c r="E115" i="21"/>
  <c r="E114" i="21"/>
  <c r="E113" i="21"/>
  <c r="E112" i="21"/>
  <c r="E41" i="21"/>
  <c r="E40" i="21"/>
  <c r="E39" i="21"/>
  <c r="E38" i="21"/>
  <c r="E37" i="21"/>
  <c r="E36" i="21"/>
  <c r="E35" i="21"/>
  <c r="E33" i="21"/>
  <c r="E32" i="21"/>
  <c r="E31" i="21"/>
  <c r="E30" i="21"/>
  <c r="E42" i="21"/>
  <c r="E44" i="21"/>
  <c r="E43" i="21"/>
  <c r="E54" i="21"/>
  <c r="E98" i="21"/>
  <c r="BK10" i="61" l="1"/>
  <c r="BJ10" i="61"/>
  <c r="C178" i="21"/>
  <c r="E178" i="21"/>
  <c r="E137" i="18" l="1"/>
  <c r="E136" i="18"/>
  <c r="E228" i="18"/>
  <c r="I17" i="18" l="1"/>
  <c r="C17" i="18"/>
  <c r="E17" i="18"/>
  <c r="F17" i="18"/>
  <c r="D17" i="18"/>
  <c r="E148" i="18"/>
  <c r="E147" i="18"/>
  <c r="E146" i="18"/>
  <c r="E141" i="18"/>
  <c r="E143" i="18"/>
  <c r="E152" i="18"/>
  <c r="E155" i="18"/>
  <c r="E154" i="18"/>
  <c r="E153" i="18"/>
  <c r="E84" i="18"/>
  <c r="E99" i="18"/>
  <c r="E113" i="18"/>
  <c r="E135" i="18"/>
  <c r="E132" i="18"/>
  <c r="E114" i="18"/>
  <c r="E112" i="18"/>
  <c r="E111" i="18"/>
  <c r="E110" i="18"/>
  <c r="E109" i="18"/>
  <c r="E108" i="18"/>
  <c r="F107" i="18"/>
  <c r="E107" i="18"/>
  <c r="E115" i="18"/>
  <c r="BW10" i="61" l="1"/>
  <c r="BY10" i="61"/>
  <c r="BX10" i="61"/>
  <c r="BV10" i="61"/>
  <c r="CA10" i="61"/>
  <c r="E83" i="18"/>
  <c r="E212" i="18"/>
  <c r="E211" i="18"/>
  <c r="E210" i="18"/>
  <c r="E206" i="18"/>
  <c r="E209" i="18"/>
  <c r="E208" i="18"/>
  <c r="E121" i="18"/>
  <c r="E120" i="18"/>
  <c r="E119" i="18"/>
  <c r="E118" i="18"/>
  <c r="E117" i="18"/>
  <c r="E116" i="18"/>
  <c r="E55" i="10"/>
  <c r="E125" i="18"/>
  <c r="E375" i="10"/>
  <c r="E390" i="10"/>
  <c r="E379" i="10"/>
  <c r="E392" i="10"/>
  <c r="E368" i="10"/>
  <c r="E150" i="18"/>
  <c r="D44" i="30" l="1"/>
  <c r="AH44" i="30" s="1"/>
  <c r="D27" i="30"/>
  <c r="D26" i="30"/>
  <c r="D24" i="30"/>
  <c r="D21" i="30"/>
  <c r="D19" i="30"/>
  <c r="D12" i="30"/>
  <c r="D7" i="30"/>
  <c r="C44" i="30"/>
  <c r="AG44" i="30" s="1"/>
  <c r="C27" i="30"/>
  <c r="C24" i="30"/>
  <c r="C21" i="30"/>
  <c r="C19" i="30"/>
  <c r="C12" i="30"/>
  <c r="C7" i="30"/>
  <c r="B44" i="30"/>
  <c r="AF44" i="30" s="1"/>
  <c r="B27" i="30"/>
  <c r="B26" i="30"/>
  <c r="B24" i="30"/>
  <c r="B21" i="30"/>
  <c r="B19" i="30"/>
  <c r="B12" i="30"/>
  <c r="B7" i="30"/>
  <c r="Z12" i="30" l="1"/>
  <c r="AF12" i="30"/>
  <c r="C18" i="10" s="1"/>
  <c r="CZ18" i="61" s="1"/>
  <c r="AH12" i="30"/>
  <c r="AB12" i="30"/>
  <c r="AG12" i="30"/>
  <c r="AA12" i="30"/>
  <c r="Z27" i="30"/>
  <c r="AF27" i="30" s="1"/>
  <c r="C15" i="21" s="1"/>
  <c r="C18" i="21" s="1"/>
  <c r="AA27" i="30"/>
  <c r="AG27" i="30" s="1"/>
  <c r="D15" i="21" s="1"/>
  <c r="AB27" i="30"/>
  <c r="AH27" i="30" s="1"/>
  <c r="Z19" i="30"/>
  <c r="AF19" i="30" s="1"/>
  <c r="C18" i="11" s="1"/>
  <c r="CZ26" i="61" s="1"/>
  <c r="AA19" i="30"/>
  <c r="AG19" i="30" s="1"/>
  <c r="D18" i="11" s="1"/>
  <c r="DA26" i="61" s="1"/>
  <c r="AA21" i="30"/>
  <c r="AG21" i="30" s="1"/>
  <c r="D49" i="11" s="1"/>
  <c r="DA28" i="61" s="1"/>
  <c r="Z21" i="30"/>
  <c r="AF21" i="30" s="1"/>
  <c r="C49" i="11" s="1"/>
  <c r="Z44" i="30"/>
  <c r="C92" i="11" s="1"/>
  <c r="CZ50" i="61" s="1"/>
  <c r="AA44" i="30"/>
  <c r="D92" i="11" s="1"/>
  <c r="DA50" i="61" s="1"/>
  <c r="Z26" i="30"/>
  <c r="AF26" i="30" s="1"/>
  <c r="Z24" i="30"/>
  <c r="AF24" i="30" s="1"/>
  <c r="AA24" i="30"/>
  <c r="AG24" i="30" s="1"/>
  <c r="AB19" i="30"/>
  <c r="AH19" i="30" s="1"/>
  <c r="AB24" i="30"/>
  <c r="AH24" i="30" s="1"/>
  <c r="E16" i="49" s="1"/>
  <c r="AB21" i="30"/>
  <c r="AB26" i="30"/>
  <c r="AB44" i="30"/>
  <c r="Z7" i="30"/>
  <c r="AA7" i="30"/>
  <c r="AG7" i="30" s="1"/>
  <c r="AB7" i="30"/>
  <c r="AH7" i="30" s="1"/>
  <c r="D11" i="20"/>
  <c r="E14" i="13"/>
  <c r="DB17" i="61" s="1"/>
  <c r="D14" i="13"/>
  <c r="DA17" i="61" s="1"/>
  <c r="CZ28" i="61" l="1"/>
  <c r="AF7" i="30"/>
  <c r="E92" i="11"/>
  <c r="DB50" i="61" s="1"/>
  <c r="E18" i="11"/>
  <c r="DB26" i="61" s="1"/>
  <c r="E15" i="21"/>
  <c r="E18" i="21" s="1"/>
  <c r="AH21" i="30"/>
  <c r="E49" i="11" s="1"/>
  <c r="DB28" i="61" s="1"/>
  <c r="C11" i="20"/>
  <c r="C15" i="20" s="1"/>
  <c r="D11" i="19"/>
  <c r="D16" i="49"/>
  <c r="C11" i="19"/>
  <c r="C16" i="49"/>
  <c r="AH26" i="30"/>
  <c r="E11" i="19"/>
  <c r="D18" i="21"/>
  <c r="D15" i="20"/>
  <c r="E18" i="10"/>
  <c r="DB18" i="61" s="1"/>
  <c r="D18" i="10"/>
  <c r="DA18" i="61" s="1"/>
  <c r="C20" i="18"/>
  <c r="CZ10" i="61" s="1"/>
  <c r="E20" i="18"/>
  <c r="DB10" i="61" s="1"/>
  <c r="E40" i="18"/>
  <c r="DB8" i="61" s="1"/>
  <c r="D20" i="18"/>
  <c r="DA10" i="61" s="1"/>
  <c r="C14" i="13"/>
  <c r="CZ17" i="61" s="1"/>
  <c r="E223" i="11"/>
  <c r="E224" i="11"/>
  <c r="E169" i="11"/>
  <c r="E273" i="11"/>
  <c r="E272" i="11"/>
  <c r="E271" i="11"/>
  <c r="E270" i="11"/>
  <c r="E269" i="11"/>
  <c r="E268" i="11"/>
  <c r="E267" i="11"/>
  <c r="E262" i="11"/>
  <c r="E261" i="11"/>
  <c r="E260" i="11"/>
  <c r="E259" i="11"/>
  <c r="E258" i="11"/>
  <c r="E257" i="11"/>
  <c r="E256" i="11"/>
  <c r="E255" i="11"/>
  <c r="E253" i="11"/>
  <c r="E252" i="11"/>
  <c r="E251" i="11"/>
  <c r="E247" i="11"/>
  <c r="E246" i="11"/>
  <c r="E245" i="11"/>
  <c r="E244" i="11"/>
  <c r="E243" i="11"/>
  <c r="E242" i="11"/>
  <c r="E241" i="11"/>
  <c r="E240" i="11"/>
  <c r="E124" i="11"/>
  <c r="E126" i="11"/>
  <c r="E125" i="11"/>
  <c r="E123" i="11"/>
  <c r="E130" i="11"/>
  <c r="E111" i="11"/>
  <c r="E128" i="11"/>
  <c r="E156" i="11"/>
  <c r="E166" i="11"/>
  <c r="E135" i="11"/>
  <c r="E168" i="11"/>
  <c r="E167" i="11"/>
  <c r="DB32" i="61" l="1"/>
  <c r="E16" i="19"/>
  <c r="DA32" i="61"/>
  <c r="D16" i="19"/>
  <c r="CZ32" i="61"/>
  <c r="C16" i="19"/>
  <c r="I40" i="18"/>
  <c r="DE8" i="61" s="1"/>
  <c r="C40" i="18"/>
  <c r="CZ8" i="61" s="1"/>
  <c r="E11" i="20"/>
  <c r="E15" i="20" s="1"/>
  <c r="D40" i="18"/>
  <c r="DA8" i="61" s="1"/>
  <c r="E62" i="19"/>
  <c r="E61" i="19"/>
  <c r="E60" i="19"/>
  <c r="E59" i="19"/>
  <c r="E88" i="21"/>
  <c r="E87" i="21"/>
  <c r="E86" i="21"/>
  <c r="E85" i="21"/>
  <c r="E84" i="21"/>
  <c r="E83" i="21"/>
  <c r="E82" i="21"/>
  <c r="E81" i="21"/>
  <c r="E78" i="21"/>
  <c r="E77" i="21"/>
  <c r="E76" i="21"/>
  <c r="E75" i="21"/>
  <c r="E74" i="21"/>
  <c r="E73" i="21"/>
  <c r="E72" i="21"/>
  <c r="E71" i="21"/>
  <c r="E56" i="21"/>
  <c r="E55" i="21"/>
  <c r="E53" i="21"/>
  <c r="E52" i="21"/>
  <c r="E51" i="21"/>
  <c r="E50" i="21"/>
  <c r="E91" i="21"/>
  <c r="E97" i="21"/>
  <c r="E96" i="21"/>
  <c r="E95" i="21"/>
  <c r="E94" i="21"/>
  <c r="E93" i="21"/>
  <c r="E92" i="21"/>
  <c r="E76" i="20"/>
  <c r="E75" i="20"/>
  <c r="E74" i="20"/>
  <c r="E73" i="20"/>
  <c r="E72" i="20"/>
  <c r="E71" i="20"/>
  <c r="E70" i="20"/>
  <c r="E69" i="20"/>
  <c r="E65" i="20"/>
  <c r="E64" i="20"/>
  <c r="E63" i="20"/>
  <c r="E61" i="20"/>
  <c r="E60" i="20"/>
  <c r="E59" i="20"/>
  <c r="E58" i="20"/>
  <c r="E55" i="20"/>
  <c r="E54" i="20"/>
  <c r="E53" i="20"/>
  <c r="E52" i="20"/>
  <c r="E51" i="20"/>
  <c r="E50" i="20"/>
  <c r="E49" i="20"/>
  <c r="E48" i="20"/>
  <c r="E43" i="20"/>
  <c r="E41" i="20"/>
  <c r="E39" i="20"/>
  <c r="E38" i="20"/>
  <c r="E37" i="20"/>
  <c r="E36" i="20"/>
  <c r="E35" i="20"/>
  <c r="E34" i="20"/>
  <c r="E200" i="18" l="1"/>
  <c r="E199" i="18"/>
  <c r="E205" i="18"/>
  <c r="E217" i="18"/>
  <c r="E216" i="18"/>
  <c r="E215" i="18"/>
  <c r="E214" i="18"/>
  <c r="E207" i="18"/>
  <c r="E181" i="18"/>
  <c r="E172" i="18"/>
  <c r="E168" i="18"/>
  <c r="E177" i="18"/>
  <c r="E176" i="18"/>
  <c r="E196" i="10" l="1"/>
  <c r="E195" i="10"/>
  <c r="E193" i="10"/>
  <c r="E367" i="10"/>
  <c r="E366" i="10"/>
  <c r="E376" i="10"/>
  <c r="E374" i="10"/>
  <c r="E380" i="10"/>
  <c r="E295" i="10"/>
  <c r="E294" i="10"/>
  <c r="E299" i="10"/>
  <c r="E298" i="10"/>
  <c r="E297" i="10"/>
  <c r="E296" i="10"/>
  <c r="E275" i="10"/>
  <c r="E361" i="10"/>
  <c r="E360" i="10"/>
  <c r="E359" i="10"/>
  <c r="E358" i="10"/>
  <c r="E364" i="10"/>
  <c r="E357" i="10"/>
  <c r="E372" i="10"/>
  <c r="E371" i="10"/>
  <c r="E381" i="10"/>
  <c r="E355" i="10"/>
  <c r="E387" i="10"/>
  <c r="E386" i="10"/>
  <c r="E385" i="10"/>
  <c r="E384" i="10"/>
  <c r="E383" i="10"/>
  <c r="E382" i="10"/>
  <c r="E274" i="10"/>
  <c r="E273" i="10"/>
  <c r="E272" i="10"/>
  <c r="E271" i="10"/>
  <c r="E270" i="10"/>
  <c r="E253" i="10"/>
  <c r="E252" i="10"/>
  <c r="E249" i="10"/>
  <c r="E248" i="10"/>
  <c r="E232" i="10"/>
  <c r="E349" i="10" l="1"/>
  <c r="E348" i="10"/>
  <c r="E370" i="10"/>
  <c r="E369" i="10"/>
  <c r="E365" i="10"/>
  <c r="E154" i="10"/>
  <c r="E153" i="10"/>
  <c r="E152" i="10"/>
  <c r="E148" i="10"/>
  <c r="E155" i="10"/>
  <c r="E151" i="10"/>
  <c r="E117" i="10" l="1"/>
  <c r="E116" i="10"/>
  <c r="E114" i="10"/>
  <c r="E113" i="10"/>
  <c r="E112" i="10"/>
  <c r="E192" i="10"/>
  <c r="E229" i="10"/>
  <c r="E226" i="10"/>
  <c r="E342" i="10"/>
  <c r="E345" i="10"/>
  <c r="E92" i="10"/>
  <c r="E27" i="13"/>
  <c r="E126" i="10"/>
  <c r="E106" i="18" l="1"/>
  <c r="E82" i="18"/>
  <c r="B110" i="1" l="1"/>
  <c r="B111" i="1"/>
  <c r="E238" i="11" l="1"/>
  <c r="E237" i="11"/>
  <c r="E239" i="11"/>
  <c r="E58" i="19"/>
  <c r="E47" i="19"/>
  <c r="E45" i="19"/>
  <c r="E44" i="19"/>
  <c r="E43" i="19"/>
  <c r="E90" i="21"/>
  <c r="E80" i="21"/>
  <c r="E67" i="21"/>
  <c r="E46" i="21"/>
  <c r="E68" i="20"/>
  <c r="E57" i="20"/>
  <c r="E46" i="20"/>
  <c r="E44" i="20"/>
  <c r="E40" i="20"/>
  <c r="E42" i="20"/>
  <c r="E30" i="20"/>
  <c r="E67" i="20"/>
  <c r="B100" i="20"/>
  <c r="F43" i="19" l="1"/>
  <c r="F42" i="19"/>
  <c r="E42" i="19"/>
  <c r="E31" i="19"/>
  <c r="F31" i="19"/>
  <c r="E127" i="10" l="1"/>
  <c r="E61" i="10"/>
  <c r="E130" i="10"/>
  <c r="E125" i="10"/>
  <c r="E110" i="11"/>
  <c r="E71" i="18"/>
  <c r="E70" i="18"/>
  <c r="E354" i="10" l="1"/>
  <c r="G28" i="13" l="1"/>
  <c r="G26" i="13"/>
  <c r="G25" i="13"/>
  <c r="E26" i="13"/>
  <c r="E25" i="13"/>
  <c r="E28" i="13"/>
  <c r="G108" i="10"/>
  <c r="E108" i="10"/>
  <c r="B69" i="1" l="1"/>
  <c r="B71" i="1" s="1"/>
  <c r="B73" i="1" s="1"/>
  <c r="B65" i="1"/>
  <c r="B61" i="1"/>
  <c r="E129" i="11"/>
  <c r="E121" i="11"/>
  <c r="B55" i="1"/>
  <c r="B56" i="1" s="1"/>
  <c r="B52" i="1"/>
  <c r="E124" i="10"/>
  <c r="E123" i="10"/>
  <c r="E122" i="10"/>
  <c r="E221" i="11"/>
  <c r="F151" i="11"/>
  <c r="E151" i="11"/>
  <c r="E152" i="11"/>
  <c r="E134" i="11" l="1"/>
  <c r="F121" i="11"/>
  <c r="F120" i="11"/>
  <c r="F119" i="11"/>
  <c r="E120" i="11"/>
  <c r="E119" i="11"/>
  <c r="E102" i="11"/>
  <c r="E109" i="11" l="1"/>
  <c r="G109" i="11"/>
  <c r="E108" i="11" l="1"/>
  <c r="E107" i="11"/>
  <c r="E106" i="11"/>
  <c r="F103" i="11"/>
  <c r="F102" i="11"/>
  <c r="E103" i="11"/>
  <c r="E266" i="11"/>
  <c r="E263" i="11"/>
  <c r="E47" i="13"/>
  <c r="G43" i="13"/>
  <c r="E43" i="13"/>
  <c r="G34" i="13"/>
  <c r="E34" i="13"/>
  <c r="E30" i="13"/>
  <c r="G22" i="13"/>
  <c r="E22" i="13"/>
  <c r="G30" i="13"/>
  <c r="F155" i="11" l="1"/>
  <c r="F143" i="11"/>
  <c r="F142" i="11"/>
  <c r="E143" i="11"/>
  <c r="E142" i="11"/>
  <c r="E162" i="11"/>
  <c r="F154" i="11"/>
  <c r="F153" i="11"/>
  <c r="F152" i="11"/>
  <c r="E154" i="11"/>
  <c r="E153" i="11"/>
  <c r="G53" i="10"/>
  <c r="E183" i="10" l="1"/>
  <c r="G174" i="10"/>
  <c r="G189" i="10"/>
  <c r="G187" i="10"/>
  <c r="E190" i="10"/>
  <c r="G150" i="10"/>
  <c r="G147" i="10"/>
  <c r="G107" i="10"/>
  <c r="G105" i="10"/>
  <c r="E107" i="10"/>
  <c r="E105" i="10"/>
  <c r="E150" i="10"/>
  <c r="E147" i="10"/>
  <c r="E199" i="10" l="1"/>
  <c r="E198" i="10"/>
  <c r="E189" i="10"/>
  <c r="E185" i="10"/>
  <c r="E173" i="10"/>
  <c r="G103" i="10"/>
  <c r="G101" i="10"/>
  <c r="E172" i="10"/>
  <c r="E149" i="10"/>
  <c r="E146" i="10"/>
  <c r="E132" i="10"/>
  <c r="E106" i="10"/>
  <c r="E104" i="10"/>
  <c r="E133" i="10"/>
  <c r="F101" i="10"/>
  <c r="E103" i="10"/>
  <c r="E101" i="10"/>
  <c r="E165" i="11" l="1"/>
  <c r="E150" i="11"/>
  <c r="E229" i="11"/>
  <c r="E265" i="11"/>
  <c r="E249" i="11"/>
  <c r="F174" i="10"/>
  <c r="E174" i="10"/>
  <c r="B59" i="1" l="1"/>
  <c r="B42" i="1" l="1"/>
  <c r="B41" i="1"/>
  <c r="B83" i="1"/>
  <c r="B81" i="1"/>
  <c r="B94" i="1" s="1"/>
  <c r="E53" i="1" l="1"/>
  <c r="E54" i="1" s="1"/>
  <c r="B86" i="1"/>
  <c r="B82" i="1"/>
  <c r="B99" i="1"/>
  <c r="B100" i="1"/>
  <c r="E81" i="1"/>
  <c r="B89" i="1"/>
  <c r="B90" i="1" s="1"/>
  <c r="E78" i="1"/>
  <c r="B101" i="1" l="1"/>
  <c r="E79" i="1"/>
  <c r="G79" i="15"/>
  <c r="F79" i="15"/>
  <c r="C10" i="30" l="1"/>
  <c r="E10" i="30"/>
  <c r="D10" i="30"/>
  <c r="B10" i="30"/>
  <c r="G10" i="30"/>
  <c r="F10" i="30"/>
  <c r="AF10" i="30" l="1"/>
  <c r="C18" i="58" s="1"/>
  <c r="CZ15" i="61" s="1"/>
  <c r="Z10" i="30"/>
  <c r="AI10" i="30"/>
  <c r="F37" i="58" s="1"/>
  <c r="DC16" i="61" s="1"/>
  <c r="AC10" i="30"/>
  <c r="AB10" i="30"/>
  <c r="AH10" i="30"/>
  <c r="E18" i="58" s="1"/>
  <c r="DB15" i="61" s="1"/>
  <c r="AG10" i="30"/>
  <c r="D18" i="58" s="1"/>
  <c r="DA15" i="61" s="1"/>
  <c r="AA10" i="30"/>
  <c r="AJ10" i="30"/>
  <c r="G18" i="58" s="1"/>
  <c r="DD15" i="61" s="1"/>
  <c r="AD10" i="30"/>
  <c r="AE10" i="30"/>
  <c r="AK10" i="30"/>
  <c r="H37" i="58" s="1"/>
  <c r="DE16" i="61" s="1"/>
  <c r="D37" i="58" l="1"/>
  <c r="DA16" i="61" s="1"/>
  <c r="F18" i="58"/>
  <c r="DC15" i="61" s="1"/>
  <c r="H18" i="58"/>
  <c r="DE15" i="61" s="1"/>
  <c r="G37" i="58"/>
  <c r="DD16" i="61" s="1"/>
  <c r="E37" i="58"/>
  <c r="DB16" i="61" s="1"/>
  <c r="C37" i="58"/>
  <c r="CZ16" i="6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Jean Bernard Campion</author>
  </authors>
  <commentList>
    <comment ref="D336" authorId="0" shapeId="0" xr:uid="{00000000-0006-0000-0C00-000001000000}">
      <text>
        <r>
          <rPr>
            <b/>
            <sz val="9"/>
            <color indexed="81"/>
            <rFont val="Tahoma"/>
            <family val="2"/>
          </rPr>
          <t xml:space="preserve">Nicolas Jean Bernard Campion:
</t>
        </r>
        <r>
          <rPr>
            <sz val="9"/>
            <color indexed="81"/>
            <rFont val="Tahoma"/>
            <family val="2"/>
          </rPr>
          <t>Between worst and best</t>
        </r>
      </text>
    </comment>
  </commentList>
</comments>
</file>

<file path=xl/sharedStrings.xml><?xml version="1.0" encoding="utf-8"?>
<sst xmlns="http://schemas.openxmlformats.org/spreadsheetml/2006/main" count="5401" uniqueCount="2318">
  <si>
    <t>Desalination plant</t>
  </si>
  <si>
    <t>Air Separation Unit</t>
  </si>
  <si>
    <t>kWh/kg H2</t>
  </si>
  <si>
    <t>NH3 plant parameters</t>
  </si>
  <si>
    <t>Reactor pressure (bars)</t>
  </si>
  <si>
    <t>Hydrogen buffer</t>
  </si>
  <si>
    <t>Cp/Cv air or gases</t>
  </si>
  <si>
    <t>Conversion rate</t>
  </si>
  <si>
    <t>Tank pressure (bars)</t>
  </si>
  <si>
    <t>N2 outlet pressure (bars)</t>
  </si>
  <si>
    <t>Moles H2</t>
  </si>
  <si>
    <t>Moles N2</t>
  </si>
  <si>
    <t>Reaction</t>
  </si>
  <si>
    <t>0.5N2 + 1.5H2 --&gt; NH3</t>
  </si>
  <si>
    <t>H2 molecular weight (kg/kmol)</t>
  </si>
  <si>
    <t>N2 molecular weight (kg/kmol)</t>
  </si>
  <si>
    <t>NH3 molecular weight (kg/kmol)</t>
  </si>
  <si>
    <t>Gas constant (J/K/kmol)</t>
  </si>
  <si>
    <t xml:space="preserve">Conversion J--&gt;kWh </t>
  </si>
  <si>
    <t>Outside temperature (K)</t>
  </si>
  <si>
    <t>Compressor work (kWh/kg H2)</t>
  </si>
  <si>
    <t>Compressor work (kWh/kg N2)</t>
  </si>
  <si>
    <t>Corresponding consumption (kWh/kgN2)</t>
  </si>
  <si>
    <t>kWh/kg NH3</t>
  </si>
  <si>
    <t>Consumption in kWh/kg NH3 produced</t>
  </si>
  <si>
    <t>Compressor work (kWh/kg NH3 prod)</t>
  </si>
  <si>
    <t>H2 consumption (kg H2/ kg NH3 prod)</t>
  </si>
  <si>
    <t>N2 consumption (kg N2/ kg NH3 prod)</t>
  </si>
  <si>
    <t>Water consumption (L/Nm3 H2)</t>
  </si>
  <si>
    <t>Consumption in kWh/kg H2 consumed</t>
  </si>
  <si>
    <t>O2 production (kg O2/kg NH3 prod)</t>
  </si>
  <si>
    <t>O2 molecular weight (kg/kmol)</t>
  </si>
  <si>
    <t>H2O --&gt; H2 + 0.5 O2</t>
  </si>
  <si>
    <t>O2 production (kg O2/kg H2)</t>
  </si>
  <si>
    <t>Capex min-max in €/kg N2/h</t>
  </si>
  <si>
    <t>Capex min-max in €/kg NH3/h</t>
  </si>
  <si>
    <t>€/(kg NH3/h)</t>
  </si>
  <si>
    <t>€/(kg H2/h)</t>
  </si>
  <si>
    <t>€/kg H2</t>
  </si>
  <si>
    <t>€/kg NH3</t>
  </si>
  <si>
    <t>Nominal specific consumption + utilities (kWh/Nm3)</t>
  </si>
  <si>
    <t>Lifetime</t>
  </si>
  <si>
    <t>Discount rate</t>
  </si>
  <si>
    <t>Max Capacity</t>
  </si>
  <si>
    <t>Load min</t>
  </si>
  <si>
    <t>Specific consumption</t>
  </si>
  <si>
    <t>Ammonia + ASU</t>
  </si>
  <si>
    <t>H2 tank</t>
  </si>
  <si>
    <t>Batteries</t>
  </si>
  <si>
    <t>Value</t>
  </si>
  <si>
    <t>Investment</t>
  </si>
  <si>
    <t>-</t>
  </si>
  <si>
    <t>Units</t>
  </si>
  <si>
    <t>Source index</t>
  </si>
  <si>
    <t>Title</t>
  </si>
  <si>
    <t>Link</t>
  </si>
  <si>
    <t>Flexible production of green hydrogen and ammonia from variable solar and wind energy:Case study of Chile and Argentina</t>
  </si>
  <si>
    <t>Power-to-ammonia in future North European 100 % renewable power and heat system</t>
  </si>
  <si>
    <t>Source 1</t>
  </si>
  <si>
    <t>Note</t>
  </si>
  <si>
    <t>Main author</t>
  </si>
  <si>
    <t>Year</t>
  </si>
  <si>
    <t>Indirect CO2 Emissions Compensation: Benchmark Proposal for Air Separation Plants</t>
  </si>
  <si>
    <t>European Industrial Gases Association</t>
  </si>
  <si>
    <t>Based on theoretical calculation</t>
  </si>
  <si>
    <t>Techno-economic feasibility study of ammonia plants powered by offshore wind</t>
  </si>
  <si>
    <t>https://www.eiga.eu/publications/position-papers/pp-3319-indirect-co2-emissions-compensation-benchmark-proposal-for-air-separation-plants/</t>
  </si>
  <si>
    <t>https://scholarworks.umass.edu/open_access_dissertations/697/</t>
  </si>
  <si>
    <t>Including NH3 conversion, compression and cooling plus ASU</t>
  </si>
  <si>
    <t>Potential for hydrogen and Power-to-Liquid in a low-carbon EU energy system using cost optimization</t>
  </si>
  <si>
    <t>https://www.sciencedirect.com/science/article/pii/S0306261918315368#!</t>
  </si>
  <si>
    <t>A feasibility study of implementing an Ammonia Economy</t>
  </si>
  <si>
    <t>Document type</t>
  </si>
  <si>
    <t>Paper</t>
  </si>
  <si>
    <t>PhD thesis</t>
  </si>
  <si>
    <t>Master Thesis</t>
  </si>
  <si>
    <t>https://lib.dr.iastate.edu/etd/11132/</t>
  </si>
  <si>
    <t>10 MW for a 300t/day plant including ASU</t>
  </si>
  <si>
    <t>https://onlinelibrary.wiley.com/doi/full/10.1002/anie.201510618</t>
  </si>
  <si>
    <t>Nitrogen‐Based Fuels: A Power‐to‐Fuel‐to‐Power Analysis</t>
  </si>
  <si>
    <t>Root source</t>
  </si>
  <si>
    <t xml:space="preserve">https://www.sciencedirect.com/science/article/pii/S0360319918319931 </t>
  </si>
  <si>
    <t>Details</t>
  </si>
  <si>
    <t>Gaseous N2 outlet pressure: 40 bars</t>
  </si>
  <si>
    <t>kWh/kgN2</t>
  </si>
  <si>
    <t>Parameter</t>
  </si>
  <si>
    <t>Based on theory and technical data. Re-validated in 2019</t>
  </si>
  <si>
    <t>Gaseous N2 outlet pressure: 8 bars</t>
  </si>
  <si>
    <t>Author assumption</t>
  </si>
  <si>
    <t>€/(kg N2/h)</t>
  </si>
  <si>
    <t xml:space="preserve">https://p2infohouse.org/ref/50/49574.pdf </t>
  </si>
  <si>
    <t>Presentation conference</t>
  </si>
  <si>
    <t>Efficient Ammonia Production; KBR, Energy and Chemicals</t>
  </si>
  <si>
    <t>2nd source</t>
  </si>
  <si>
    <t>7% of the fuel's heating value</t>
  </si>
  <si>
    <t>NH3-The World's Optimal Energy Solution</t>
  </si>
  <si>
    <t xml:space="preserve">https://scholar.google.com/scholar?cluster=3590930614472028979&amp;hl=da&amp;as_sdt=2005&amp;sciodt=0,5 </t>
  </si>
  <si>
    <t>Impossible to find initial document</t>
  </si>
  <si>
    <t xml:space="preserve">http://www.aheadenergy.org/uploads/4/6/2/3/4623812/ispt-p2a-final-report.pdf </t>
  </si>
  <si>
    <t>Report</t>
  </si>
  <si>
    <t>Power to Ammonia : feasibility study for the value chains and business cases to produce CO2-free ammonia suitable for various market applications</t>
  </si>
  <si>
    <t>Loan share</t>
  </si>
  <si>
    <t>Loan interest</t>
  </si>
  <si>
    <t>Annuity factor</t>
  </si>
  <si>
    <t>Type of units</t>
  </si>
  <si>
    <t>Values used in the model</t>
  </si>
  <si>
    <t>Benchmark</t>
  </si>
  <si>
    <t>Minimal load</t>
  </si>
  <si>
    <t>NH3 Selling price</t>
  </si>
  <si>
    <t>NH3 demand</t>
  </si>
  <si>
    <t>Life Time</t>
  </si>
  <si>
    <t>Electrical consumption</t>
  </si>
  <si>
    <t>Associated sources</t>
  </si>
  <si>
    <t>Fuel buying price</t>
  </si>
  <si>
    <t>kWh / kg NH3</t>
  </si>
  <si>
    <t>A novel system for ammonia-based sustainable energy and agriculture: Concept and design optimization</t>
  </si>
  <si>
    <t xml:space="preserve">https://www.sciencedirect.com/science/article/pii/S0255270118314430#bib0100 </t>
  </si>
  <si>
    <t>Without ASU,  absorbent-enhanced process small scale</t>
  </si>
  <si>
    <t>Probably wrong, different from [2] who said 0,64 using the same source [4]</t>
  </si>
  <si>
    <t>8 MW for a 300t/day plant including ASU large scale</t>
  </si>
  <si>
    <t>Modeling and Optimal Design of Absorbent Enhanced Ammonia Synthesis</t>
  </si>
  <si>
    <t xml:space="preserve">https://www.mdpi.com/2227-9717/6/7/91/htm </t>
  </si>
  <si>
    <t>Small scale process and absorbed-enhanced explaining the high energy consumption</t>
  </si>
  <si>
    <t>kWh / kg H2</t>
  </si>
  <si>
    <t>Include compression to H2 storage from 30 to 200 bars</t>
  </si>
  <si>
    <t>Optimal design of synergistic distributed renewable fuel and power systems</t>
  </si>
  <si>
    <t xml:space="preserve">https://www.sciencedirect.com/science/article/pii/S096014811630235X#bib31 </t>
  </si>
  <si>
    <t>A comprehensive review on PEM water electrolysis</t>
  </si>
  <si>
    <t xml:space="preserve">https://www.sciencedirect.com/science/article/pii/S0360319913002607 </t>
  </si>
  <si>
    <t>From 2013 (at least) : probably too old</t>
  </si>
  <si>
    <t>Techno-economic comparison of green ammonia production processes</t>
  </si>
  <si>
    <t>Plant life time</t>
  </si>
  <si>
    <t>years</t>
  </si>
  <si>
    <t>Yankuang Xinjiang methanol and ammonia project in China.</t>
  </si>
  <si>
    <t>?</t>
  </si>
  <si>
    <t xml:space="preserve">https://scholar.google.com/scholar?q=Yankuang%20Xinjiang%20methanol%20and%20ammonia%20project%20in%20China. </t>
  </si>
  <si>
    <t>Discout rate</t>
  </si>
  <si>
    <t>Called interest rate in the paper</t>
  </si>
  <si>
    <t>%years</t>
  </si>
  <si>
    <t xml:space="preserve">Quarterly report on European electricity markets, fourth quarter of 2017. </t>
  </si>
  <si>
    <t>https://ec.europa.eu/energy/sites/ener/files/documents/quarterly_report_on_european_electricity_markets _q1_2017.pdf</t>
  </si>
  <si>
    <t>2nd source p49, Root source too old ?? 2005</t>
  </si>
  <si>
    <t>Catalyst price ammonia reactor</t>
  </si>
  <si>
    <t>$/kg</t>
  </si>
  <si>
    <t>Catalyst life time ammonia reactor</t>
  </si>
  <si>
    <t xml:space="preserve">Oxygen price </t>
  </si>
  <si>
    <t>I didn't find the original source</t>
  </si>
  <si>
    <t>Currency exchange rate (€ to $) --&gt; 1.18 (514$/ton)</t>
  </si>
  <si>
    <t>Values used in the optimisation model</t>
  </si>
  <si>
    <t>Theoretical model with very detailled calculations</t>
  </si>
  <si>
    <t>Based on European numbers from 2017 (--&gt; check update version for new numbers)</t>
  </si>
  <si>
    <t>Currency exchange rate (€ to $) --&gt; 1.18 ; 23$/kg</t>
  </si>
  <si>
    <t>€/kg</t>
  </si>
  <si>
    <t>Capital Cost NH3 tank</t>
  </si>
  <si>
    <t>Capital Cost N2 tank</t>
  </si>
  <si>
    <t>Capital Cost H2 tank</t>
  </si>
  <si>
    <t>$/kWh</t>
  </si>
  <si>
    <t>Optimal scheduling for wind-powered ammonia generation: Effects of key design parameters</t>
  </si>
  <si>
    <t xml:space="preserve">https://www.sciencedirect.com/science/article/pii/S0263876217305646 </t>
  </si>
  <si>
    <t>Sources 2</t>
  </si>
  <si>
    <t>kWh/kg N2</t>
  </si>
  <si>
    <t>Policy effects on microgrid economics, technology selection, and environmental impact</t>
  </si>
  <si>
    <t xml:space="preserve">https://www.sciencedirect.com/science/article/pii/S0098135415000836 </t>
  </si>
  <si>
    <t>Life Time batteries</t>
  </si>
  <si>
    <t>Capital cost batteries</t>
  </si>
  <si>
    <t>Life time H2 tank</t>
  </si>
  <si>
    <t>Techno-economic analysis of PEM fuel cells role in photovoltaic-based systems for the remote base stations</t>
  </si>
  <si>
    <t xml:space="preserve">https://www.sciencedirect.com/science/article/pii/S0360319912021891 </t>
  </si>
  <si>
    <t xml:space="preserve">https://www.sciencedirect.com/science/article/pii/S0360319919342089#bib39 </t>
  </si>
  <si>
    <t>Minimal Load</t>
  </si>
  <si>
    <t>% max load</t>
  </si>
  <si>
    <t>Operating envelope of Haber–Bosch process design for power-to-ammonia</t>
  </si>
  <si>
    <t xml:space="preserve">https://pubs.rsc.org/en/content/articlehtml/2018/ra/c8ra06821f#tab3 </t>
  </si>
  <si>
    <t>Method for load regulation of an ammonia plant</t>
  </si>
  <si>
    <t>https://patents.google.com/patent/US9463983B2/en</t>
  </si>
  <si>
    <t>Patent</t>
  </si>
  <si>
    <t>Patented</t>
  </si>
  <si>
    <t>"Reasonable" assumption for existing technolgy</t>
  </si>
  <si>
    <t>Transition to renewable energy systems</t>
  </si>
  <si>
    <t>Book</t>
  </si>
  <si>
    <t>https://books.google.dk/books?hl=da&amp;lr=&amp;id=fEjqL9gIVCkC&amp;oi=fnd&amp;pg=PT19&amp;ots=iTgZhtI-UA&amp;sig=28h7C8TrUjULYk6q4WmRIkunUPY&amp;redir_esc=y#v=onepage&amp;q&amp;f=false</t>
  </si>
  <si>
    <t>2 Based on matlab simulation, 4 at p 694</t>
  </si>
  <si>
    <t>Duable with this new patent (confirmed by Haldor Topsoe guy)</t>
  </si>
  <si>
    <t>Best</t>
  </si>
  <si>
    <t>Worst</t>
  </si>
  <si>
    <t>% nominal load</t>
  </si>
  <si>
    <t>Outlet pressure</t>
  </si>
  <si>
    <t>Current status of water electrolysis for energy storage, grid balancing and sector coupling via power-to-gas and power-to-liquids: A review</t>
  </si>
  <si>
    <t xml:space="preserve">https://www.sciencedirect.com/science/article/pii/S136403211731242X#bib27 </t>
  </si>
  <si>
    <t>bars</t>
  </si>
  <si>
    <t>Minimum H2 outlet pressure</t>
  </si>
  <si>
    <t>Maximum H2 outlet pressure</t>
  </si>
  <si>
    <t>€/kW</t>
  </si>
  <si>
    <t>Minimum litterature review</t>
  </si>
  <si>
    <t>Maximum litterature review</t>
  </si>
  <si>
    <t>% investment</t>
  </si>
  <si>
    <t>kg H2</t>
  </si>
  <si>
    <t>kh</t>
  </si>
  <si>
    <t>Efficiency degradation</t>
  </si>
  <si>
    <t>%/year</t>
  </si>
  <si>
    <t>€ / (kg H2/h)</t>
  </si>
  <si>
    <t>Years</t>
  </si>
  <si>
    <t>%</t>
  </si>
  <si>
    <t>Sources</t>
  </si>
  <si>
    <t>kg H2 / h</t>
  </si>
  <si>
    <t>H2 production</t>
  </si>
  <si>
    <t>kg H2 / kg H2O</t>
  </si>
  <si>
    <t>Oxygen production (kg O2/kg H2)</t>
  </si>
  <si>
    <t>Molar ratio H2/O2</t>
  </si>
  <si>
    <t>O2 production</t>
  </si>
  <si>
    <t>kg O2 / kg H2</t>
  </si>
  <si>
    <t>Life time</t>
  </si>
  <si>
    <t>Utilisation rate (h/year)</t>
  </si>
  <si>
    <t>Lifetime (year)</t>
  </si>
  <si>
    <t>Lifetime (kh)</t>
  </si>
  <si>
    <t>Nominal specific consumption + utilities (% LHV)</t>
  </si>
  <si>
    <t>Electrolyser minimum energy demand LHV (kWh/kg)</t>
  </si>
  <si>
    <t>Electrolyser minimum energy demand HHV (kWh/kg)</t>
  </si>
  <si>
    <t>Maximum available capacity</t>
  </si>
  <si>
    <t>Cost (€/kW)</t>
  </si>
  <si>
    <t>Future cost and performance of water electrolysis: An expert elicitation study</t>
  </si>
  <si>
    <t xml:space="preserve">https://www.sciencedirect.com/science/article/pii/S0360319917339435#bib16 </t>
  </si>
  <si>
    <t>Minimum 2</t>
  </si>
  <si>
    <t>Maximum 1</t>
  </si>
  <si>
    <t>Maximum 2</t>
  </si>
  <si>
    <t>State of the art article</t>
  </si>
  <si>
    <t>Development of Water Electrolysis in the European Union</t>
  </si>
  <si>
    <t>EU report</t>
  </si>
  <si>
    <t xml:space="preserve">https://www.fch.europa.eu/node/783 </t>
  </si>
  <si>
    <t>Sc_nom for from m3 in standard conditions (kWh/kg H2)</t>
  </si>
  <si>
    <t>Sc_nom from efficiency (kWh/kg H2)</t>
  </si>
  <si>
    <t>Cost (€/(kg H2/h))</t>
  </si>
  <si>
    <t>Specific consumption (kWh / kg H2) - fixed to 55</t>
  </si>
  <si>
    <t>Investement cost</t>
  </si>
  <si>
    <t>Hydrogen Production Cost From PEM Electrolysis</t>
  </si>
  <si>
    <t>US Report</t>
  </si>
  <si>
    <t xml:space="preserve">https://www.hydrogen.energy.gov/pdfs/14004_h2_production_cost_pem_electrolysis.pdf </t>
  </si>
  <si>
    <t>Calculated from h2A analysis tool for PEM !!</t>
  </si>
  <si>
    <t>Capacity: 1500 kg/day ; 0,42 $/kg H2 produced ;Conversion 1$ = 0,925 €</t>
  </si>
  <si>
    <t>€/ (kg H2/h)</t>
  </si>
  <si>
    <t>Capacity: 1500 kg/day ; 0,01 $/kg H2 produced ;Conversion 1$ = 0,925 €</t>
  </si>
  <si>
    <t>€ / (kg H2/h) / year</t>
  </si>
  <si>
    <t>O2 selling price</t>
  </si>
  <si>
    <t>€/kg O2</t>
  </si>
  <si>
    <t>kg NH3 / h</t>
  </si>
  <si>
    <t>Economic viability of SNG production from power and CO2</t>
  </si>
  <si>
    <t>Guilera</t>
  </si>
  <si>
    <t xml:space="preserve">https://www.sciencedirect.com/science/article/pii/S019689041830147X </t>
  </si>
  <si>
    <t>Based on author assumption</t>
  </si>
  <si>
    <t>I couldn't find this number in the root reference</t>
  </si>
  <si>
    <t>Hydrogen Station Compression, Storage, and Dispensing Technical Status and Costs: Systems Integration</t>
  </si>
  <si>
    <t>NREL technical report</t>
  </si>
  <si>
    <t xml:space="preserve">https://www.osti.gov/biblio/1130621 </t>
  </si>
  <si>
    <t>No additional source found</t>
  </si>
  <si>
    <t>Schoenung</t>
  </si>
  <si>
    <t>Economic Analysis of Large-Scale Hydrogen Storage for Renewable Utility Applications</t>
  </si>
  <si>
    <t>https://scholar.google.com/scholar_lookup?title=Economic%20analysis%20of%20large-scale%20hydrogen%20storage%20for%20renewable%20utility%20applications&amp;publication_year=2011&amp;author=S.%20Schoenung</t>
  </si>
  <si>
    <t>Operation cost H2 tank</t>
  </si>
  <si>
    <t>−33 °C in cylindrical double-walled storage tanks</t>
  </si>
  <si>
    <t>€/ kg NH3</t>
  </si>
  <si>
    <t>$/ kgN2</t>
  </si>
  <si>
    <t>Detail ASU Cryogenic distillation</t>
  </si>
  <si>
    <t>Detail ASU PSA (Pressure Swing Aborption)</t>
  </si>
  <si>
    <t>Storage systems: H2 compressor, Tanks, Batteries, Charger, Discharger</t>
  </si>
  <si>
    <t>€/ (kg H2 / h)</t>
  </si>
  <si>
    <t>€/ kg H2</t>
  </si>
  <si>
    <t>kg H2O / h</t>
  </si>
  <si>
    <t>kWh / kg H2O</t>
  </si>
  <si>
    <t>€/ (kg H2O / h)</t>
  </si>
  <si>
    <t>Capex (investment)</t>
  </si>
  <si>
    <t>Reverse osmosis</t>
  </si>
  <si>
    <t>Oportunidades para el desarrollo de una industria de hidrógeno solar en las regiones de Antofagasta y Atacama: Innovación para un sistema energético 100% renovable</t>
  </si>
  <si>
    <t>Comite Solar</t>
  </si>
  <si>
    <t>€/(kg H2O/h)</t>
  </si>
  <si>
    <t>% Capex / year</t>
  </si>
  <si>
    <t>€/(kg NH3/h)/y</t>
  </si>
  <si>
    <t xml:space="preserve">p 171 Based on author assumptions </t>
  </si>
  <si>
    <t>€ / (kg H2O /h) / year</t>
  </si>
  <si>
    <t>WACC</t>
  </si>
  <si>
    <t>http://www.comitesolar.cl/wp-content/uploads/2018/08/Comite-Solar-2018-Oportunidades-Industria-del-Hidr%C3%B3geno_Informe-Final.pdf</t>
  </si>
  <si>
    <t>€/kWh</t>
  </si>
  <si>
    <t>kWh/kWh charged</t>
  </si>
  <si>
    <t>Batteries (utility scale), charger and discharger</t>
  </si>
  <si>
    <t>Tanks</t>
  </si>
  <si>
    <t>p171</t>
  </si>
  <si>
    <t>Average existing refueling site (2009)</t>
  </si>
  <si>
    <t>NREL</t>
  </si>
  <si>
    <t>Page mooved</t>
  </si>
  <si>
    <t>Theoretical from 20 to 440 bars (2009)</t>
  </si>
  <si>
    <t>Theoretical from 20 to 880 bars (2009)</t>
  </si>
  <si>
    <t>Minimal existing refueling site (2009)</t>
  </si>
  <si>
    <t>Maximal existing refueling site (2009)</t>
  </si>
  <si>
    <t>p27</t>
  </si>
  <si>
    <t>https://www.hydrogen.energy.gov/program_records.html?print</t>
  </si>
  <si>
    <t>Energy requirements for hydrogen gas compression and liquefaction as related to vehicle storage needs (9013)</t>
  </si>
  <si>
    <t>Onboard Type IV Compressed Hydrogen Storage System - Cost and Performance Status (19008)</t>
  </si>
  <si>
    <t>Record 19008 NREL</t>
  </si>
  <si>
    <t>Record 9013 NREL</t>
  </si>
  <si>
    <t xml:space="preserve">https://www.hydrogen.energy.gov/program_records.html?print </t>
  </si>
  <si>
    <t>5,8 kg stored for 5,6 kg usable; 700 bar tank</t>
  </si>
  <si>
    <t>p40 (-54-)</t>
  </si>
  <si>
    <t>€/kWh H2</t>
  </si>
  <si>
    <t>Arbeitspaket 5: Betrachtungen des Gesamtsystems im Hinblick auf Dynamik und Prozessintegration</t>
  </si>
  <si>
    <t xml:space="preserve">https://www.researchgate.net/publication/272488412_Arbeitspaket_5_Betrachtungen_des_Gesamtsystems_im_Hinblick_auf_Dynamik_und_Prozessintegration </t>
  </si>
  <si>
    <t>LHV ? ; Pressure ? : not reusable (or check root source in German)</t>
  </si>
  <si>
    <t>132 $/kWh ; 1$ = 0,925 €</t>
  </si>
  <si>
    <t>Data Sheet H-TEC Series-ME: ME 450/1400</t>
  </si>
  <si>
    <t>H-TEC Series</t>
  </si>
  <si>
    <t>Data Sheet</t>
  </si>
  <si>
    <t xml:space="preserve">https://www.h-tec.com/en/products/me-4501400/ </t>
  </si>
  <si>
    <t>Hydrogenics</t>
  </si>
  <si>
    <t>Data Sheet Hydrogenics HySTAT™60 – OUTDOOR</t>
  </si>
  <si>
    <t xml:space="preserve">https://www.hydrogenics.com/hydrogen-products-solutions/industrial-hydrogen-generators-by-electrolysis/outdoor-installation/hystat-trade-60/ </t>
  </si>
  <si>
    <t>H2 production (1/H2O consumption)</t>
  </si>
  <si>
    <t>350 kg H2O /h for 450 kg H2/day: 18,7 kg H2O/kg H2</t>
  </si>
  <si>
    <t xml:space="preserve"> 2L /Nm3 H2 with dry cooler and chiller: 22,25 kg H2O/kg H2</t>
  </si>
  <si>
    <t>1,5L/Nm3 H2 with dry cooler and chiller:16,7 kg H2O/kg H2</t>
  </si>
  <si>
    <t>Number from root : feedback from Spanish gas supplier</t>
  </si>
  <si>
    <t>% of investment</t>
  </si>
  <si>
    <t>ASU and NH3 plant</t>
  </si>
  <si>
    <t xml:space="preserve">p50 </t>
  </si>
  <si>
    <t>Conversion efficiency of 93,8 %</t>
  </si>
  <si>
    <t>kg O2/kg H2</t>
  </si>
  <si>
    <t>97 % conversion rate</t>
  </si>
  <si>
    <t>Calculations</t>
  </si>
  <si>
    <t>H2 production (kg H2/kg H2O)</t>
  </si>
  <si>
    <t>Water consumption (kg H2O/kg H2)</t>
  </si>
  <si>
    <t>Compressor Isentropic efficiency</t>
  </si>
  <si>
    <t>Compressor Mechanical efficiency</t>
  </si>
  <si>
    <t>% Investment</t>
  </si>
  <si>
    <t>Conversion Nm3 H2 --&gt; kg H2 (kg/Nm3); Standard conditions</t>
  </si>
  <si>
    <t>Minimum 1 (conversions done later in Calculation sheet)</t>
  </si>
  <si>
    <t>Physical parameters</t>
  </si>
  <si>
    <t>Percentage of O2 recovered from air separation</t>
  </si>
  <si>
    <t>Sheet calculation, efficiency of 93 %</t>
  </si>
  <si>
    <t>Inlet H2 pressure (bars)</t>
  </si>
  <si>
    <t>Own calculation from 20 to 440, iso 75 %, meca 98 %</t>
  </si>
  <si>
    <t>"Lack of real data", Iso efficiency used: 50, 65, 80 %</t>
  </si>
  <si>
    <t>€/ (kg NH3 / h) /year</t>
  </si>
  <si>
    <t xml:space="preserve">€/ (kg NH3 / h) </t>
  </si>
  <si>
    <t>kg/h</t>
  </si>
  <si>
    <t>€/ (kg H2 / h) /year</t>
  </si>
  <si>
    <t>kWh / kWh charged</t>
  </si>
  <si>
    <t>€/ kWh /y</t>
  </si>
  <si>
    <t>€/ kWh</t>
  </si>
  <si>
    <t>€/ kWh charged</t>
  </si>
  <si>
    <t>Without compression (efficiency 0,021 kW --&gt; 1 kg H2/hr)</t>
  </si>
  <si>
    <t>Nominal Specific consumption</t>
  </si>
  <si>
    <t>Webinar: Ammonia plant revamp option for more efficient operation</t>
  </si>
  <si>
    <t>Webinar</t>
  </si>
  <si>
    <t xml:space="preserve">https://www.topsoe.com/processes/ammonia </t>
  </si>
  <si>
    <t>110 MTPD (ton per day)--&gt; $ 27600 USD/day (1$ = 0,925 €)</t>
  </si>
  <si>
    <t>ASU ? ~ 6,2 Gcal/Mt NH3; including reformers etc…</t>
  </si>
  <si>
    <t>7,81 Gcal / MT NH3; 1760 t/day with reformers, etc…</t>
  </si>
  <si>
    <t>Ramp up</t>
  </si>
  <si>
    <t>Ramp down</t>
  </si>
  <si>
    <t>“Green” Ammonia: Impact of Renewable Energy Intermittency on Plant Sizing and Levelized Cost of Ammonia</t>
  </si>
  <si>
    <t xml:space="preserve">https://pubs.acs.org/doi/10.1021/acs.iecr.8b02447# </t>
  </si>
  <si>
    <t>Auxiliaries ? (Not precised in the paper)</t>
  </si>
  <si>
    <t>Technology Brief: Analysis of Current-Day Commercial Electrolyzers</t>
  </si>
  <si>
    <t>Technical note</t>
  </si>
  <si>
    <t xml:space="preserve">https://www.nrel.gov/docs/fy04osti/36705.pdf </t>
  </si>
  <si>
    <t>From 2004</t>
  </si>
  <si>
    <t>I didn't find the outlet pressure</t>
  </si>
  <si>
    <t>Analysis of Islanded Ammonia-based Energy Storage Systems</t>
  </si>
  <si>
    <t xml:space="preserve">http://www2.eng.ox.ac.uk/systemseng/publications/Ammonia-based_ESS.pdf </t>
  </si>
  <si>
    <t>Reverse osmosis 5-13 (10) kWh/m3 : no sufficient purity for electrolysis !</t>
  </si>
  <si>
    <t>Reverse Osmosis without Balance of Plant (3 kWh/m3 H2O)</t>
  </si>
  <si>
    <t>Vapor comp + process efficiency 75% + transformer/rectifier 95 %</t>
  </si>
  <si>
    <t>p33</t>
  </si>
  <si>
    <t>Vapor compression 8-16 - (16) kWh/m3 p29</t>
  </si>
  <si>
    <t>Ammonia plant alone (HB, hight Temperature synthesis)</t>
  </si>
  <si>
    <t>Value min</t>
  </si>
  <si>
    <t>Value max</t>
  </si>
  <si>
    <t>Marginal cost</t>
  </si>
  <si>
    <t>Source 2</t>
  </si>
  <si>
    <t>Combined Scheduling and Capacity Planning of Electricity-Based Ammonia Production to Integrate Renewable Energies</t>
  </si>
  <si>
    <t>https://www.sciencedirect.com/science/article/pii/S0377221714007164?via%3Dihub</t>
  </si>
  <si>
    <t>LCOA</t>
  </si>
  <si>
    <t>Levelized Cost of Ammonia 580-1224 $/t (1$ = 0,925 €)</t>
  </si>
  <si>
    <t>LCOA 655-791 $/t ; (1$ = 0,925 €)</t>
  </si>
  <si>
    <t>LCOA 680-2300 $/t ; (1$ = 0,925 €)</t>
  </si>
  <si>
    <t>Internal Report for a Project Proposal: Green NH3 for a Post Fossil Economy;</t>
  </si>
  <si>
    <t>Techno-Economic Assessment of Nonfossil Ammonia Production</t>
  </si>
  <si>
    <t xml:space="preserve">https://aiche.onlinelibrary.wiley.com/doi/full/10.1002/ep.11886 </t>
  </si>
  <si>
    <t>Fuel production rate</t>
  </si>
  <si>
    <t>100 % conversion rate</t>
  </si>
  <si>
    <t>Feasibility study of methanol production plant from hydrogen and captured carbon dioxide</t>
  </si>
  <si>
    <t xml:space="preserve">https://www.sciencedirect.com/science/article/pii/S2212982017302007 </t>
  </si>
  <si>
    <t>Min1 including auxiliaries (60% el LHV) ; 5 kWh/Nm3 H2</t>
  </si>
  <si>
    <t>Min 2 including auxiliaries ( at standard conditions) ; 4.5 kWh/Nm3</t>
  </si>
  <si>
    <t>Max 1 including auxiliaries (51 % el LHV) ; 5.9 kWh/Nm3</t>
  </si>
  <si>
    <t>Max 2 including auxiliaries 6.6 kWh/Nm3</t>
  </si>
  <si>
    <t>30 bars; 80 C ; 68% efficiency ; 5.2 kWh/Nm3 H2</t>
  </si>
  <si>
    <t>Electrolyser and utilities</t>
  </si>
  <si>
    <t>Carbon Capture System</t>
  </si>
  <si>
    <t>Flue gases inlet</t>
  </si>
  <si>
    <t>40 C ; 2 bars</t>
  </si>
  <si>
    <t>Thermal energy consumption</t>
  </si>
  <si>
    <t>CO2 outlet</t>
  </si>
  <si>
    <t>CO2 capture rate</t>
  </si>
  <si>
    <t>Working pressure</t>
  </si>
  <si>
    <t>Temperature</t>
  </si>
  <si>
    <t>C</t>
  </si>
  <si>
    <t>Recirculation factor of unreacted gases</t>
  </si>
  <si>
    <t>Conversion efficiency</t>
  </si>
  <si>
    <t>Isentropic efficiency: 86% ; Meca efficiency : 99%</t>
  </si>
  <si>
    <t>Calculation</t>
  </si>
  <si>
    <t>285 kg/h H2O for 19 kg/h H2 --&gt; 15 kg H2O/kg H2</t>
  </si>
  <si>
    <t>Private communication by Mitsubishi Hitachi Power Systems</t>
  </si>
  <si>
    <t>Ammonia prices, markets &amp; analysis</t>
  </si>
  <si>
    <t>WebPage</t>
  </si>
  <si>
    <t>https://www.icis.com/explore/commodities/chemicals/ammonia/</t>
  </si>
  <si>
    <t>Contract price agreed in Europe: 215$/ton (1$ = 0,925 €)</t>
  </si>
  <si>
    <t>Contract price agreed in US: 250 $/ton (1$ = 0.925€)</t>
  </si>
  <si>
    <t>NH3 selling price (market price)</t>
  </si>
  <si>
    <t>Yara plant: 850 000 ton/year</t>
  </si>
  <si>
    <t>Maximal load</t>
  </si>
  <si>
    <t>2000 kg/h NH3 plant = 15 t H2O/h</t>
  </si>
  <si>
    <t>% capacity /h</t>
  </si>
  <si>
    <t>% of capacity /h</t>
  </si>
  <si>
    <t>% of capacity/h</t>
  </si>
  <si>
    <t>inf</t>
  </si>
  <si>
    <t>€/(kg H2/h) / y</t>
  </si>
  <si>
    <t>2 % in the same paper !(in the model). Compressor + tank</t>
  </si>
  <si>
    <t>kW</t>
  </si>
  <si>
    <t>€/ kW</t>
  </si>
  <si>
    <t>€ / kW / year</t>
  </si>
  <si>
    <t>U.S. PV system pricing H2 2016</t>
  </si>
  <si>
    <t>Report (not free)</t>
  </si>
  <si>
    <t xml:space="preserve">https://www.woodmac.com/reports/power-markets-u-s-pv-system-pricing-h1-2018-forecasts-and-breakdowns-58176503 </t>
  </si>
  <si>
    <t>Current and future cost of photovoltaics. Long-term scenarios for market development, system prices and LCOE of utility-scale PV systems</t>
  </si>
  <si>
    <t>https://www.ise.fraunhofer.de/en/publications/studies/studie-current-and-future-cost-of-photovoltaics-long-term-scenarios-for-market-development-system-prices-and-lcoe-of-utility-scale-pv-systems.html</t>
  </si>
  <si>
    <t>Fraunhofer report</t>
  </si>
  <si>
    <t>Wind turbine</t>
  </si>
  <si>
    <t>Nominal power (kW)</t>
  </si>
  <si>
    <t>Hub height (m)</t>
  </si>
  <si>
    <t>Rotor diameter (m)</t>
  </si>
  <si>
    <t>Investment (€)</t>
  </si>
  <si>
    <r>
      <t>Turbine density (MW/km</t>
    </r>
    <r>
      <rPr>
        <b/>
        <vertAlign val="superscript"/>
        <sz val="11"/>
        <color theme="1"/>
        <rFont val="Calibri"/>
        <family val="2"/>
        <scheme val="minor"/>
      </rPr>
      <t>2</t>
    </r>
    <r>
      <rPr>
        <b/>
        <sz val="11"/>
        <color theme="1"/>
        <rFont val="Calibri"/>
        <family val="2"/>
        <scheme val="minor"/>
      </rPr>
      <t>)</t>
    </r>
  </si>
  <si>
    <t>IEC class max. wind speed (m/s)</t>
  </si>
  <si>
    <t>Alstom ECO 100</t>
  </si>
  <si>
    <t>3,729,164</t>
  </si>
  <si>
    <t>3,856,625</t>
  </si>
  <si>
    <t>Alstom ECO 110</t>
  </si>
  <si>
    <t>4,111,646</t>
  </si>
  <si>
    <t>4,263,160</t>
  </si>
  <si>
    <t>Enercon E101</t>
  </si>
  <si>
    <t>4,076,432</t>
  </si>
  <si>
    <t>4,167,091</t>
  </si>
  <si>
    <t>3,843,799</t>
  </si>
  <si>
    <t>Enercon E126</t>
  </si>
  <si>
    <t>15,047,379</t>
  </si>
  <si>
    <t>Enercon E82 E3</t>
  </si>
  <si>
    <t>3,361,618</t>
  </si>
  <si>
    <t>3,496,884</t>
  </si>
  <si>
    <t>3,332,711</t>
  </si>
  <si>
    <t>Enercon E82 E4</t>
  </si>
  <si>
    <t>3,368,437</t>
  </si>
  <si>
    <t>3,374,391</t>
  </si>
  <si>
    <t>3,316,579</t>
  </si>
  <si>
    <t>E.N.O. 114</t>
  </si>
  <si>
    <t>5,027,307</t>
  </si>
  <si>
    <t>E.N.O. 126</t>
  </si>
  <si>
    <t>5,512,379</t>
  </si>
  <si>
    <t>5,703,479</t>
  </si>
  <si>
    <t>Gamesa G128-4.5</t>
  </si>
  <si>
    <t>6,760,489</t>
  </si>
  <si>
    <t>6,957,086</t>
  </si>
  <si>
    <t>6,657,251</t>
  </si>
  <si>
    <t>Gamesa G136-4.5</t>
  </si>
  <si>
    <t>7,193,455</t>
  </si>
  <si>
    <t>Leitwind LTW101</t>
  </si>
  <si>
    <t>3,968,053</t>
  </si>
  <si>
    <t>Nordex N117</t>
  </si>
  <si>
    <t>4,564,216</t>
  </si>
  <si>
    <t>4,583,218</t>
  </si>
  <si>
    <t>Repower 5M</t>
  </si>
  <si>
    <t>7,754,533</t>
  </si>
  <si>
    <t>Repower 3.4M104</t>
  </si>
  <si>
    <t>4,288,273</t>
  </si>
  <si>
    <t>4,478,668</t>
  </si>
  <si>
    <t>4,332,123</t>
  </si>
  <si>
    <t>Repower 3.2M114</t>
  </si>
  <si>
    <t>4,627,653</t>
  </si>
  <si>
    <t>4,818,358</t>
  </si>
  <si>
    <t>4,641,705</t>
  </si>
  <si>
    <t>Siemens SWT-3.0-101</t>
  </si>
  <si>
    <t>3,802,001</t>
  </si>
  <si>
    <t>Siemens SWT-3.6-107</t>
  </si>
  <si>
    <t>4,677,494</t>
  </si>
  <si>
    <t>Siemens SWT-3.6-120</t>
  </si>
  <si>
    <t>5,364,863</t>
  </si>
  <si>
    <t>Sinovel SL3000/105</t>
  </si>
  <si>
    <t>3,960,162</t>
  </si>
  <si>
    <t>Sinovel SL3000/113</t>
  </si>
  <si>
    <t>4,409,655</t>
  </si>
  <si>
    <t>Sinovel SL3000/90</t>
  </si>
  <si>
    <t>3,569,774</t>
  </si>
  <si>
    <t>Vestas V112-3.0 MW</t>
  </si>
  <si>
    <t>4,239,364</t>
  </si>
  <si>
    <t>4,188,775</t>
  </si>
  <si>
    <t>4,293,162</t>
  </si>
  <si>
    <t>Vestas V90-3.0 MW</t>
  </si>
  <si>
    <t>3,517,515</t>
  </si>
  <si>
    <t>3,412,762</t>
  </si>
  <si>
    <t>3,483,108</t>
  </si>
  <si>
    <t>3,518,263</t>
  </si>
  <si>
    <t>3,588,559</t>
  </si>
  <si>
    <t>WinWinD WWD-3-100 IEC2</t>
  </si>
  <si>
    <t>3,618,308</t>
  </si>
  <si>
    <t>3,686,285</t>
  </si>
  <si>
    <t>WinWinD WWD-3-100 IEC3</t>
  </si>
  <si>
    <t>WinWinD WWD-3-103 IEC3</t>
  </si>
  <si>
    <t>3,725,829</t>
  </si>
  <si>
    <t>3,797,540</t>
  </si>
  <si>
    <t>WinWinD WWD-3-109IEC3</t>
  </si>
  <si>
    <t>3,954,935</t>
  </si>
  <si>
    <t>4,034,409</t>
  </si>
  <si>
    <t>WindWindD WinWinD 3</t>
  </si>
  <si>
    <t>4,534,031</t>
  </si>
  <si>
    <t>4,544,195</t>
  </si>
  <si>
    <t>WinWinD WWD-3-90</t>
  </si>
  <si>
    <t>3,377,252</t>
  </si>
  <si>
    <t>3,433,489</t>
  </si>
  <si>
    <t>Source</t>
  </si>
  <si>
    <t>Cost-potentials for large onshore wind turbines in Europe</t>
  </si>
  <si>
    <t xml:space="preserve">https://www.sciencedirect.com/science/article/pii/S0360544215001681#appsec1 </t>
  </si>
  <si>
    <t>Onshore wind turbine database over 3 MW in Europe including 60 turbines</t>
  </si>
  <si>
    <t>Assumption</t>
  </si>
  <si>
    <t>Current</t>
  </si>
  <si>
    <t>€/kW/y</t>
  </si>
  <si>
    <t>Low 2030 cost level</t>
  </si>
  <si>
    <t>Used in the model</t>
  </si>
  <si>
    <t>High 2030 cost level</t>
  </si>
  <si>
    <t>Maintenance cost (?!!!)</t>
  </si>
  <si>
    <t>kWh</t>
  </si>
  <si>
    <t>kg NH3 / kg H2</t>
  </si>
  <si>
    <t>H2O</t>
  </si>
  <si>
    <t>O2</t>
  </si>
  <si>
    <t>kg MeOH / h</t>
  </si>
  <si>
    <t>kWh / kg MeOH</t>
  </si>
  <si>
    <t>kg MeOH / kg H2</t>
  </si>
  <si>
    <t xml:space="preserve">€/ (kg MeOH / h) </t>
  </si>
  <si>
    <t>€/ (kg MeOH / h) /year</t>
  </si>
  <si>
    <t>MeOH Selling price</t>
  </si>
  <si>
    <t>MeOH plant parameters (from CO2)</t>
  </si>
  <si>
    <t>CO2 + 3H2 --&gt; CH3OH + H2O</t>
  </si>
  <si>
    <t>Moles CO2</t>
  </si>
  <si>
    <t>CH3OH molecularweight (kg/kmol)</t>
  </si>
  <si>
    <t>CO2 molecular weight (kg/kmol)</t>
  </si>
  <si>
    <t>H2 consumption (kg H2/ kg MeOH prod)</t>
  </si>
  <si>
    <t>CO2 consumption (kg CO2/ kg MeOH prod)</t>
  </si>
  <si>
    <t>kg CO2 / h</t>
  </si>
  <si>
    <t>kWh / kg CO2</t>
  </si>
  <si>
    <t>kg CO2 / kg MeOH produced</t>
  </si>
  <si>
    <t xml:space="preserve">€/ (kg CO2/ h) </t>
  </si>
  <si>
    <t>€/ (kg CO2 / h) /year</t>
  </si>
  <si>
    <t>M€/ton ?</t>
  </si>
  <si>
    <t>Line/Column index</t>
  </si>
  <si>
    <t>Parameters--&gt;</t>
  </si>
  <si>
    <t>Produced from</t>
  </si>
  <si>
    <t>Red: Don't change the name without changing the Julia code</t>
  </si>
  <si>
    <t>Subsets</t>
  </si>
  <si>
    <t>H2 balance</t>
  </si>
  <si>
    <t>El balance</t>
  </si>
  <si>
    <t>Tank</t>
  </si>
  <si>
    <t>Stor_in</t>
  </si>
  <si>
    <t>Stor_out</t>
  </si>
  <si>
    <t>Non-electrical</t>
  </si>
  <si>
    <t>Electrical</t>
  </si>
  <si>
    <t>CO2 Selling price</t>
  </si>
  <si>
    <t>IEA</t>
  </si>
  <si>
    <t>IEA Report</t>
  </si>
  <si>
    <t>IEA The future of hydrogen 2019</t>
  </si>
  <si>
    <t xml:space="preserve">https://webstore.iea.org/the-future-of-hydrogen </t>
  </si>
  <si>
    <t>9 L H2O / kh H2 - p43- Basic calculation (not real life)</t>
  </si>
  <si>
    <t>Reverse osmosis -p43- (3-4 kWh/m3 H2O)</t>
  </si>
  <si>
    <t>"Cost"</t>
  </si>
  <si>
    <t>MWe</t>
  </si>
  <si>
    <t>p44</t>
  </si>
  <si>
    <t>2030 min 65 % LHV ( auxiliaries ?)</t>
  </si>
  <si>
    <t>2030 max 71 % LHV ( auxiliaries ?)</t>
  </si>
  <si>
    <t>Long term min 70  LHV (auxiliaries ?)</t>
  </si>
  <si>
    <t>Long term max 80 % LHV ( auxiliaries ?)</t>
  </si>
  <si>
    <t>2030 Min (p44)</t>
  </si>
  <si>
    <t>2030 Max (p44)</t>
  </si>
  <si>
    <t>Bars</t>
  </si>
  <si>
    <t>bar</t>
  </si>
  <si>
    <t>2030 min 77% LHV</t>
  </si>
  <si>
    <t>2030 max 84 % LHV</t>
  </si>
  <si>
    <t>Long term min 77 % LHV</t>
  </si>
  <si>
    <t>Long term max 90% LHV</t>
  </si>
  <si>
    <t>€/kWe</t>
  </si>
  <si>
    <t>Long term min</t>
  </si>
  <si>
    <t>Long term max</t>
  </si>
  <si>
    <t>2030 Min : 63 % (utilities ?)</t>
  </si>
  <si>
    <t>2030 Max : 68 % (utilities ?)</t>
  </si>
  <si>
    <t>Long term min: 67 % (utilities ?)</t>
  </si>
  <si>
    <t>Long term max: 74 % (utilities ?)</t>
  </si>
  <si>
    <t>% investement</t>
  </si>
  <si>
    <t>Maintenance cost min</t>
  </si>
  <si>
    <t>Maintenance cost max</t>
  </si>
  <si>
    <t>Values used in the optimisation model (for technical details check the Profile excel file)</t>
  </si>
  <si>
    <t>kg CO2 / kWh</t>
  </si>
  <si>
    <t>CO2 emissions</t>
  </si>
  <si>
    <t xml:space="preserve">Check the reference for details (mutliple studies gathering by NREL) </t>
  </si>
  <si>
    <t>g CO2 / kWh</t>
  </si>
  <si>
    <t>Life Cycle Greenhouse Gas Emissions from Solar Photovoltaics</t>
  </si>
  <si>
    <t xml:space="preserve">https://www.nrel.gov/docs/fy13osti/56487.pdf </t>
  </si>
  <si>
    <t>NREL note</t>
  </si>
  <si>
    <t>LNG and Cruise Ships, an Easy Way to Fulfil Regulations—Versus the Need for Reducing GHG Emissions</t>
  </si>
  <si>
    <t xml:space="preserve">https://www.mdpi.com/2071-1050/12/5/2080 </t>
  </si>
  <si>
    <t>CO2 capture cost</t>
  </si>
  <si>
    <t>p59</t>
  </si>
  <si>
    <t>kWth/kg CO2</t>
  </si>
  <si>
    <r>
      <t xml:space="preserve">Direct air capture min (high -900 </t>
    </r>
    <r>
      <rPr>
        <sz val="11"/>
        <color theme="1"/>
        <rFont val="Calibri"/>
        <family val="2"/>
      </rPr>
      <t>°C-</t>
    </r>
    <r>
      <rPr>
        <sz val="11"/>
        <color theme="1"/>
        <rFont val="Calibri"/>
        <family val="2"/>
        <scheme val="minor"/>
      </rPr>
      <t xml:space="preserve"> or low temp -100 °C  ??)</t>
    </r>
  </si>
  <si>
    <t>Direct air capture max (high -900 °C- or low temp -100 °C  ??)</t>
  </si>
  <si>
    <t>Amine based CCS from coal plant : 3 GJth / kg CO2 (--&gt; actually ton)</t>
  </si>
  <si>
    <t>Electrical energy consumption</t>
  </si>
  <si>
    <t>Amine CCS from coal: 7 kWh for 140 kg/h CO2 out, 700 kg/h flue gas in</t>
  </si>
  <si>
    <t>DAC min (high or low temp ??)</t>
  </si>
  <si>
    <t>DAC max (high or low temp ??)</t>
  </si>
  <si>
    <t>Standard downard flexibility: 40 %</t>
  </si>
  <si>
    <t>Advanced downward flexibility: 80% (and shut down possible)</t>
  </si>
  <si>
    <t>p63</t>
  </si>
  <si>
    <t>Long term: El 25$/MWh, 3000 FLH, disc rate 8%, ~ 60 $/MWh, 5.17 MWh/t</t>
  </si>
  <si>
    <t>Near term: El 50$/MWh, 3000 FLH, disc rate 8%, ~ 150 $/MWh, 5.17MWh/t</t>
  </si>
  <si>
    <t>p60</t>
  </si>
  <si>
    <t>H2</t>
  </si>
  <si>
    <t>p55</t>
  </si>
  <si>
    <t>Australia Min value: 25$ CO2 price, Max 100$ CO2 price, 2.2-3.8 $/kg H2</t>
  </si>
  <si>
    <t>Chile , Idem, ~ 1.8-3 $/kg</t>
  </si>
  <si>
    <t>China , Idem,  ~ 1.8-2.1 $/kg</t>
  </si>
  <si>
    <t>Europe , Idem,  ~ 3.1-4 $/kg</t>
  </si>
  <si>
    <t>India , Idem,  ~  1.8-2.8 $/kg</t>
  </si>
  <si>
    <t>Japan , Idem,  ~ 4-6 $/kg</t>
  </si>
  <si>
    <t>Middle East , Idem,  ~ 1.8-4.1 $/kg</t>
  </si>
  <si>
    <t>North Africa , Idem,  ~ 1.7-3.1 $/kg</t>
  </si>
  <si>
    <t>United States , Idem,  ~ 2.2-3.6 $/kg</t>
  </si>
  <si>
    <t>Many different prices are displayed in the same source based on different assumptions etc…</t>
  </si>
  <si>
    <t>Min 2020</t>
  </si>
  <si>
    <t>Bench 2020</t>
  </si>
  <si>
    <t>Max 2020</t>
  </si>
  <si>
    <t>Technology Data Catalogue for Electricity and district heating production - Updated April 2020 </t>
  </si>
  <si>
    <t xml:space="preserve">https://ens.dk/en/our-services/projections-and-models/technology-data/technology-data-generation-electricity-and </t>
  </si>
  <si>
    <t>Assumption 2030</t>
  </si>
  <si>
    <t>Low assumption 2: 2050</t>
  </si>
  <si>
    <t>Assumption 2040</t>
  </si>
  <si>
    <t>Low assumption 1: 2050</t>
  </si>
  <si>
    <t>Mid-assumption 1: 2050</t>
  </si>
  <si>
    <t>High assumption 1: 2050</t>
  </si>
  <si>
    <t>Min 2020 (technical life time)</t>
  </si>
  <si>
    <t>Bench 2020  (technical life time)</t>
  </si>
  <si>
    <t>Max 2020  (technical life time)</t>
  </si>
  <si>
    <t>Assumption 2030  (technical life time)</t>
  </si>
  <si>
    <t>Assumption 2040  (technical life time)</t>
  </si>
  <si>
    <t>Low assumption 1: 2050  (technical life time)</t>
  </si>
  <si>
    <t>Mid-assumption 1: 2050  (technical life time)</t>
  </si>
  <si>
    <t>High assumption 1: 2050  (technical life time)</t>
  </si>
  <si>
    <t>Large Wind onshore (&gt; 3 MW)</t>
  </si>
  <si>
    <t>Check the reference</t>
  </si>
  <si>
    <t>Used in their model low</t>
  </si>
  <si>
    <t>Used in their model high</t>
  </si>
  <si>
    <t>Wind offshore (not near shore)</t>
  </si>
  <si>
    <t>Large scale utility  PV solar</t>
  </si>
  <si>
    <t>Current utility scale PV 2016 (weird value !!!)</t>
  </si>
  <si>
    <t>Low assumption 2 2050</t>
  </si>
  <si>
    <t>High assumption 2 2050</t>
  </si>
  <si>
    <t>Check the reference for details</t>
  </si>
  <si>
    <t>(2016 ?)</t>
  </si>
  <si>
    <t>2020 Source 1</t>
  </si>
  <si>
    <t>2020 Source 2</t>
  </si>
  <si>
    <t>2030 Source 2</t>
  </si>
  <si>
    <t>2040 Source 2</t>
  </si>
  <si>
    <t>2050 Source 2</t>
  </si>
  <si>
    <t>Technology data for energy storage</t>
  </si>
  <si>
    <t>Report/Catalogue</t>
  </si>
  <si>
    <t xml:space="preserve">https://ens.dk/en/our-services/projections-and-models/technology-data/technology-data-energy-storage </t>
  </si>
  <si>
    <t>Compression from 1 to 200 bars</t>
  </si>
  <si>
    <t>Load min H2 tank</t>
  </si>
  <si>
    <t>Mid 2050</t>
  </si>
  <si>
    <t>Lower 2020</t>
  </si>
  <si>
    <t>In 2030</t>
  </si>
  <si>
    <t>In 2040</t>
  </si>
  <si>
    <t>Lower 2050</t>
  </si>
  <si>
    <t>Upper 2050</t>
  </si>
  <si>
    <t>€/kW/year</t>
  </si>
  <si>
    <t>Mid 2020</t>
  </si>
  <si>
    <t>Upper 2020</t>
  </si>
  <si>
    <t>2050 cost levels second source</t>
  </si>
  <si>
    <t>Round trip efficiency of 0,9: ~ charger + discharger consumption</t>
  </si>
  <si>
    <t>kWh / kWh discharged</t>
  </si>
  <si>
    <t>AC Electrical consumption charge</t>
  </si>
  <si>
    <t>AC Electrical consumption discharge</t>
  </si>
  <si>
    <t>kWh/kWh discharged</t>
  </si>
  <si>
    <t>Life time (Years)</t>
  </si>
  <si>
    <t>Payback period (Years)</t>
  </si>
  <si>
    <t>Methanol plant and carbon source</t>
  </si>
  <si>
    <t>Bench</t>
  </si>
  <si>
    <t>Type of unit</t>
  </si>
  <si>
    <t xml:space="preserve">Worst </t>
  </si>
  <si>
    <t>Wind onshore</t>
  </si>
  <si>
    <t>Wind offshore</t>
  </si>
  <si>
    <t>Recovery period</t>
  </si>
  <si>
    <t>Economics &amp; carbon dioxide avoidance cost of methanol production based on renewable hydrogen and recycled carbon dioxide – power-to-methanol</t>
  </si>
  <si>
    <t xml:space="preserve">https://pubs.rsc.org/en/content/articlehtml/2018/se/c8se00032h </t>
  </si>
  <si>
    <t>Interest rate</t>
  </si>
  <si>
    <t>p.a.</t>
  </si>
  <si>
    <t>Grid connection</t>
  </si>
  <si>
    <t>"PEMEL grid connection"</t>
  </si>
  <si>
    <t>Stack reconditioning cost</t>
  </si>
  <si>
    <t>Maintenance and insurance</t>
  </si>
  <si>
    <t>Reactor capital cost function: 14.2 10^6 * (Min/54000)^0.65</t>
  </si>
  <si>
    <t>MeOH specific investment</t>
  </si>
  <si>
    <t>Plant buildings and facilities</t>
  </si>
  <si>
    <t>"Relatively conservative value"</t>
  </si>
  <si>
    <t>Webinar Q&amp;A</t>
  </si>
  <si>
    <t>€/t MeOH</t>
  </si>
  <si>
    <t>Reactor + distillation ; 15 t /day</t>
  </si>
  <si>
    <t>Reactor + distillation ; 12 t /day</t>
  </si>
  <si>
    <t>Reactor + distillation ; 19 t /day</t>
  </si>
  <si>
    <t>Reactor + distillation ; 178-372 t /day</t>
  </si>
  <si>
    <t>Reactor + distillation ; 97 t /day</t>
  </si>
  <si>
    <t>Reactor + distillation ; 1320 t /day</t>
  </si>
  <si>
    <t>1299-2420</t>
  </si>
  <si>
    <t>Check the source table 5 for all the details (litterature comparison)</t>
  </si>
  <si>
    <t>Check the source table 5  for details</t>
  </si>
  <si>
    <t>Check the source table 5  for details (SOEC)</t>
  </si>
  <si>
    <t>Check the source table 5  for details (PEM)</t>
  </si>
  <si>
    <t>€/ton CO2</t>
  </si>
  <si>
    <t>From a webinar DAC (more or less correct): 250 €/t CO2</t>
  </si>
  <si>
    <t>€/(kg/h)</t>
  </si>
  <si>
    <t>810 €/(t/year)</t>
  </si>
  <si>
    <t>Natural Gas Utilization via Small Scale Methanol Technologies</t>
  </si>
  <si>
    <t>White paper</t>
  </si>
  <si>
    <t xml:space="preserve">https://adi-analytics.com/2015/06/19/natural-gas-utilization-via-small-scale-methanol-technologies/ </t>
  </si>
  <si>
    <t>Methanol synthesis using captured CO2 as raw material: Techno-economic and environmental assessment</t>
  </si>
  <si>
    <t xml:space="preserve">https://www.sciencedirect.com/science/article/pii/S0306261915009071 </t>
  </si>
  <si>
    <t>€/ton MeOH</t>
  </si>
  <si>
    <t xml:space="preserve">CCU </t>
  </si>
  <si>
    <t>kg CO2 / kg MeOH</t>
  </si>
  <si>
    <t>Direct emissions CCU plant</t>
  </si>
  <si>
    <t>Indirect emissins CCU plant</t>
  </si>
  <si>
    <t>Direct emissions conventional plant</t>
  </si>
  <si>
    <t>Indirect emissions conventional plant</t>
  </si>
  <si>
    <t xml:space="preserve">CCU_Plant </t>
  </si>
  <si>
    <t>Plant depreciation time min (lit rev)</t>
  </si>
  <si>
    <t>Plant depreciation time mid (lit rev)</t>
  </si>
  <si>
    <t>Plant depreciation time max (lit rev) + 1 ref with 25</t>
  </si>
  <si>
    <t>€/kg MeOH</t>
  </si>
  <si>
    <t>Subsets_2</t>
  </si>
  <si>
    <t>€/kg CO2</t>
  </si>
  <si>
    <t>Capture investment</t>
  </si>
  <si>
    <t>CO2 capture from power plants: Part II. A parametric study of the economical performance based on mono-ethanolamine</t>
  </si>
  <si>
    <t xml:space="preserve">https://www.sciencedirect.com/science/article/pii/S1750583607000321 </t>
  </si>
  <si>
    <t>Heat balance</t>
  </si>
  <si>
    <t>Heat generated</t>
  </si>
  <si>
    <t>Ramp</t>
  </si>
  <si>
    <t>Max ramp up and down</t>
  </si>
  <si>
    <t>% load/h</t>
  </si>
  <si>
    <t>From interviews</t>
  </si>
  <si>
    <t>Flexibility Haber-Bosch up</t>
  </si>
  <si>
    <t>Excess heat generated</t>
  </si>
  <si>
    <t>PWL</t>
  </si>
  <si>
    <t>% capacity</t>
  </si>
  <si>
    <t>Fuel production rate (= CO2 consumption)</t>
  </si>
  <si>
    <t xml:space="preserve">Conversion efficiency based on Lab scale facility </t>
  </si>
  <si>
    <t>Based on 96% conversion efficiency</t>
  </si>
  <si>
    <t>Based on 90% conversion efficiency</t>
  </si>
  <si>
    <t>Investigation of technical and economic aspects for methanol production through CO2 hydrogenation</t>
  </si>
  <si>
    <t xml:space="preserve">https://www.sciencedirect.com/science/article/pii/S0360319915302718?via%3Dihub </t>
  </si>
  <si>
    <t>Min 2020 including grid connection</t>
  </si>
  <si>
    <t>Bench 2020 including grid connection</t>
  </si>
  <si>
    <t>Max 2020 including grid connection</t>
  </si>
  <si>
    <t>Assumption 2030 including grid connection</t>
  </si>
  <si>
    <t>Assumption 2040 including grid connection</t>
  </si>
  <si>
    <t>Space requirement</t>
  </si>
  <si>
    <t>m2/kW</t>
  </si>
  <si>
    <t>m</t>
  </si>
  <si>
    <t>Wind farms specifications</t>
  </si>
  <si>
    <t>Wind farm capacity</t>
  </si>
  <si>
    <t>MW</t>
  </si>
  <si>
    <t>Model installed: V164 (Vestas), 8.3 MW capacity, 164 m rotor diameter</t>
  </si>
  <si>
    <t>Model installed: Siemens/Gamesa, 8.4 MW capacity, 167 rotor diameter</t>
  </si>
  <si>
    <t>Values used in the model (also check profile excel file)</t>
  </si>
  <si>
    <t>Wind nearshore 4-7 km from cost</t>
  </si>
  <si>
    <t>Wind nearshore 4-7 km from coast</t>
  </si>
  <si>
    <t>Hub heights 2020</t>
  </si>
  <si>
    <t>Hub heights 2030</t>
  </si>
  <si>
    <t>Hub heights 2040</t>
  </si>
  <si>
    <t>Hub heights 2050</t>
  </si>
  <si>
    <t>Rotor diameter 2020</t>
  </si>
  <si>
    <t>Rotor diameter 2030</t>
  </si>
  <si>
    <t>Rotor diameter 2040</t>
  </si>
  <si>
    <t>Rotor diameter 2050</t>
  </si>
  <si>
    <t>Capacity one unit 2020</t>
  </si>
  <si>
    <t>Capacity one unit 2030</t>
  </si>
  <si>
    <t>Capacity one unit 2040</t>
  </si>
  <si>
    <t>Capacity one unit 2050</t>
  </si>
  <si>
    <t xml:space="preserve">Min 2020 </t>
  </si>
  <si>
    <t xml:space="preserve">Bench 2020 </t>
  </si>
  <si>
    <t xml:space="preserve">Max 2020 </t>
  </si>
  <si>
    <t xml:space="preserve">Assumption 2030 </t>
  </si>
  <si>
    <t xml:space="preserve">Assumption 2040 </t>
  </si>
  <si>
    <t>Larger built</t>
  </si>
  <si>
    <t>m2/kWe</t>
  </si>
  <si>
    <t>Reverse osmosis sea water electrolysis (61200 € for 2000L/h)</t>
  </si>
  <si>
    <t>Reverse osmosis without electricity intake</t>
  </si>
  <si>
    <t>Towards sustainable energy production on the North Sea-Green hydrogen production and CO2storage: onshore or offshore?</t>
  </si>
  <si>
    <t xml:space="preserve">https://forstrom-inzichtinenergie.com/wp-content/uploads/2018/09/North-Sea-Energy-I-D3.1.2-3.1.4-D3.1.6-Towards-sustainable-energy-production-on-the-North-Sea_final-public.pdf </t>
  </si>
  <si>
    <t>Around 0.7 - 2.5 USD per m3 --&gt; + 0.01-0.02 USD/kg H2</t>
  </si>
  <si>
    <t>Turn-down ratio without hydrogen or electricity storage</t>
  </si>
  <si>
    <t>Ammonfuel - An industrial view of ammonia as a marine fuel</t>
  </si>
  <si>
    <t>80-130</t>
  </si>
  <si>
    <t>USD/MT</t>
  </si>
  <si>
    <t>"Operating cost coefficient"; 0.015$/(kg NH3/h) (1$ = 0,925 €)</t>
  </si>
  <si>
    <t>Co-electrolysis for power-to-methanol applications</t>
  </si>
  <si>
    <t xml:space="preserve">https://www.sciencedirect.com/science/article/pii/S1364032118305380#bib83 </t>
  </si>
  <si>
    <t>Technical parameters</t>
  </si>
  <si>
    <t>"A dynamic MeOH synthesis reactor is at present not realised at the industrial scale"</t>
  </si>
  <si>
    <t>But minimal load of 20% is used</t>
  </si>
  <si>
    <t>kWh /kg MeOH</t>
  </si>
  <si>
    <t>Conventional plant 0.147 MWh / t MeOH (MeOH made from CO)</t>
  </si>
  <si>
    <t>Water needs</t>
  </si>
  <si>
    <t>kg H2O/ kg MeOH</t>
  </si>
  <si>
    <t>PEM</t>
  </si>
  <si>
    <t>Sources alkaline electrolyser</t>
  </si>
  <si>
    <t>Sources PEM electrolyser</t>
  </si>
  <si>
    <t>Sources SOEC electrolyser</t>
  </si>
  <si>
    <t>Max 1 : 46 % LHV Utilities included</t>
  </si>
  <si>
    <t>Min 1: 60% LHV with utilities</t>
  </si>
  <si>
    <t>56 % LHV (probably with utilities)</t>
  </si>
  <si>
    <t>Technology Data for Renewable Fuels</t>
  </si>
  <si>
    <t>Catalogue</t>
  </si>
  <si>
    <t xml:space="preserve">https://ens.dk/sites/ens.dk/files/Analyser/technology_data_for_renewable_fuels.pdf </t>
  </si>
  <si>
    <t>Operating temperature 2020</t>
  </si>
  <si>
    <t>Electrolyser</t>
  </si>
  <si>
    <t>m2/MW</t>
  </si>
  <si>
    <t>2020 min 74 % LHV</t>
  </si>
  <si>
    <t>2020 min 63 % LHV ( auxiliaries ?)</t>
  </si>
  <si>
    <t>2020 max 70 % LHV (auxiliaries ?)</t>
  </si>
  <si>
    <t>2020 Min 1 (in transient operation: not well quantified)</t>
  </si>
  <si>
    <t>2020 Min 2</t>
  </si>
  <si>
    <t>2020 Max 1</t>
  </si>
  <si>
    <t>2020 Max 2</t>
  </si>
  <si>
    <t>2020 min 2</t>
  </si>
  <si>
    <t>2020 max 2</t>
  </si>
  <si>
    <t>2020 max 76 % LHV including utilities</t>
  </si>
  <si>
    <t>2020 min 81 % LHV inculding utilities</t>
  </si>
  <si>
    <t>2020 benchmark 76 % LHV</t>
  </si>
  <si>
    <t>2020 lower 72 % LHV</t>
  </si>
  <si>
    <t>2020 upper 80 % LHV</t>
  </si>
  <si>
    <t>2030 79% LHV</t>
  </si>
  <si>
    <t>2050 75 % LHV lower</t>
  </si>
  <si>
    <t>2050 79 % LHV mid</t>
  </si>
  <si>
    <t>2050 83 % LHV upper</t>
  </si>
  <si>
    <t xml:space="preserve">Stack lifetime 2020 min </t>
  </si>
  <si>
    <t>Stack lifetime 2020 max</t>
  </si>
  <si>
    <t>Stack lifetime 2030 min</t>
  </si>
  <si>
    <t>Stack lifetime 2030 max</t>
  </si>
  <si>
    <t>Stack lifetime Long term min</t>
  </si>
  <si>
    <t>Stack lifetime Long term max</t>
  </si>
  <si>
    <t>2020 lower (€ 2015)</t>
  </si>
  <si>
    <t>€/kW input (e+ h)</t>
  </si>
  <si>
    <t>Technical lifetime</t>
  </si>
  <si>
    <t>Heat price</t>
  </si>
  <si>
    <t>Energinet</t>
  </si>
  <si>
    <t>System perpective 2035_Modelling of energy plants_Appendix report</t>
  </si>
  <si>
    <t>Report appendix</t>
  </si>
  <si>
    <t xml:space="preserve">https://en.energinet.dk/systemperspective2035 </t>
  </si>
  <si>
    <t>LT process heat sale (110-300 degrees): 120 DKK/GJ, 1€ = 7.5 DKK</t>
  </si>
  <si>
    <t xml:space="preserve">Heat generated </t>
  </si>
  <si>
    <t>In 2030: 12 % of total size (in MW)</t>
  </si>
  <si>
    <t>In 2050: 8 % of total size (in MW)</t>
  </si>
  <si>
    <t>Heat selling price</t>
  </si>
  <si>
    <t>Heat generation</t>
  </si>
  <si>
    <t>12 % of totale size MW (in 2030) Currently not utilized but maybe possible</t>
  </si>
  <si>
    <t>10 % total size 2050</t>
  </si>
  <si>
    <t>Low temperature heat (temp not specified)</t>
  </si>
  <si>
    <t>Paper (review)</t>
  </si>
  <si>
    <t>Electrofuels for the transport sector: A review of production costs</t>
  </si>
  <si>
    <t xml:space="preserve">https://www.sciencedirect.com/science/article/pii/S1364032117309358 </t>
  </si>
  <si>
    <t>Number out of nowhere</t>
  </si>
  <si>
    <t>27 €/ton</t>
  </si>
  <si>
    <t>55 €/ton</t>
  </si>
  <si>
    <t>Stack lifetime 2020 (?)</t>
  </si>
  <si>
    <t>Stack lifetime 2020 min 2</t>
  </si>
  <si>
    <t>Stack lifetime 2020 max 2</t>
  </si>
  <si>
    <t>Stack lifetime 2020 min 1</t>
  </si>
  <si>
    <t>Stack lifetime 2020 max 1</t>
  </si>
  <si>
    <t>A Techno-economic analysis and systematic review of carbon capture and storage (CCS) applied to the iron and steel, cement, oil refining and pulp and paper industries, as well as other high purity sources</t>
  </si>
  <si>
    <t>Leeson</t>
  </si>
  <si>
    <t xml:space="preserve">https://www.sciencedirect.com/science/article/pii/S175058361730289X </t>
  </si>
  <si>
    <t>Co-production of synthetic fuels and district heat from biomass residues, carbon dioxide and electricity: Performance and cost analysis</t>
  </si>
  <si>
    <t>Hannula</t>
  </si>
  <si>
    <t xml:space="preserve">https://www.sciencedirect.com/science/article/pii/S0961953415000070 </t>
  </si>
  <si>
    <t>8 €/GJ for district heating</t>
  </si>
  <si>
    <t>The competitiveness of synthetic natural gas as a propellant in the Swedish fuel market</t>
  </si>
  <si>
    <t>Mosheni</t>
  </si>
  <si>
    <t xml:space="preserve">https://www.sciencedirect.com/science/article/pii/S0301421512009342 </t>
  </si>
  <si>
    <t>Same as the average fuel cost in the Swedish district heating industry</t>
  </si>
  <si>
    <t>Original source from 2007</t>
  </si>
  <si>
    <t>Syngas production via high-temperature steam/CO2 co-electrolysis: an economic assessment</t>
  </si>
  <si>
    <t>Fu</t>
  </si>
  <si>
    <t xml:space="preserve">https://pubs.rsc.org/en/content/articlelanding/2010/EE/c0ee00092b#!divAbstract </t>
  </si>
  <si>
    <t>Modelling of a power-to-gas system to predict the levelised cost of energy of an advanced renewable gaseous transport fuel</t>
  </si>
  <si>
    <t xml:space="preserve">https://www.sciencedirect.com/science/article/pii/S0306261918301387 </t>
  </si>
  <si>
    <t>10 c/Nm3</t>
  </si>
  <si>
    <t>Heat production and consumption</t>
  </si>
  <si>
    <t>Integrated MeOH CCU plant (heat re-used in the process). Cooling needs</t>
  </si>
  <si>
    <t>kWh/ kg MeOH</t>
  </si>
  <si>
    <t>Heating needs</t>
  </si>
  <si>
    <t>CCU-Plant 0.169 MWh / t MeoH with excess heat to rankine cycle</t>
  </si>
  <si>
    <t>CCU-Plant without rankine cycle: (minus 8 MW for 55 kg MeOH/h)</t>
  </si>
  <si>
    <t>Extra heat used to power turbines (here use for distirct heating instead)</t>
  </si>
  <si>
    <t>HHV Ammonia pressurized tank</t>
  </si>
  <si>
    <t>MJ/kg</t>
  </si>
  <si>
    <t>HHV Methanol liquid</t>
  </si>
  <si>
    <t>Renewable NH3</t>
  </si>
  <si>
    <t>€/ton</t>
  </si>
  <si>
    <t>Heat generated (minus if consumed)</t>
  </si>
  <si>
    <t>H2 pipeline</t>
  </si>
  <si>
    <t>1.75 * lpipeline * (418.869 + 762.8* dpipeline + 2.306 * dpipeline ^2 )/1.33</t>
  </si>
  <si>
    <t>Grid price</t>
  </si>
  <si>
    <t>Denmark: 0.54 tax + 10.74 transmission + 5.37 distribution €/MWh</t>
  </si>
  <si>
    <t xml:space="preserve">https://energinet.dk/-/media/8BF0CD597E1A457C8E9711B50EC2782A.PDF </t>
  </si>
  <si>
    <t xml:space="preserve">PTX IN DENMARK BEFORE 2030 Short term potential of PtX in Denmark from a system perspective </t>
  </si>
  <si>
    <t>Based on 94% conversion efficiency</t>
  </si>
  <si>
    <t>p113. In 2020: 14% of total size (in MW) = electricity cons*0.14</t>
  </si>
  <si>
    <t>p 13</t>
  </si>
  <si>
    <t>3.4*10^6*Dpipeline^2 + 598.6 * 10^3 * dpipeline + 329*10^3</t>
  </si>
  <si>
    <t>€</t>
  </si>
  <si>
    <t>€/km</t>
  </si>
  <si>
    <t>With Rho*v*pi*dpipeline^2 = 4*Qmass</t>
  </si>
  <si>
    <t>GIS-based scenario calculations for a nationwide German hydrogen pipeline infrastructure</t>
  </si>
  <si>
    <t>Baufumé</t>
  </si>
  <si>
    <t xml:space="preserve">https://www.sciencedirect.com/science/article/pii/S0360319913000670 </t>
  </si>
  <si>
    <t>Q</t>
  </si>
  <si>
    <t>€/(kg/h)/km</t>
  </si>
  <si>
    <t>Calculations 2</t>
  </si>
  <si>
    <t xml:space="preserve">Length </t>
  </si>
  <si>
    <t>km</t>
  </si>
  <si>
    <t>From offhore platform to Rønne</t>
  </si>
  <si>
    <t>Length</t>
  </si>
  <si>
    <t>€/ (kg H2/h) / year</t>
  </si>
  <si>
    <t>Grid use price</t>
  </si>
  <si>
    <t>Integrated electrofuels and renewable energy systems</t>
  </si>
  <si>
    <t>PhD Thesis</t>
  </si>
  <si>
    <t xml:space="preserve">https://vbn.aau.dk/da/publications/integrated-electrofuels-and-renewable-energy-systems </t>
  </si>
  <si>
    <t>Recycling cost (carbon source not specified)</t>
  </si>
  <si>
    <t>p64</t>
  </si>
  <si>
    <t>28-930</t>
  </si>
  <si>
    <t>Air capture min-max</t>
  </si>
  <si>
    <t>Air capture average</t>
  </si>
  <si>
    <t>Specific energy methanol (LHV)</t>
  </si>
  <si>
    <t>€/GJ LHV</t>
  </si>
  <si>
    <t>4/rho v pi</t>
  </si>
  <si>
    <t>sqrt (4/rho v pi)</t>
  </si>
  <si>
    <t>Initial coef</t>
  </si>
  <si>
    <t xml:space="preserve">T C </t>
  </si>
  <si>
    <t>P bar</t>
  </si>
  <si>
    <t>M kg/mol</t>
  </si>
  <si>
    <t>R</t>
  </si>
  <si>
    <t>a</t>
  </si>
  <si>
    <t>b</t>
  </si>
  <si>
    <t>2020 average 66.5 %</t>
  </si>
  <si>
    <t xml:space="preserve">Own </t>
  </si>
  <si>
    <t>Linear coeff for kg/s</t>
  </si>
  <si>
    <t>Linear coeff kg/h</t>
  </si>
  <si>
    <t>At 10 degrees, 65 bars</t>
  </si>
  <si>
    <t>Do not depend on capacity, at 10 degrees, 65 bars</t>
  </si>
  <si>
    <t>Amines (MEA)</t>
  </si>
  <si>
    <t>v (m/s)</t>
  </si>
  <si>
    <t>rho (kg / m3)</t>
  </si>
  <si>
    <t>f1(Q)</t>
  </si>
  <si>
    <t>Coefficients f1</t>
  </si>
  <si>
    <t>Linearized f1</t>
  </si>
  <si>
    <t>Difference f1 %</t>
  </si>
  <si>
    <t>Lenght of connection</t>
  </si>
  <si>
    <t>Investment export cable</t>
  </si>
  <si>
    <t>Investment grid connection</t>
  </si>
  <si>
    <t>Min-Medium-Max 2020</t>
  </si>
  <si>
    <t>340-380-400</t>
  </si>
  <si>
    <t xml:space="preserve">Investment export cable </t>
  </si>
  <si>
    <t>Fixed investment export cable</t>
  </si>
  <si>
    <t>Fixed investment with grid connection</t>
  </si>
  <si>
    <t xml:space="preserve">Capex_equipment[M€] = (0.002* Power [MW] + 0.1188)* L [km]  </t>
  </si>
  <si>
    <t>Capex_installation[M€] = 1.91 * L[km]</t>
  </si>
  <si>
    <t>Capex_total = Capex_installation + Capex_equipment</t>
  </si>
  <si>
    <t>0.025 * Capex_equipment</t>
  </si>
  <si>
    <t>NorthSeaGrid Offshore Electricity Grid Implementation in the North sea</t>
  </si>
  <si>
    <t>Annexes report</t>
  </si>
  <si>
    <t xml:space="preserve">http://www.northseagrid.info/sites/default/files/NorthSeaGrid_Final_Report_Annexes.pdf </t>
  </si>
  <si>
    <t>€/kW/km</t>
  </si>
  <si>
    <t>0.1188 * L[km] + 1.91 *L[km]</t>
  </si>
  <si>
    <t>Alessandro</t>
  </si>
  <si>
    <t>Techno-economic barriers of an industrial-scale methanol CCU-plant</t>
  </si>
  <si>
    <t xml:space="preserve">https://www.sciencedirect.com/science/article/pii/S2212982020300688#bib0260 </t>
  </si>
  <si>
    <t>Demonstrating Large Scale Industrial CCS through CCU – A Case Study for Methanol Production</t>
  </si>
  <si>
    <t xml:space="preserve">https://www.sciencedirect.com/science/article/pii/S1876610217313280 </t>
  </si>
  <si>
    <t>€/(kg/h)/y</t>
  </si>
  <si>
    <t>Minimum 2.5% of FCI and FCI = CAPEX/1.47 + salaries etc… : approx</t>
  </si>
  <si>
    <t>MeOH plant parameters (from CO)</t>
  </si>
  <si>
    <t>CO + 2H2 --&gt; CH3OH</t>
  </si>
  <si>
    <t>CO consumption (kg CO/ kg MeOH prod)</t>
  </si>
  <si>
    <t>CO molecular weight (kg/kmol)</t>
  </si>
  <si>
    <t>Oxygen sale</t>
  </si>
  <si>
    <t>Heat sale</t>
  </si>
  <si>
    <t>Excess heat production</t>
  </si>
  <si>
    <t>Moles CO</t>
  </si>
  <si>
    <t>MeOH production rate (kg MeOH/kg H2)</t>
  </si>
  <si>
    <t xml:space="preserve">Hossein </t>
  </si>
  <si>
    <t>Hossein</t>
  </si>
  <si>
    <t>NH3 production rate (kg NH3 / kg H2)</t>
  </si>
  <si>
    <t>Excess heat usable for disctrict heating (kWh/kmol H2)</t>
  </si>
  <si>
    <t>Total H2 consumption (kg H2/ kg MeOH prod)</t>
  </si>
  <si>
    <t>H2 consumption from the electrolyser (kg H2 / kg MeOH)</t>
  </si>
  <si>
    <t>Ammonia plant</t>
  </si>
  <si>
    <t>A system approach in energy evaluation of different renewable energies sources integration in ammonia production plants</t>
  </si>
  <si>
    <t xml:space="preserve">https://www.sciencedirect.com/science/article/pii/S096014811630636X </t>
  </si>
  <si>
    <t>Integrated Haber-Bosh powered by electrolyser, Aspen model</t>
  </si>
  <si>
    <t>Excess heat usable for disctrict heating (kWh/kg NH3)</t>
  </si>
  <si>
    <t>H2 pipeline to MeOH plant</t>
  </si>
  <si>
    <t>H2 pipeline to NH3 plant</t>
  </si>
  <si>
    <t>Heat from district heating</t>
  </si>
  <si>
    <t>Heat sent to district heating</t>
  </si>
  <si>
    <t>Sale of oxygen</t>
  </si>
  <si>
    <t>H2 tank compressor</t>
  </si>
  <si>
    <t>H2 tank valve</t>
  </si>
  <si>
    <t>Electricity from the grid</t>
  </si>
  <si>
    <t>Electricity to the grid</t>
  </si>
  <si>
    <t>Charge batteries</t>
  </si>
  <si>
    <t>Discharge batteries</t>
  </si>
  <si>
    <t>Appendix E: Electricity Ten Year Statement 2015</t>
  </si>
  <si>
    <t xml:space="preserve">https://www.nationalgrid.com/sites/default/files/documents/43742-ETYS15%20AppE%20techonology.pdf </t>
  </si>
  <si>
    <t>Technical magazine</t>
  </si>
  <si>
    <t>National Grid ESO</t>
  </si>
  <si>
    <t>Simple LCOE</t>
  </si>
  <si>
    <t>Capacity factor</t>
  </si>
  <si>
    <t>Formula LCOE</t>
  </si>
  <si>
    <t>Simple Levelized Cost of Energy (LCOE) Calculator Documentation</t>
  </si>
  <si>
    <t>Webpage</t>
  </si>
  <si>
    <t xml:space="preserve">https://www.nrel.gov/analysis/tech-lcoe-documentation.html </t>
  </si>
  <si>
    <t>Renewables ninja</t>
  </si>
  <si>
    <t>Website</t>
  </si>
  <si>
    <t xml:space="preserve">https://www.renewables.ninja/ </t>
  </si>
  <si>
    <t>See Sheet Solar PV</t>
  </si>
  <si>
    <t>Arica Chile (low wind)</t>
  </si>
  <si>
    <t>Esbjerg Denmark</t>
  </si>
  <si>
    <t>Brisbane Australia (high wind)</t>
  </si>
  <si>
    <t>Esbjerg Denmark (very high wind)</t>
  </si>
  <si>
    <t>Port Hedland Australia (high wind)</t>
  </si>
  <si>
    <t>Port Hedland Australia</t>
  </si>
  <si>
    <t xml:space="preserve">Arica chile </t>
  </si>
  <si>
    <t>Brisbane Australia</t>
  </si>
  <si>
    <t xml:space="preserve">Average normalized power production: Arica Chile </t>
  </si>
  <si>
    <t xml:space="preserve">Esbjerg Denmark </t>
  </si>
  <si>
    <t>H2_pipeline_to_NH3_plant</t>
  </si>
  <si>
    <t>Heat_import</t>
  </si>
  <si>
    <t>Heat_export</t>
  </si>
  <si>
    <t>H2_to_tank</t>
  </si>
  <si>
    <t>H2_from_tank</t>
  </si>
  <si>
    <t>Power_from_the_grid</t>
  </si>
  <si>
    <t>Power_to_the_grid</t>
  </si>
  <si>
    <t>Electricity_to_batteries</t>
  </si>
  <si>
    <t>Electricity_from_batteries</t>
  </si>
  <si>
    <t>Electricity_stored</t>
  </si>
  <si>
    <t>€/MWh</t>
  </si>
  <si>
    <t>Plant lifetime</t>
  </si>
  <si>
    <t>% of investement</t>
  </si>
  <si>
    <t>No consensus, between 4-8%. Here 6%. For biorefinery plant</t>
  </si>
  <si>
    <t>Techno-economic analysis of polygeneration systems based on catalytic hydropyrolysis for the production of bio-oil and fuels</t>
  </si>
  <si>
    <t xml:space="preserve">https://www.sciencedirect.com/science/article/pii/S0196890419301220 </t>
  </si>
  <si>
    <t>kWhe / kg CO2</t>
  </si>
  <si>
    <t>Carbon dioxide from coal power plants</t>
  </si>
  <si>
    <t>A comparison between renewable transport fuels that can supplement or replace biofuels in a 100% renewable energy system</t>
  </si>
  <si>
    <t xml:space="preserve">https://www.sciencedirect.com/science/article/pii/S0360544214006859 </t>
  </si>
  <si>
    <t>CCR from coal (2014)</t>
  </si>
  <si>
    <t>Assumed lifetime 2020 (2014 prevision) ; 5000 hours use</t>
  </si>
  <si>
    <t>Assumed lifetime 2050 ; 5000 hours use</t>
  </si>
  <si>
    <t>Lower limit lifetime</t>
  </si>
  <si>
    <t>VLSFO</t>
  </si>
  <si>
    <t>Primo 2020 (price is volatile)</t>
  </si>
  <si>
    <t>Conventional NH3</t>
  </si>
  <si>
    <t>Specific energy liquid NH3 (LHV)</t>
  </si>
  <si>
    <t>Stable since ultimo 2018, 13.5 $/GJ</t>
  </si>
  <si>
    <t>Carbon neutral ammonia as dual fuel in 2025-2030: 16-21.5 $/GJ</t>
  </si>
  <si>
    <t>Specific energy HFO IFO 380 3,5% S</t>
  </si>
  <si>
    <t>Specific energy VLSFO 0.5% S (LHV)</t>
  </si>
  <si>
    <t>MWh/t</t>
  </si>
  <si>
    <t>Heat_in</t>
  </si>
  <si>
    <t>Heat_buy</t>
  </si>
  <si>
    <t>Heat_out</t>
  </si>
  <si>
    <t>Heat_sell</t>
  </si>
  <si>
    <t>PU_Grid_in</t>
  </si>
  <si>
    <t>Grid_buy</t>
  </si>
  <si>
    <t>PU_Grid_out</t>
  </si>
  <si>
    <t>Grid_sell</t>
  </si>
  <si>
    <t>326 kr/GJ in 2020</t>
  </si>
  <si>
    <t>Anbefalinger til en dansk strategi for Power-to-X</t>
  </si>
  <si>
    <t xml:space="preserve">https://www.danskenergi.dk/sites/danskenergi.dk/files/media/dokumenter/2020-11/Anbefalinger-til-en-dansk-strategi-for-Power-to-X.pdf </t>
  </si>
  <si>
    <t>Renewable Power Generation Costs in 2019</t>
  </si>
  <si>
    <t>IRENA</t>
  </si>
  <si>
    <t xml:space="preserve">https://www.irena.org/publications/2020/Jun/Renewable-Power-Costs-in-2019 </t>
  </si>
  <si>
    <t>Electricity storage and renewables: Costs and markets to 2030</t>
  </si>
  <si>
    <t>Hydrogen: A renewable energy perspective</t>
  </si>
  <si>
    <t xml:space="preserve">https://www.irena.org/publications/2019/Sep/Hydrogen-A-renewable-energy-perspective </t>
  </si>
  <si>
    <t xml:space="preserve">https://www.irena.org/publications/2017/Oct/Electricity-storage-and-renewables-costs-and-markets </t>
  </si>
  <si>
    <t>https://deeds.eu/wp-content/uploads/2020/05/Ammonia_web.pdf</t>
  </si>
  <si>
    <t>DEEDS</t>
  </si>
  <si>
    <t>Industry - Ammonia</t>
  </si>
  <si>
    <t>Global capacity weighted-average total installed cost 995 USD/kW 2019</t>
  </si>
  <si>
    <t>5th percentile range 2019; 714 USD/kW</t>
  </si>
  <si>
    <t>95th percentile range 2019; 2320 USD/kW</t>
  </si>
  <si>
    <t>Germany commercial 1130 USD/kW</t>
  </si>
  <si>
    <t>Australia commercial 1464 USD/kW</t>
  </si>
  <si>
    <t>India 618 USD/kW: text different from table !</t>
  </si>
  <si>
    <t>In 2018 max 129 USD/kW/y</t>
  </si>
  <si>
    <t>In 2018 min 70 USD/kW/y</t>
  </si>
  <si>
    <t>Ørsted 2019: 67 USD/kW/y</t>
  </si>
  <si>
    <t>Global weighed average total installed costs: 3800 USD/kW</t>
  </si>
  <si>
    <t>Europe weighed average 2019; 1800 USD/kW</t>
  </si>
  <si>
    <t>Oceania weighed average 2019; 1555 USD/kW</t>
  </si>
  <si>
    <t>In 2018; 33 USD/kW in Denmark</t>
  </si>
  <si>
    <t>2016 High-temperature NCA, NMC/LMO and VRFB batteries min 350 USD/kWh</t>
  </si>
  <si>
    <t>2016 High-temperature NCA, NMC/LMO and VRFB batteries max 420 USD/kWh</t>
  </si>
  <si>
    <t>2019 Lowest project 200 USD/kW</t>
  </si>
  <si>
    <t>2019 840 USD/kW</t>
  </si>
  <si>
    <t>Ceduna Australia</t>
  </si>
  <si>
    <t xml:space="preserve">Ceduna Australia </t>
  </si>
  <si>
    <t>p15</t>
  </si>
  <si>
    <t>Current status (2016) ; 170 €2015/MWh</t>
  </si>
  <si>
    <t>Biomass hydrogenation prediction 2020</t>
  </si>
  <si>
    <t>CO2 hydrogenation (CCR) prediction 2020</t>
  </si>
  <si>
    <t>Co-Electrolysis prediction 2020</t>
  </si>
  <si>
    <t>Biomass hydrogenation prediction 2050</t>
  </si>
  <si>
    <t>CO2 hydrogenation (CCR) prediction 2050</t>
  </si>
  <si>
    <t>Co-Electrolysis prediction 2050</t>
  </si>
  <si>
    <t>Biogas hydrogenation 2020</t>
  </si>
  <si>
    <t>Biomass hydrogenation 2020</t>
  </si>
  <si>
    <t>Co2 hydrogenation 2020</t>
  </si>
  <si>
    <t>Co electrolysis 2020</t>
  </si>
  <si>
    <t>Fuel energy content</t>
  </si>
  <si>
    <t>Specific energy methane (LHV)</t>
  </si>
  <si>
    <t>Biogas hydrogenation 2050</t>
  </si>
  <si>
    <t>Biomass hydrogenation 2050</t>
  </si>
  <si>
    <t>Co2 hydrogenation 2050</t>
  </si>
  <si>
    <t>Co electrolysis 2050</t>
  </si>
  <si>
    <t>Current (2015), thermochemical plant</t>
  </si>
  <si>
    <t>Current (2015), hybrid plant</t>
  </si>
  <si>
    <t>Current (2015), electrochemical plant</t>
  </si>
  <si>
    <t>Gasoline</t>
  </si>
  <si>
    <t>Breaken value (NPV = 0), Methanol from CO2 hydrogenation (440 kt/y)</t>
  </si>
  <si>
    <t>Techno-economic analysis for the synthesis of liquid and gaseous fuels based on hydrogen production via electrolysis</t>
  </si>
  <si>
    <t xml:space="preserve">https://www.sciencedirect.com/science/article/pii/S0360319915001652 </t>
  </si>
  <si>
    <t>Current (2015), 34 kt/y, CO2 hydrogenation: production costs</t>
  </si>
  <si>
    <t>FT diesel</t>
  </si>
  <si>
    <t>FT syncrude</t>
  </si>
  <si>
    <t>Methane (natural gas, SNG)</t>
  </si>
  <si>
    <t>DME</t>
  </si>
  <si>
    <t>Current (2015), production costs</t>
  </si>
  <si>
    <t>Current 2015, production costs</t>
  </si>
  <si>
    <t>Current (2015), production cost</t>
  </si>
  <si>
    <t>Current (2015), SNG</t>
  </si>
  <si>
    <t>Current (2015)t, production costs</t>
  </si>
  <si>
    <t>Difference</t>
  </si>
  <si>
    <t>Author</t>
  </si>
  <si>
    <t>Renewable ammonia current</t>
  </si>
  <si>
    <t>LCOA 2025/2030 estimates. Lerwick Scotland. 588  GBP/t</t>
  </si>
  <si>
    <t>Methanol synthesis from flue-gas CO2 and renewable electricity: a feasibility study</t>
  </si>
  <si>
    <t xml:space="preserve">https://www.sciencedirect.com/science/article/pii/S0360319902000824?via%3Dihub </t>
  </si>
  <si>
    <t>Technoeconomic analysis of a methanol plant based on gasification of biomass and electrolysis of water</t>
  </si>
  <si>
    <t xml:space="preserve">https://www.sciencedirect.com/science/article/pii/S0360544210000976?via%3Dihub </t>
  </si>
  <si>
    <t>Comparison of CO2 sources for the synthesis of renewable methanol</t>
  </si>
  <si>
    <t xml:space="preserve">https://www.sciencedirect.com/science/article/pii/S0167299198807714?via%3Dihub </t>
  </si>
  <si>
    <t>Chemical storage of wind energy by renewable methanol production: Feasibility analysis using a multi-criteria decision matrix</t>
  </si>
  <si>
    <t xml:space="preserve">https://www.sciencedirect.com/science/article/pii/S0360544215012530?via%3Dihub </t>
  </si>
  <si>
    <t>Power to liquid and power to gas: An option for the German Energiewende</t>
  </si>
  <si>
    <t xml:space="preserve">https://www.sciencedirect.com/science/article/pii/S1364032115000593?via%3Dihub </t>
  </si>
  <si>
    <t>Investigation of power-to-methanol processes coupling electrolytic hydrogen production and catalytic CO2 reduction</t>
  </si>
  <si>
    <t xml:space="preserve">https://www.sciencedirect.com/science/article/pii/S0360319915309605?via%3Dihub </t>
  </si>
  <si>
    <t>Methanol for Renewable Energy Storage and Utilization</t>
  </si>
  <si>
    <t>https://onlinelibrary.wiley.com/doi/full/10.1002/ente.201500322</t>
  </si>
  <si>
    <t>Forschungsverbund Sonnenenergie “Themen 98/99</t>
  </si>
  <si>
    <t>Report ?</t>
  </si>
  <si>
    <t>Fuel</t>
  </si>
  <si>
    <t>Ammonia</t>
  </si>
  <si>
    <t>Methanol</t>
  </si>
  <si>
    <t>Time scope (year)</t>
  </si>
  <si>
    <t xml:space="preserve">Ammonia from natural gas </t>
  </si>
  <si>
    <t>p109</t>
  </si>
  <si>
    <t>Min-Max IEA location in China</t>
  </si>
  <si>
    <t>https://info.topsoe.com/ammonfuel</t>
  </si>
  <si>
    <t>Forecast 2040-2050. 13.5-15 $/GJ from solar and wind energy</t>
  </si>
  <si>
    <t>$/MWh LHV</t>
  </si>
  <si>
    <t>A lot of different cost dependent on the technology: check table from Leeson</t>
  </si>
  <si>
    <t>Energy installation cost 2016- Lead-acid min 147 USD/kWh</t>
  </si>
  <si>
    <t>Energy installation cost 2016- Lead-acid max 263 USD/kWh</t>
  </si>
  <si>
    <t>Low-carbon “drop-in replacement” transportation fuels from non-food biomass and natural gas</t>
  </si>
  <si>
    <t xml:space="preserve">https://www.sciencedirect.com/science/article/pii/S0306261916313708?via%3Dihub </t>
  </si>
  <si>
    <t>Drop in replacement fuel from biomass and natural gas + CCS + tax 75$/t co2</t>
  </si>
  <si>
    <t>96 % efficiency ; Molar H2:CO2 ratio 3_1 ; H2 cons = 0.195 kg H2/ kg MeOH</t>
  </si>
  <si>
    <t xml:space="preserve"> kg MeOH/kg H2 </t>
  </si>
  <si>
    <t>H2 cons = 0.192 kg H2/ kg MeOH</t>
  </si>
  <si>
    <t>MeOH CCU plant, Aspen model ; H2 cons = 0.199 kg H2/ kg MeOH</t>
  </si>
  <si>
    <t>kg NH3/kg H2</t>
  </si>
  <si>
    <t>Reverse osmosis in China between 3 and 7.5 kWh e/m3</t>
  </si>
  <si>
    <t>Seawater desalination technology and engineering in China: A review</t>
  </si>
  <si>
    <t xml:space="preserve">https://www.sciencedirect.com/science/article/pii/S0011916420314065 </t>
  </si>
  <si>
    <t>Internal data from the Hangzhou Water Treatment Technology Development Center</t>
  </si>
  <si>
    <t>Water cost</t>
  </si>
  <si>
    <t>€/kg H2O</t>
  </si>
  <si>
    <t>RO plant between 100000m3/d and 320000 m3/d; 0.45 - 0.66$/m3</t>
  </si>
  <si>
    <t>Reverse Osmosis specific energy consumption (4 kWh/m3)</t>
  </si>
  <si>
    <t>Techno-economic assessment of solar energy coupling with large-scale desalination plant: The case of Morocco</t>
  </si>
  <si>
    <t xml:space="preserve">https://www.sciencedirect.com/science/article/pii/S0011916420313059 </t>
  </si>
  <si>
    <t xml:space="preserve">2016 Li-ion LTO ; 1050 USD Li-ion </t>
  </si>
  <si>
    <t>Bench 2020: 98% charge efficiency DC + -2 % from DC to AC</t>
  </si>
  <si>
    <t>Upper 2020: 98.5 % charge efficiency DC + -2 % from DC to AC</t>
  </si>
  <si>
    <t>Bench 2020: 97% discharge efficiency DC + -2 % from DC to AC</t>
  </si>
  <si>
    <t>Upper 2020: 98 % discharge efficiency DC + -2 % from DC to AC</t>
  </si>
  <si>
    <t>Dakhla Morocco (Very high wind)</t>
  </si>
  <si>
    <t>Dakhla Morocco</t>
  </si>
  <si>
    <t>Global weighted-average total installed cost: 1473 USD/kW in 2019 p47</t>
  </si>
  <si>
    <t>Minimum 2020 ; 500 USD/kW</t>
  </si>
  <si>
    <t>Maximum 2020 ; 1000 USD/kW</t>
  </si>
  <si>
    <t xml:space="preserve">https://irena.org/-/media/Files/IRENA/Agency/Publication/2020/Dec/IRENA_Green_hydrogen_cost_2020.pdf </t>
  </si>
  <si>
    <t>Green Hydrogen Cost Reduction: scaling up electrolyzers to meet the 1.5 C climate goal</t>
  </si>
  <si>
    <t>Oxygen liquefaction</t>
  </si>
  <si>
    <t>87.4 €/ton of O2</t>
  </si>
  <si>
    <t xml:space="preserve">Specific power consumption </t>
  </si>
  <si>
    <t>kWh/kg O2</t>
  </si>
  <si>
    <t>Methanol synthesis through CO2 capture and hydrogenation: Thermal integration, energy performance and techno-economic assessment</t>
  </si>
  <si>
    <t xml:space="preserve">https://www.sciencedirect.com/science/article/pii/S2212982020310374?via%3Dihub </t>
  </si>
  <si>
    <t>Evaluation of electricity generation subsystem of power-to-gas-to-power unit using gas expander and heat recovery steam generator</t>
  </si>
  <si>
    <t xml:space="preserve">https://www.sciencedirect.com/science/article/pii/S0360544220317084?via%3Dihub </t>
  </si>
  <si>
    <t>Liquified oxygen</t>
  </si>
  <si>
    <t>Ammonia as a Renewable Energy Transportation Media</t>
  </si>
  <si>
    <t xml:space="preserve">https://pubs.acs.org/doi/full/10.1021/acssuschemeng.7b02219 </t>
  </si>
  <si>
    <t>Engineering toolbox</t>
  </si>
  <si>
    <t xml:space="preserve">https://www.engineeringtoolbox.com/fuels-higher-calorific-values-d_169.html </t>
  </si>
  <si>
    <t>Electricity cost</t>
  </si>
  <si>
    <t>Plant size</t>
  </si>
  <si>
    <t>Methanol plant CCU</t>
  </si>
  <si>
    <t>Market price VLSFO 0.5% S</t>
  </si>
  <si>
    <t>MarE-fuel report</t>
  </si>
  <si>
    <t xml:space="preserve">DTU </t>
  </si>
  <si>
    <t>2020 average different sources (MarEfuel)</t>
  </si>
  <si>
    <t>Latest market price Rotterdam between August 2020 and February 2021</t>
  </si>
  <si>
    <t>Ship&amp;Bunker</t>
  </si>
  <si>
    <t xml:space="preserve">https://shipandbunker.com/prices/emea/nwe/nl-rtm-rotterdam#_VLSFO </t>
  </si>
  <si>
    <t>€/MWh LHV</t>
  </si>
  <si>
    <t>Target max 2050 all system 10 MW</t>
  </si>
  <si>
    <t>Target 2050</t>
  </si>
  <si>
    <t>Target lifetime 2050</t>
  </si>
  <si>
    <t>€2015 / kg H2</t>
  </si>
  <si>
    <t>Bench 2030/40/50 : 98.5 % charge efficiency  DC + -2% from DC to AC</t>
  </si>
  <si>
    <t>Bench 2030/40/50 : 97.5 % discharge efficiency  DC + -2% from DC to AC</t>
  </si>
  <si>
    <t>Fuel production rate (1/H2 consumption)</t>
  </si>
  <si>
    <t>Analysis on Electrofuels in Future Energy Systems: A 2050 Case Study</t>
  </si>
  <si>
    <t xml:space="preserve">https://www.sciencedirect.com/science/article/pii/S0360544220305156#bib29 </t>
  </si>
  <si>
    <t>Reliability</t>
  </si>
  <si>
    <t>Low</t>
  </si>
  <si>
    <t>DAC 2050, 0.66 GJe/ton low temp</t>
  </si>
  <si>
    <t>DAC 2050, 3.97 GJe/ton low temp</t>
  </si>
  <si>
    <t>Direct Air capture 2050 low temperature</t>
  </si>
  <si>
    <t>€/(kg/h)/year</t>
  </si>
  <si>
    <t>Point source capture 2050</t>
  </si>
  <si>
    <t>Point source 2050 power and heat technologies (1.06 GJ/t)</t>
  </si>
  <si>
    <t>Point source capture 2050 including onshore piping for 30 km</t>
  </si>
  <si>
    <t>€/t</t>
  </si>
  <si>
    <t>Techno-economic assessment of CO2 direct air capture plants</t>
  </si>
  <si>
    <t xml:space="preserve">https://www.sciencedirect.com/science/article/pii/S0959652619307772 </t>
  </si>
  <si>
    <t>CO2 consumption (=CO2 capture plant production rate)</t>
  </si>
  <si>
    <t>Point source 2050 industrial technologies 3.35 GJ/t</t>
  </si>
  <si>
    <t>Point source 2050 industrial technologies (0.09 GJ/t)</t>
  </si>
  <si>
    <t>2050 79 % (LHV ?)</t>
  </si>
  <si>
    <t>2.87 k€/(Gje/h)/year</t>
  </si>
  <si>
    <t>Ammonia plant 0.22 GJ/GJ0</t>
  </si>
  <si>
    <t>2050 cost (including ASU ?): 7.77 k€/(GJ/h)/year (4% investment)</t>
  </si>
  <si>
    <t>Plant lifetime 2050</t>
  </si>
  <si>
    <t>Hydrogen losses during charge</t>
  </si>
  <si>
    <t>Hydrogen losses</t>
  </si>
  <si>
    <t>Round trip efficiency (no losses during discharge) 2020</t>
  </si>
  <si>
    <t>Round trip efficiency (no losses during discharge) 2030</t>
  </si>
  <si>
    <t>Round trip efficiency (no losses during discharge) 2040</t>
  </si>
  <si>
    <t>Round trip efficiency (no losses during discharge) 2050</t>
  </si>
  <si>
    <t xml:space="preserve">Reverse Osmosis (check ref tab 4 for details); 1220 $/(m3/day); 275000m3/d ; </t>
  </si>
  <si>
    <t>Conversions (year average)</t>
  </si>
  <si>
    <t xml:space="preserve">https://www.exchangerates.org.uk/EUR-USD-spot-exchange-rates-history-2020.html </t>
  </si>
  <si>
    <t>E2015_ref</t>
  </si>
  <si>
    <t>E2016_ref</t>
  </si>
  <si>
    <t>E2017_ref</t>
  </si>
  <si>
    <t>E2018_ref</t>
  </si>
  <si>
    <t xml:space="preserve">Reverse osmosis, 7400 $/(m3/day); </t>
  </si>
  <si>
    <t>€ /(kg H2O/h)</t>
  </si>
  <si>
    <t>DE2020</t>
  </si>
  <si>
    <t>DE2019</t>
  </si>
  <si>
    <t>DE2018</t>
  </si>
  <si>
    <t>DE2017</t>
  </si>
  <si>
    <t>DE2016</t>
  </si>
  <si>
    <t>DE2015</t>
  </si>
  <si>
    <t>Small scale max 1100 $/(t/y) Year 2015 (assumed)</t>
  </si>
  <si>
    <t>MeOH CCU-Plant, capital cost 451.16 €2014/(t/y), 440 kt/year</t>
  </si>
  <si>
    <t>Inflation €2015_€2019 (1€2015 = … €2019)</t>
  </si>
  <si>
    <t>CEPCI 2015</t>
  </si>
  <si>
    <t>CEPCI 2016</t>
  </si>
  <si>
    <t>CEPCI 2017</t>
  </si>
  <si>
    <t>CEPCI 2018</t>
  </si>
  <si>
    <t>CEPCI 2019</t>
  </si>
  <si>
    <t>CEPCI2014</t>
  </si>
  <si>
    <t>CEPCI2015</t>
  </si>
  <si>
    <t>CEPCI2016</t>
  </si>
  <si>
    <t>CEPCI2017</t>
  </si>
  <si>
    <t>CEPCI2018</t>
  </si>
  <si>
    <t>CEPCI2019</t>
  </si>
  <si>
    <t>MeOH Conventional plant, capital cost 846 €2014/(t/y)</t>
  </si>
  <si>
    <t>Fixed cost conventional plant 43 €2014</t>
  </si>
  <si>
    <t>Fixed cost MeOH-CCU Plant 24.5 €2014</t>
  </si>
  <si>
    <t>Variable cost conventional plant including H2 cost (96 %)! €2014 in study</t>
  </si>
  <si>
    <t>Variable cost CCU plant including H2 cost (96 %) ! €2014 in study</t>
  </si>
  <si>
    <t>Variable cost CCU without H2 (4%) €2014 in study</t>
  </si>
  <si>
    <t>CEPCI_ref</t>
  </si>
  <si>
    <t>Large scale plant min 200 $/(t/y) ; Year 2014 (assumed)</t>
  </si>
  <si>
    <t>Large scale plant max 700 $/(t/y) ;  Year 2014 (assumed)</t>
  </si>
  <si>
    <t>Average large scale plant 530 $/(t/y) ;  Year 2014 (assumed)</t>
  </si>
  <si>
    <t>Small scale (&lt; 20 kt /year) min 700 $/(t/y) Year 2014 (assumed)</t>
  </si>
  <si>
    <t>CEPCI2008</t>
  </si>
  <si>
    <t>CEPCI2009</t>
  </si>
  <si>
    <t>CEPCI2010</t>
  </si>
  <si>
    <t>CEPCI2011</t>
  </si>
  <si>
    <t>CEPCI2012</t>
  </si>
  <si>
    <t>CEPCI2013</t>
  </si>
  <si>
    <t>CEPCI 2009</t>
  </si>
  <si>
    <t>CEPCI 2010</t>
  </si>
  <si>
    <t>CEPCI 2011</t>
  </si>
  <si>
    <t>CEPCI 2012</t>
  </si>
  <si>
    <t>CEPCI 2013</t>
  </si>
  <si>
    <t>CEPCI 2014</t>
  </si>
  <si>
    <t>Chemical Engineering Plant Cost Index 2018</t>
  </si>
  <si>
    <t>From biogas minimal : 20 USD / t CO2 (2019 ?)</t>
  </si>
  <si>
    <t>From biogas maximal : 30 USD / t CO2 (2019?)</t>
  </si>
  <si>
    <t>Based on ammonia production (2018 ?)</t>
  </si>
  <si>
    <t>Flue gas (CPP)  (2018 ?)</t>
  </si>
  <si>
    <t>Flue gas  (2018 ?)</t>
  </si>
  <si>
    <t>Flue gas (CHP)  ( €2018 ?)</t>
  </si>
  <si>
    <t>Biogas/purchase (€2018 ?)</t>
  </si>
  <si>
    <t>Long term DAC, high temperature, min: 94 USD/t CO2 ; 2018</t>
  </si>
  <si>
    <t>Long term DAC, high temperature, max: 232 USD/t CO2 ; 2018</t>
  </si>
  <si>
    <t>Long term DAC, low temperature, min: 130 USD/t CO2 ; 2018</t>
  </si>
  <si>
    <t>Long term DAC, low temperature, max: 170 USD/t CO2 , 2018</t>
  </si>
  <si>
    <t>CCR from carbon trees (2014)</t>
  </si>
  <si>
    <t>Base case, from MEA (2007 --&gt; too old ?)</t>
  </si>
  <si>
    <t>From 50 to 880 bars (2030)</t>
  </si>
  <si>
    <t>From 70 to 880 bars (2050)</t>
  </si>
  <si>
    <t>Base case; 15600 $/(kg H2/h) using study from 2014</t>
  </si>
  <si>
    <t>DE2014</t>
  </si>
  <si>
    <t>11000 €/(kg H2/h) Used by the authors (currency year ? Assuming 2014)</t>
  </si>
  <si>
    <t>Optimistic 7800 $/(kg H2/h) ; Using 2014 currency</t>
  </si>
  <si>
    <t>500 000€  for 100 kW compressor at  60 kg H2/h in 2020 (€2015)</t>
  </si>
  <si>
    <t xml:space="preserve">In 2030: 0.023 M€2015 *16.7 MWh /60 </t>
  </si>
  <si>
    <t>In 2040: 0.011 M€2015*16.7/60</t>
  </si>
  <si>
    <t>Lower 2050: 0.008  M€2015*16.7/60</t>
  </si>
  <si>
    <t>Upper 2050: 0.015M€2015*16.7/60</t>
  </si>
  <si>
    <t>6000 € for a 500 000 € compressor : 1.2 % (€2015)</t>
  </si>
  <si>
    <t>(Type II) 450-800 bars (€2015)</t>
  </si>
  <si>
    <t>(Type II) &lt; 250 bars (€2015)</t>
  </si>
  <si>
    <t>Reduction of 16% of cost in 2030 (for tank type I but similar trend than tan II) (€2015)</t>
  </si>
  <si>
    <t xml:space="preserve"> 45% reduction in 2040 (for tank type I but similar trend than tan II) (€2015)</t>
  </si>
  <si>
    <t xml:space="preserve"> 50% reduction in 2040 (for tank type I but similar trend than tan II) (€2015)</t>
  </si>
  <si>
    <t>875 bars; 1400 $/kg H2; Using study from 2014</t>
  </si>
  <si>
    <t>172 bars; 470 $/kg H2 ; Using study from 2014</t>
  </si>
  <si>
    <t>700 bars; 460 $/kg H2 ; 1$ = 0,925 € (not currency updated)</t>
  </si>
  <si>
    <t>500 $/kg H2 ; 1$ = 0,925 € ; No pressure indicated , (not currency updated)</t>
  </si>
  <si>
    <t>200 bars; 600$/kg H2 ; 1$ = 0,925€ ; (not currency updated)</t>
  </si>
  <si>
    <t>Lower 2020 Lithium-ionNMC battery (Utility-scale, Samsung SDI E3-R135) (€/2015)</t>
  </si>
  <si>
    <t>Mid 2020 (Li-ion) (€/2015)</t>
  </si>
  <si>
    <t>Upper 2020 (Li-ion) (€/2015)</t>
  </si>
  <si>
    <t>In 2030 (€/2015)</t>
  </si>
  <si>
    <t>In 2040 (€/2015)</t>
  </si>
  <si>
    <t>Lower 2050 (€/2015)</t>
  </si>
  <si>
    <t>Mid 2050 (€/2015)</t>
  </si>
  <si>
    <t>Upper 2050 (€/2015)</t>
  </si>
  <si>
    <t>Used in the model (year of study 2018)</t>
  </si>
  <si>
    <t>Lower 2020- Li-ion (€2015)</t>
  </si>
  <si>
    <t>Upper (and mid) 2020-30-40-50 Li-ion (€2015)</t>
  </si>
  <si>
    <t>Lower 2050- Li-ion (€2015)</t>
  </si>
  <si>
    <t>Lower 2020 (€2015)</t>
  </si>
  <si>
    <t>Mid 2020 (€2015)</t>
  </si>
  <si>
    <t>Upper 2020 (€2015)</t>
  </si>
  <si>
    <t>Lower 2050 (€2015)</t>
  </si>
  <si>
    <t>Mid 2050 (€2015)</t>
  </si>
  <si>
    <t>Upper 2050 (€2015)</t>
  </si>
  <si>
    <t>In 2030 (€2015)</t>
  </si>
  <si>
    <t>In 2040 (€2015)</t>
  </si>
  <si>
    <t>% of size in MW</t>
  </si>
  <si>
    <t>2020 min 500$/kW ($2019 ?)</t>
  </si>
  <si>
    <t>2020 1400 USD / kWe ($2019 ?)</t>
  </si>
  <si>
    <t>2030 400$/kW ($2019 ?)</t>
  </si>
  <si>
    <t>2030 850 USD /kWe ($2019 ?)</t>
  </si>
  <si>
    <t>Long term 200$/kWe ($2019 ?)</t>
  </si>
  <si>
    <t>Long term 700$/kWe ($2019 ?)</t>
  </si>
  <si>
    <t>2020  min (€2015)</t>
  </si>
  <si>
    <t>2020 bench (€2015)</t>
  </si>
  <si>
    <t>2020 max (€2015)</t>
  </si>
  <si>
    <t>2030 (€2015)</t>
  </si>
  <si>
    <t>2050 min (€2015)</t>
  </si>
  <si>
    <t>2050 bench (€2015)</t>
  </si>
  <si>
    <t>2050 max (€2015)</t>
  </si>
  <si>
    <t>2020 electrolyser offshore min (installation cost = equipment cost) (€2015)</t>
  </si>
  <si>
    <t>2020 offshore bench (€2015)</t>
  </si>
  <si>
    <t>2020  offshore max (€2015)</t>
  </si>
  <si>
    <t>2030  offshore (€2015)</t>
  </si>
  <si>
    <t>2050  offshore min (€2015)</t>
  </si>
  <si>
    <t>2050  offshore bench (€2015)</t>
  </si>
  <si>
    <t>2050  offshore max (€2015)</t>
  </si>
  <si>
    <t>2020 min (€2015)</t>
  </si>
  <si>
    <t>Min 2020 (€2015)</t>
  </si>
  <si>
    <t>Bench 2020  (€2015)</t>
  </si>
  <si>
    <t>Max 2020  (€2015)</t>
  </si>
  <si>
    <t>Assumption 2030  (€2015)</t>
  </si>
  <si>
    <t>Assumption 2040  (€2015)</t>
  </si>
  <si>
    <t>Low assumption 1 2050  (€2015)</t>
  </si>
  <si>
    <t>Mid assumption 2050  (€2015)</t>
  </si>
  <si>
    <t>High assumption 1 2050  (€2015)</t>
  </si>
  <si>
    <t>Assumption IRENA 9.5 USD/kW/y in non OECD, 2019</t>
  </si>
  <si>
    <t>Assumption IRENA 18.3 USD/kW/y in OECD, 2019</t>
  </si>
  <si>
    <t>Bench 2020 (€2015)</t>
  </si>
  <si>
    <t>Max 2020 (€2015)</t>
  </si>
  <si>
    <t>Assumption 2030 (€2015)</t>
  </si>
  <si>
    <t>Assumption 2040 (€2015)</t>
  </si>
  <si>
    <t>Low assumption 1: 2050 (€2015)</t>
  </si>
  <si>
    <t>Mid-assumption 1: 2050 (€2015)</t>
  </si>
  <si>
    <t>High assumption 1: 2050 (€2015)</t>
  </si>
  <si>
    <t xml:space="preserve"> High assumption 2: 2050 </t>
  </si>
  <si>
    <t xml:space="preserve">Mid-assumption 2: 2050 </t>
  </si>
  <si>
    <t>Min 2020  (€2015)</t>
  </si>
  <si>
    <t>Low assumption 1: 2050  (€2015)</t>
  </si>
  <si>
    <t>Mid-assumption 1: 2050  (€2015)</t>
  </si>
  <si>
    <t>High assumption 1: 2050  (€2015)</t>
  </si>
  <si>
    <t>2019 Total installed cost in Denmark: 2928 USD/kW p80</t>
  </si>
  <si>
    <t>2019 Total installed cost in China: 3012 USD/kW p80</t>
  </si>
  <si>
    <t>Inflation €2016_€2019 (1€2016 = … €2019)</t>
  </si>
  <si>
    <t>Inflation €2017_€2019 (1€2017 = … €2019)</t>
  </si>
  <si>
    <t>Inflation €2018_€2019 (1€2018 = … €2019)</t>
  </si>
  <si>
    <t>Inflation €2019_€2019 (1€2019 = … €2019)</t>
  </si>
  <si>
    <t>E2019_ref</t>
  </si>
  <si>
    <t>2020 min 1:  1100 $/kW ($2019)</t>
  </si>
  <si>
    <t>2020 max 1800 $/kW ($2019)</t>
  </si>
  <si>
    <t>2030 min 650 $/kW ($2019)</t>
  </si>
  <si>
    <t>2030 max 1500 $/kW ($2019)</t>
  </si>
  <si>
    <t>Long term min 200 $/kW ($2019)</t>
  </si>
  <si>
    <t>Long term max 900 $/kW ($2019)</t>
  </si>
  <si>
    <t>Min 2020 including grid connection (€2015)</t>
  </si>
  <si>
    <t>Bench 2020 including grid connection  (€2015)</t>
  </si>
  <si>
    <t>Max 2020 including grid connection  (€2015)</t>
  </si>
  <si>
    <t>Assumption 2030 including grid connection  (€2015)</t>
  </si>
  <si>
    <t>Assumption 2040 including grid connection  (€2015)</t>
  </si>
  <si>
    <t>Low assumption 1: 2050 including grid connection  (€2015)</t>
  </si>
  <si>
    <t>Mid-assumption 1: 2050 including grid connection  (€2015)</t>
  </si>
  <si>
    <t>High assumption 1: 2050 including grid connection  (€2015)</t>
  </si>
  <si>
    <t>Min 2020 without grid connection  (€2015)</t>
  </si>
  <si>
    <t>Bench 2020 without grid connection  (€2015)</t>
  </si>
  <si>
    <t>Max 2020 without grid connection  (€2015)</t>
  </si>
  <si>
    <t>Assumption 2030 without  grid connection  (€2015)</t>
  </si>
  <si>
    <t>Assumption 2040 without grid connection  (€2015)</t>
  </si>
  <si>
    <t>Low assumption 2050 without  grid connection  (€2015)</t>
  </si>
  <si>
    <t>Mid-assumption 2050 without  grid connection  (€2015)</t>
  </si>
  <si>
    <t>High assumption 2050 without  grid connection  (€2015)</t>
  </si>
  <si>
    <t>Own</t>
  </si>
  <si>
    <t>Capital cost of the synthesis process min including ASU (€2018?)</t>
  </si>
  <si>
    <t>Max including ASU (€2018?)</t>
  </si>
  <si>
    <t>Investment 2050 (including ASU ?): 0.19 M€/(GJ/h) (€2019)</t>
  </si>
  <si>
    <t>Formula 1:CRF</t>
  </si>
  <si>
    <t>Formula 2: WACC</t>
  </si>
  <si>
    <t>2020 upper  (€2015)</t>
  </si>
  <si>
    <t>2030  (€2015)</t>
  </si>
  <si>
    <t>2050  lower  (€2015)</t>
  </si>
  <si>
    <t>2050  mid  (€2015)</t>
  </si>
  <si>
    <t>2050 upper  (€2015)</t>
  </si>
  <si>
    <t>2020 min 2800 USD/kWe ($2019)</t>
  </si>
  <si>
    <t>2020 max 5600 USD/kWe ($2019)</t>
  </si>
  <si>
    <t>2030 min 800 USD/kWe ($2019)</t>
  </si>
  <si>
    <t>2030 max 2800 USD/kWe ($2019)</t>
  </si>
  <si>
    <t>Long term min 500 USD/kWe ($2019)</t>
  </si>
  <si>
    <t>Long term max 1000 USD/kWe ($2019)</t>
  </si>
  <si>
    <t>Target 2050 300$/kW ($2019)</t>
  </si>
  <si>
    <t>0.1 M€/(Gje/h) (€2019)</t>
  </si>
  <si>
    <t>2020 benchmark  (€ 2015)</t>
  </si>
  <si>
    <t>2020 upper  (€ 2015)</t>
  </si>
  <si>
    <t>2030  (€ 2015)</t>
  </si>
  <si>
    <t>2050  lower  (€ 2015)</t>
  </si>
  <si>
    <t>2050  mid  (€ 2015)</t>
  </si>
  <si>
    <t>2050 upper  (€ 2015)</t>
  </si>
  <si>
    <t>Investment 0.15 M€/(Gjo/h) in 2050 (€2019 ?)</t>
  </si>
  <si>
    <t>Reactor + distillation ; 29 t /day (ref 54 currency year to be updated)</t>
  </si>
  <si>
    <t>0.053 M€/MW meOH/ year at 20.1 GJ/ton of MeOH (5.583 kWh/kg) (€2015)</t>
  </si>
  <si>
    <t>"Minimum selling price for industrial use of oxygen" (€2017 ?)</t>
  </si>
  <si>
    <t xml:space="preserve">2050 target entire system : 200 $/kW ($2019 ?) </t>
  </si>
  <si>
    <t>€/ kg H2 /y</t>
  </si>
  <si>
    <t>MarEfuel 2020  €2019</t>
  </si>
  <si>
    <t>MarEfuel 2030  €2019</t>
  </si>
  <si>
    <t>MarEfuel 2040  €2019</t>
  </si>
  <si>
    <t>MarEfuel 2050  €2019</t>
  </si>
  <si>
    <t xml:space="preserve">Values used in the optimisation model </t>
  </si>
  <si>
    <t>Large scale utility  PV solar tracking 1 axis</t>
  </si>
  <si>
    <t>Solar field fixed</t>
  </si>
  <si>
    <t>Solar 1 axis tracking</t>
  </si>
  <si>
    <t>Solar fixed</t>
  </si>
  <si>
    <t>Solar tracking</t>
  </si>
  <si>
    <t>Solar_fixed</t>
  </si>
  <si>
    <t>Solar_tracking</t>
  </si>
  <si>
    <t>RPU_Solar_track</t>
  </si>
  <si>
    <t>RPU_Solar_fixed</t>
  </si>
  <si>
    <t xml:space="preserve">https://www.inflationtool.com/euro?amount=1000&amp;year1=2015&amp;year2=2019 </t>
  </si>
  <si>
    <t>MarEfuel 2020 €2015</t>
  </si>
  <si>
    <t>MarEfuel 2030 €2015</t>
  </si>
  <si>
    <t>MarEfuel 2040 €2015</t>
  </si>
  <si>
    <t>MarEfuel 2050 €2015</t>
  </si>
  <si>
    <t xml:space="preserve"> Life Time</t>
  </si>
  <si>
    <t>Irena 2020</t>
  </si>
  <si>
    <t>Irena Target 2050</t>
  </si>
  <si>
    <t>Medium NMC Li-ion batteries</t>
  </si>
  <si>
    <t>Cost reduction Li-Ion NMC/LMO by 2030: 60%</t>
  </si>
  <si>
    <t>Green MeOH</t>
  </si>
  <si>
    <t>Blue MeOH</t>
  </si>
  <si>
    <t>Check marefuel fuel  around 300 €/t (Collodi et al)</t>
  </si>
  <si>
    <t>MarEfuel report black/grey ammonia (without CO2 tax)</t>
  </si>
  <si>
    <t>Blue ammonia our modelling (MareEfuel) (370-570 $2019 ?)</t>
  </si>
  <si>
    <t xml:space="preserve">NH3 min load 60%. Different location in China: ~ 500-700 $ (2019?)/t </t>
  </si>
  <si>
    <t>Min load 20% with shut down. Dif loc China: ~ 470-575 $ (2019?)/t</t>
  </si>
  <si>
    <t>CEPCI ref</t>
  </si>
  <si>
    <t>CO2 air capture and wind power 100 MW</t>
  </si>
  <si>
    <t>Wind power to methanol: Renewable methanol production using electricity, electrolysis of water and CO2 air capture</t>
  </si>
  <si>
    <t xml:space="preserve">https://www.sciencedirect.com/science/article/pii/S0306261920301847 </t>
  </si>
  <si>
    <r>
      <t xml:space="preserve">CapEx in </t>
    </r>
    <r>
      <rPr>
        <b/>
        <sz val="11"/>
        <color theme="1"/>
        <rFont val="Calibri"/>
        <family val="2"/>
        <scheme val="minor"/>
      </rPr>
      <t>Meuro2015/MW</t>
    </r>
  </si>
  <si>
    <r>
      <t xml:space="preserve">Fixed OpEx in </t>
    </r>
    <r>
      <rPr>
        <b/>
        <sz val="11"/>
        <color theme="1"/>
        <rFont val="Calibri"/>
        <family val="2"/>
        <scheme val="minor"/>
      </rPr>
      <t>euro2015/MW</t>
    </r>
  </si>
  <si>
    <r>
      <t xml:space="preserve">Variable OpEx in </t>
    </r>
    <r>
      <rPr>
        <b/>
        <sz val="11"/>
        <color theme="1"/>
        <rFont val="Calibri"/>
        <family val="2"/>
        <scheme val="minor"/>
      </rPr>
      <t>euro2015/MWh</t>
    </r>
  </si>
  <si>
    <t>Power rating (kW)</t>
  </si>
  <si>
    <t>Hub_height (m)</t>
  </si>
  <si>
    <t>Rotor_diameter (m)</t>
  </si>
  <si>
    <t>Manufacturer</t>
  </si>
  <si>
    <t>Turbine</t>
  </si>
  <si>
    <t>SP198-HH100</t>
  </si>
  <si>
    <t>Onshore</t>
  </si>
  <si>
    <t>SiemensGamesa</t>
  </si>
  <si>
    <t>SWT-3.15-142</t>
  </si>
  <si>
    <t>SP198-HH150</t>
  </si>
  <si>
    <t>SP237-HH100</t>
  </si>
  <si>
    <t>Vestas</t>
  </si>
  <si>
    <t>V136/3450</t>
  </si>
  <si>
    <t>SP237-HH150</t>
  </si>
  <si>
    <t>SP277-HH100</t>
  </si>
  <si>
    <t>V126/3450</t>
  </si>
  <si>
    <t>SP277-HH150</t>
  </si>
  <si>
    <t>SP321-HH100</t>
  </si>
  <si>
    <t>V117/3450</t>
  </si>
  <si>
    <t>SP321-HH150</t>
  </si>
  <si>
    <t>SP379-HH100</t>
  </si>
  <si>
    <t>Offshore</t>
  </si>
  <si>
    <t>V164/8000</t>
  </si>
  <si>
    <t>SP379-HH150</t>
  </si>
  <si>
    <t>SP450-HH100</t>
  </si>
  <si>
    <t>V164/9500</t>
  </si>
  <si>
    <t>SP450-HH150</t>
  </si>
  <si>
    <t xml:space="preserve">Best </t>
  </si>
  <si>
    <t>€2019/kWh</t>
  </si>
  <si>
    <t>€2019/kW/year</t>
  </si>
  <si>
    <r>
      <t>CapEx in €</t>
    </r>
    <r>
      <rPr>
        <b/>
        <sz val="11"/>
        <color theme="1"/>
        <rFont val="Calibri"/>
        <family val="2"/>
        <scheme val="minor"/>
      </rPr>
      <t>2019/kW</t>
    </r>
  </si>
  <si>
    <t>Fixed OpEx in €2019/kW</t>
  </si>
  <si>
    <r>
      <t xml:space="preserve">Variable OpEx in </t>
    </r>
    <r>
      <rPr>
        <b/>
        <sz val="11"/>
        <color theme="1"/>
        <rFont val="Calibri"/>
        <family val="2"/>
        <scheme val="minor"/>
      </rPr>
      <t>€2019/kWh</t>
    </r>
  </si>
  <si>
    <t>CAPEX €2019/kW</t>
  </si>
  <si>
    <t>Lifetime Year</t>
  </si>
  <si>
    <t>€2019/kW/y</t>
  </si>
  <si>
    <t>€2019/kW</t>
  </si>
  <si>
    <t>ON_SP198-HH100</t>
  </si>
  <si>
    <t>ON_SP198-HH150</t>
  </si>
  <si>
    <t>ON_SP237-HH100</t>
  </si>
  <si>
    <t>ON_SP237-HH150</t>
  </si>
  <si>
    <t>ON_SP277-HH100</t>
  </si>
  <si>
    <t>ON_SP277-HH150</t>
  </si>
  <si>
    <t>ON_SP321-HH100</t>
  </si>
  <si>
    <t>ON_SP321-HH150</t>
  </si>
  <si>
    <t>OFF_SP379-HH100</t>
  </si>
  <si>
    <t>OFF_SP379-HH150</t>
  </si>
  <si>
    <t>OFF_SP450-HH100</t>
  </si>
  <si>
    <t>OFF_SP450-HH150</t>
  </si>
  <si>
    <t>2030 District heating sale (50-110 degrees) 85 DKK/GJ, 1€ = 7.5 dkk</t>
  </si>
  <si>
    <t>Techno-economic analysis of methanol production units coupling solid oxide cells and thermochemical biomass conversion via the TwoStage gasifier</t>
  </si>
  <si>
    <t>Bio methanol plant</t>
  </si>
  <si>
    <t>2030-2050</t>
  </si>
  <si>
    <t>14.09 kg/s of MeOH for 1.46 kg/s of H2 (Giacomo simulation)</t>
  </si>
  <si>
    <t>Same method as cited paper</t>
  </si>
  <si>
    <t>kg syngas/kg MeOH</t>
  </si>
  <si>
    <t>15.08 kg/s of syngas for 14.09 kg/s of MeOH produced (Giacomo simulation)</t>
  </si>
  <si>
    <t>11.27 kg/s of dry biomass  (LHV 18.28 MJ/kg dry) for 15.08 kg/s of syngas - Giacomo</t>
  </si>
  <si>
    <t>kg biomass/kg syngas</t>
  </si>
  <si>
    <t>SOEC system: 8.6 MW of heat above 70 C for 400 kt/y - Giacomo</t>
  </si>
  <si>
    <t>AEC system: 29.4 MW of heat above 70 C for 400 kt/y - Giacomo</t>
  </si>
  <si>
    <t>Carbon source: biomass</t>
  </si>
  <si>
    <t>kg biomass/kg MeOH</t>
  </si>
  <si>
    <t>11.27 kg/s of dry biomass  for 14.09 kg/s of methanol - Giacomo</t>
  </si>
  <si>
    <t>Components of methanol plant</t>
  </si>
  <si>
    <t>Acid gas Removal (Selexol), Heat exchangers, Distillation, Turbomachinery, MeOH synthesis loop, Feeding, Dryer, Cleaning, Pyrolysis, Gasification</t>
  </si>
  <si>
    <t>16.6 MW for 400 kt/y AEC system</t>
  </si>
  <si>
    <t>16.8 MW for 400 kt/y SOEC system</t>
  </si>
  <si>
    <t>kg CO2 eq / kg MeOH</t>
  </si>
  <si>
    <t>€2019/ (kg MeOH/h)</t>
  </si>
  <si>
    <t>All plant including gasification - Giacomo , same SOEC/AEC</t>
  </si>
  <si>
    <t>kWh / kg biomass</t>
  </si>
  <si>
    <t>kg biomass/ h</t>
  </si>
  <si>
    <t>kg biomass / kg MeOH produced</t>
  </si>
  <si>
    <t xml:space="preserve">€/ (kg biomass/ h) </t>
  </si>
  <si>
    <t>€/ (kg biomass / h) /year</t>
  </si>
  <si>
    <t>€/kg biomass</t>
  </si>
  <si>
    <t>Biomass cost</t>
  </si>
  <si>
    <t>Biomass cost (treatment included in bio-meoh plant)</t>
  </si>
  <si>
    <t>Energy content</t>
  </si>
  <si>
    <t xml:space="preserve">LHV dry biomass (used in Giacomo's model): </t>
  </si>
  <si>
    <t>MJ/kg dry</t>
  </si>
  <si>
    <t>Biomass/syngas consumption</t>
  </si>
  <si>
    <t>€/kg biomass (LHV dry 18.28 MJ/kg dry)</t>
  </si>
  <si>
    <t>Biomass source</t>
  </si>
  <si>
    <t>Inflation €2015_€2019 (1€2013 = … €2019)</t>
  </si>
  <si>
    <t>Inflation €2015_€2019 (1€2014 = … €2019)</t>
  </si>
  <si>
    <t>E2013_ref</t>
  </si>
  <si>
    <t>E2014_ref</t>
  </si>
  <si>
    <t>Analysis of biomass prices FUTURE DANISH PRICESFOR STRAW, WOOD CHIPS AND WOOD PELLETS “FINAL REPORT</t>
  </si>
  <si>
    <t xml:space="preserve">https://ens.dk/sites/ens.dk/files/Analyser/analysis_of_biomass_prices_2013.06.18_-_final_report.pdf </t>
  </si>
  <si>
    <t>Electrical consumption excluding electrolyser</t>
  </si>
  <si>
    <t>€2019/kg</t>
  </si>
  <si>
    <t>Biomass</t>
  </si>
  <si>
    <t>Fuel production rate (= biomass consumption)</t>
  </si>
  <si>
    <t>MarEfuel 2020</t>
  </si>
  <si>
    <t>MarEfuel 2030</t>
  </si>
  <si>
    <t>MarEfuel 2050</t>
  </si>
  <si>
    <t>Stack lifetime 2020</t>
  </si>
  <si>
    <t>Stack lifetime 2030</t>
  </si>
  <si>
    <t>Stack lifetime 2050</t>
  </si>
  <si>
    <t>2030 average different sources (MarEfuel)</t>
  </si>
  <si>
    <t>2050 average different sources (MarEfuel)</t>
  </si>
  <si>
    <t>CO2 emissions infrastructure</t>
  </si>
  <si>
    <t>H2 pipeline to MeOH CCU plant</t>
  </si>
  <si>
    <t>H2 pipeline to BioMeOH plant</t>
  </si>
  <si>
    <t>H2_pipeline_to_MeOHCCU_plant</t>
  </si>
  <si>
    <t>H2_pipeline_to_BioMeOH_plant</t>
  </si>
  <si>
    <t>CO2 emissions infrastructures</t>
  </si>
  <si>
    <t>CO2 emissions  process</t>
  </si>
  <si>
    <t>kg CO2 eq / (kg MeOH/h)</t>
  </si>
  <si>
    <t>kg CO2e / kWh</t>
  </si>
  <si>
    <t>CO2 emissions process</t>
  </si>
  <si>
    <t>kg CO2e / kWh charged</t>
  </si>
  <si>
    <t>kg CO2 e / kg H2/h)</t>
  </si>
  <si>
    <t>kg CO2e / (kg H2/h)</t>
  </si>
  <si>
    <t>kg CO2 e / kg H2 compressed</t>
  </si>
  <si>
    <t>kg CO2e / kg H2 produced</t>
  </si>
  <si>
    <t>Analysis, Synthesis, and Design of Chemical Processes</t>
  </si>
  <si>
    <t>Handbook</t>
  </si>
  <si>
    <t>MarEfuel own model (3 M€/(tNH3/h) + 1.45 M€/(tN2/h) ASU )</t>
  </si>
  <si>
    <t>€2019/(kg NH3/h)</t>
  </si>
  <si>
    <t>€2015/GJ</t>
  </si>
  <si>
    <t>$2019/J</t>
  </si>
  <si>
    <t>Separation (31) + Comp(7.5) + HB 16 MW of heat (above 80 degrees) ; No heat integration with AEC</t>
  </si>
  <si>
    <t>SOEC integrated. Separation (30 MW)</t>
  </si>
  <si>
    <t>43 MW : ASU, HB, Compressors ; SOEC at 1 bars</t>
  </si>
  <si>
    <t>22 MW : ASU, HB, Compressors ; SOEC at 30 bars</t>
  </si>
  <si>
    <t>22 MW : ASU, HB, Compressors with AEC at 30 bars</t>
  </si>
  <si>
    <t>AEC at 30 bars: 65.7 % LHV without auxiliaries</t>
  </si>
  <si>
    <t>Ammonia plant and ASU</t>
  </si>
  <si>
    <t>Ammonia plant integrated AEC</t>
  </si>
  <si>
    <t>Ammonia plant integrated SOEC</t>
  </si>
  <si>
    <t>CO2 emissions infrastructure grid</t>
  </si>
  <si>
    <t>CO2 emissions process grid</t>
  </si>
  <si>
    <t>Check other excel file for details</t>
  </si>
  <si>
    <t>CO2 Emissions onshore</t>
  </si>
  <si>
    <t>Ecoinvent</t>
  </si>
  <si>
    <t>CO2 Emissions offshore</t>
  </si>
  <si>
    <t xml:space="preserve">kg CO2e / (kg H2O/h) /year </t>
  </si>
  <si>
    <t>(kg CO2e / kg H2O ) /year</t>
  </si>
  <si>
    <t>kg CO2 eq / (kg biomass/h) / year</t>
  </si>
  <si>
    <t>(kg CO2/kg biomass) /year</t>
  </si>
  <si>
    <t>kg CO2 eq / (kg MeOH/h) / year</t>
  </si>
  <si>
    <t>(kg CO2 eq / kg MeOH) / year</t>
  </si>
  <si>
    <t>Ecoinvent 3.7.1 consequential database. Process: methanol factory construction - GLO</t>
  </si>
  <si>
    <t>Database</t>
  </si>
  <si>
    <t>2020 Plant of 2700t/day, 25 year lifetime, 51960000 kgCO2e/Methanol plant</t>
  </si>
  <si>
    <t>2030 Linear regression between 2020 to 2050 to 5% of 2020 value</t>
  </si>
  <si>
    <t>kg CO2/(kg MeOH/h)/year</t>
  </si>
  <si>
    <t>(kg CO2/ kg MeOH) / year</t>
  </si>
  <si>
    <t>Carbon source point source</t>
  </si>
  <si>
    <t>Carbon source DAC</t>
  </si>
  <si>
    <t>kg CO2 eq / (kg CO2 captured/h) /year</t>
  </si>
  <si>
    <t>kg CO2 eq / (kg CO2 captured) / year</t>
  </si>
  <si>
    <t>kg CO2 / (kg NH3 / h) /year</t>
  </si>
  <si>
    <t>(kg CO2 / kg NH3) / year</t>
  </si>
  <si>
    <t>kg CO2e / (kg H2/h) /y</t>
  </si>
  <si>
    <t>(kg CO2e / kg H2 produced)/y</t>
  </si>
  <si>
    <t xml:space="preserve">Grid emissions </t>
  </si>
  <si>
    <t>kg CO2e/kg CO2 captured</t>
  </si>
  <si>
    <t>https://doi.org/10.1038/s41560-020-00771-9</t>
  </si>
  <si>
    <t xml:space="preserve">Life-cycle assessment of an industrial direct air capture process based on temperature–vacuum swing adsorption. Nature Energy, 6(2), 203–213. </t>
  </si>
  <si>
    <t xml:space="preserve">Table S26 </t>
  </si>
  <si>
    <t>Assumed to reduce linearly to 5% of 2020 value by 2050. 2030:</t>
  </si>
  <si>
    <t>share of DAC infrastruture</t>
  </si>
  <si>
    <t>Point source infrastructure emissions as share of DAC plant. Major part of emissions from DAC plant infrastrucure stem from building the foundation and hall. It is assumed that the emissions from adding point source collection system is a fraction of the emissions from a DAC plant.</t>
  </si>
  <si>
    <t>kg CO2e/kg NH3</t>
  </si>
  <si>
    <t>Ecoinvent 3.7.1 consequential database. Process:ammonia production, steam reforming, liquid - RER w/o RU</t>
  </si>
  <si>
    <t xml:space="preserve">Based on Ecoinvent process for NH3 fertilizer production, 2.355 kg CO2e/kg NH3 of which 2.9% attributed to chemical plant. </t>
  </si>
  <si>
    <t>Ecoinvent 3.7.1 consequential database. Process: air separation facility construction - RER</t>
  </si>
  <si>
    <t>kg CO2e/kWh</t>
  </si>
  <si>
    <t>2040 IEA global electricity mix. Sustainable development scenario</t>
  </si>
  <si>
    <t>2030 IEA global electricity mix. Sustainable development scenario</t>
  </si>
  <si>
    <t>2020 IEA global electricity mix. Sustainable development scenario</t>
  </si>
  <si>
    <t>World Energy Outlook 2020</t>
  </si>
  <si>
    <t>https://www.iea.org/reports/world-energy-outlook-2020</t>
  </si>
  <si>
    <t>Syngas density</t>
  </si>
  <si>
    <t>A Techno-Economic Study of a Biomass Gasification Plant for the Production of Transport Biofuel for Small Communities</t>
  </si>
  <si>
    <t>https://doi.org/10.1016/j.egypro.2017.03.1111</t>
  </si>
  <si>
    <t>Assumed to be normal m3</t>
  </si>
  <si>
    <t>kg/m3</t>
  </si>
  <si>
    <t>kg CO2e/kg syngas/h</t>
  </si>
  <si>
    <t>Ecoinvent 3.7.1 consequential database. Process: synthetic gas factory construction - RoW</t>
  </si>
  <si>
    <t>Methanol plant. 2020 Plant of 2700t/day, 25 year lifetime, 51960000 kgCO2e/Methanol plant</t>
  </si>
  <si>
    <t>Gasifier. 81500 Nm3 syngas/day 330 days/year. 50 years lifetime. 694800 kg CO2e/unit</t>
  </si>
  <si>
    <t>kg CO2e/kg H2</t>
  </si>
  <si>
    <r>
      <t xml:space="preserve">Life Cycle Assessment of Renewable Hydrogen Production via Wind/Electrolysis. </t>
    </r>
    <r>
      <rPr>
        <i/>
        <sz val="11"/>
        <rFont val="Calibri"/>
        <family val="2"/>
      </rPr>
      <t>Nrel</t>
    </r>
    <r>
      <rPr>
        <sz val="11"/>
        <rFont val="Calibri"/>
        <family val="2"/>
      </rPr>
      <t xml:space="preserve">, </t>
    </r>
    <r>
      <rPr>
        <i/>
        <sz val="11"/>
        <rFont val="Calibri"/>
        <family val="2"/>
      </rPr>
      <t>February</t>
    </r>
    <r>
      <rPr>
        <sz val="11"/>
        <rFont val="Calibri"/>
        <family val="2"/>
      </rPr>
      <t>, 1–13.</t>
    </r>
  </si>
  <si>
    <t>Electrolysis production and operation. 43 g/kg H2</t>
  </si>
  <si>
    <t>Ecoinvent 3.7.1 consequential database. Process: wind turbine construction, 4.5MW, onshore - GLO</t>
  </si>
  <si>
    <t>Ecoinvent 3.7.1 consequential database. Processes: wind power plant construction, 2MW, offshore, fixed parts - GLO and wind power plant construction, 2MW, offshore, moving parts - GLO</t>
  </si>
  <si>
    <t>Technical data of the 570 kWp PV plant, based on data for open ground-annual electricity produced: 847.5 MWh-Area of installed modules (m2):4273.5-No lightning protection- Fuse box weight: not known - Cabling PV area (m): 5170- Cabling panels to inverter (m): 1200-Cabling in-verter to elec-tric meter (m): not knownThe construction process for an open ground power plant is the following: First, the area is measured with a laser, potential test piling is carried out and the foundation profiles are positioned. Then the foundation profiles are piled or screwed into the ground and the heights are levelled. Finally, the rest of the system is mounted and the panels are fixed.</t>
  </si>
  <si>
    <t>2020 4.5 MW onshore ; 4961 t CO2e ; 20 years lifetime. Data from 2008 based on wind turbine Enercon E-112 4.5MW.</t>
  </si>
  <si>
    <t>2020 2 MW offshore ; 2141.2 t CO2e ; 20 years life time. Data from 2002 offshore wind power plant of the type Bonus 2 MW.</t>
  </si>
  <si>
    <t>Ecoinvent 3.7.1 Consequential Database. Process: photovoltaic plant construction, 570kWp, multi-Si, on open ground - GLO</t>
  </si>
  <si>
    <t>Fixed costs</t>
  </si>
  <si>
    <t>Variable costs</t>
  </si>
  <si>
    <t>DAC 2020-2025: 370-550 €/t CO2</t>
  </si>
  <si>
    <t>Potential and risks of hydrogen-based e-fuels in climate change mitigation</t>
  </si>
  <si>
    <t>Article</t>
  </si>
  <si>
    <t>https://www.nature.com/articles/s41558-021-01032-7</t>
  </si>
  <si>
    <t>DAC 2030: 300-100 €/t CO2</t>
  </si>
  <si>
    <t>DAC 2050: 100-40 €/t CO2</t>
  </si>
  <si>
    <t>Lithium-Ion Battery</t>
  </si>
  <si>
    <t xml:space="preserve">https://www.cei.washington.edu/education/science-of-solar/battery-technology/ </t>
  </si>
  <si>
    <t>Ecoinvent 3.7.1 battery cell production for lithium-ion battery - RoW</t>
  </si>
  <si>
    <t>Emission total battery: 8.336 kg CO2 eq / kg of battery. Spec energy 100-265 Wh/kg</t>
  </si>
  <si>
    <t>Spec energy 100-265 Wh/kg, we choose 265 Wh/kg</t>
  </si>
  <si>
    <t>kWh/kg</t>
  </si>
  <si>
    <t>Cryogenic air separation facility. 80,000 tN2/year. 20 years lifetime. 878900 kg CO2e/unit. 0.881 kg N2 / kg NH3 produced</t>
  </si>
  <si>
    <t>kg CO2e/kg NH3/h / year</t>
  </si>
  <si>
    <t>Fixed cost</t>
  </si>
  <si>
    <t>Variabe cost</t>
  </si>
  <si>
    <t>Variable cost</t>
  </si>
  <si>
    <t>Variable cost of charger</t>
  </si>
  <si>
    <t>Fixed cost in €/ (kg H2 /h) /year</t>
  </si>
  <si>
    <t>Opex (fixed cost)</t>
  </si>
  <si>
    <t>Reverse Osmosis opex without electricity ; 0.29 $/m3(Include fixed cost)</t>
  </si>
  <si>
    <t xml:space="preserve">Fixed cost </t>
  </si>
  <si>
    <t>Fixed cost (included in capture cost)</t>
  </si>
  <si>
    <t>Investment 3M€ /kt MeoH ; Fixed cost 0.035 M€/kt MeOH</t>
  </si>
  <si>
    <t>Fixed cost 2050, 5.32 k€/(Gjo/h)/year (€2019 ?)</t>
  </si>
  <si>
    <t>Fixed cost (manufacturing cost)</t>
  </si>
  <si>
    <t>Var cost</t>
  </si>
  <si>
    <t>sLCOE = {(overnight capital cost * annuity factor + fixed cost cost )/(8760 * capacity factor)} + (fuel cost * heat rate) + variable cost cost</t>
  </si>
  <si>
    <t>Average utility-scale cost Europe 10 USD/kW/y , 2019</t>
  </si>
  <si>
    <t>Fixed cost €2019/kW/y</t>
  </si>
  <si>
    <t>Var cost €2019/kWh</t>
  </si>
  <si>
    <t>CAPEX, Fixed cost, LifeTime, Var cost</t>
  </si>
  <si>
    <t>Variable cost costs (€/kWh)</t>
  </si>
  <si>
    <t>Fixed cost with grid connection</t>
  </si>
  <si>
    <t>Fixed cost export cable</t>
  </si>
  <si>
    <t>Batteries (utility scale Li-ion)</t>
  </si>
  <si>
    <t>Conversion $_€ (1$ = ... €) 2020</t>
  </si>
  <si>
    <t>Conversion $_€ (1$ = ... €) 2019</t>
  </si>
  <si>
    <t>Conversion $_€ (1$ = ... €) 2018</t>
  </si>
  <si>
    <t>Conversion $_€ (1$ = ... €) 2017</t>
  </si>
  <si>
    <t>Conversion $_€ (1$ = ... €) 2016</t>
  </si>
  <si>
    <t>Conversion $_€ (1$ = ... €) 2015</t>
  </si>
  <si>
    <t>Conversion $_€ (1$ = ... €) 2014</t>
  </si>
  <si>
    <t>Investment expenditure</t>
  </si>
  <si>
    <t xml:space="preserve">Fixed Investment expenditure </t>
  </si>
  <si>
    <t>Fixed Investment expenditure</t>
  </si>
  <si>
    <t>Investment expenditure with grid connection</t>
  </si>
  <si>
    <t>Investment expenditure without grid connection</t>
  </si>
  <si>
    <t>% of Investment expenditure</t>
  </si>
  <si>
    <t>Investment expenditure (€/kW H2 LHV)</t>
  </si>
  <si>
    <t>Investment expenditure (€/ (kg H2/h))</t>
  </si>
  <si>
    <t xml:space="preserve">Investment expenditure (€/ (kg NH3/h)) </t>
  </si>
  <si>
    <t>Investment expenditure (included in capture cost)</t>
  </si>
  <si>
    <t>2% of Investment expenditure. Based on 3000 €/(kg NH3/h)</t>
  </si>
  <si>
    <t>Revamp Investment expenditure</t>
  </si>
  <si>
    <t>Sum of capital Investment expenditure and fixed operating cost</t>
  </si>
  <si>
    <t xml:space="preserve">Variable cost </t>
  </si>
  <si>
    <t>2020 with stack replacement every 10 y (2030-2040); Cost 0.5*Capex ; 25y total lifetime</t>
  </si>
  <si>
    <t>2030 with stack replacement every 10 y (2040-2050); Cost 0.48*Capex ; 25y total lifetime</t>
  </si>
  <si>
    <t>2050 with stack replacement every 10 y (2060-2070); Cost 0.44*Capex ; 25y total lifetime</t>
  </si>
  <si>
    <t>2020 with stack replacement every 5 y (20..25-30-35-40); Cost 0.235*Capex ; 25y total lifetime</t>
  </si>
  <si>
    <t>2030 with stack replacement every 5 y (20..35-40-45-50); Cost 0.135*Capex ; 25y total lifetime</t>
  </si>
  <si>
    <t>2050 with stack replacement every 5 y (20..50-55-60-65); Cost 0.095*Capex ; 25y total lifetime</t>
  </si>
  <si>
    <t>Assumed auxiliaries lifetime (when using stack replacement)</t>
  </si>
  <si>
    <t>Stack lifetime MarEfuel agreement</t>
  </si>
  <si>
    <t>MC=DMC+FMC+GMC</t>
  </si>
  <si>
    <t>Manufacturing cost</t>
  </si>
  <si>
    <t>DMC=OLC+DSC+LCC+PC+LC</t>
  </si>
  <si>
    <t>Direct manufacturing cost</t>
  </si>
  <si>
    <t>OLC=60000*4.5*N_OL</t>
  </si>
  <si>
    <t>DSC=0.18*OLC</t>
  </si>
  <si>
    <t>Direct supervisory and clerical labour costs</t>
  </si>
  <si>
    <t>LCC=0.15*OLC</t>
  </si>
  <si>
    <t>Laboratory charges cost</t>
  </si>
  <si>
    <t>PC=0.03*OMC</t>
  </si>
  <si>
    <t>Patents costs</t>
  </si>
  <si>
    <t>LC=0.05*CAPEX_total</t>
  </si>
  <si>
    <t>Land cost</t>
  </si>
  <si>
    <t>FMC=TC+OC</t>
  </si>
  <si>
    <t>Fixed manufacturing cost</t>
  </si>
  <si>
    <t>TC=0.032*CAPEX_total</t>
  </si>
  <si>
    <t>Local taxes and insurance costs</t>
  </si>
  <si>
    <t>OC=0.036*CAPEX_total+0.708*OLC</t>
  </si>
  <si>
    <t>Plant overhead costs</t>
  </si>
  <si>
    <t>GMC=ADMC+DC+RDC</t>
  </si>
  <si>
    <t>General manufacturing cost</t>
  </si>
  <si>
    <t>ADMC=0.009*CAPEX_total+0.177*OLC</t>
  </si>
  <si>
    <t>Adminstration cost</t>
  </si>
  <si>
    <t>DC=0.11*OMC</t>
  </si>
  <si>
    <t>Distribution cost</t>
  </si>
  <si>
    <t>RDC=0.05*OMC</t>
  </si>
  <si>
    <t>Research and Development costs</t>
  </si>
  <si>
    <t>OMC (€/year)</t>
  </si>
  <si>
    <t>Operating and maintenance cost</t>
  </si>
  <si>
    <t xml:space="preserve">2%*CAPEX_total </t>
  </si>
  <si>
    <t>Manufacturing cost (€/year) from Turton Hand book</t>
  </si>
  <si>
    <t>Simplified formula:</t>
  </si>
  <si>
    <t>MC= 2.215*OLC+0.1308*Capex</t>
  </si>
  <si>
    <t>N_OL=(6.29+0.23*N_np)^0.5</t>
  </si>
  <si>
    <t>N_np=12</t>
  </si>
  <si>
    <t>Number of components for ammonia plant</t>
  </si>
  <si>
    <t xml:space="preserve">Opeating labour cost. </t>
  </si>
  <si>
    <t>N_OL: number of operating labour</t>
  </si>
  <si>
    <t>2020 benchmark (€2015)</t>
  </si>
  <si>
    <t>Number of plant components</t>
  </si>
  <si>
    <t>Capex [€/(kg/h)]</t>
  </si>
  <si>
    <t>Manufacturing cost [€/(kg/h)/y]</t>
  </si>
  <si>
    <t>Plant size [kt/y]</t>
  </si>
  <si>
    <t>CO2 emissions MeOH plant</t>
  </si>
  <si>
    <t>CO2 emissions gasifier</t>
  </si>
  <si>
    <t>€/(kg MeOH/h)/y</t>
  </si>
  <si>
    <t>Manufacturing cost with 12 components plant</t>
  </si>
  <si>
    <t>Bio-e-methanol plant and carbon source (syngas)</t>
  </si>
  <si>
    <t>Number of operating labour (if known)</t>
  </si>
  <si>
    <t>Number of operating calculated</t>
  </si>
  <si>
    <t>OLC = 270000*N_OL</t>
  </si>
  <si>
    <t>Fixed cost from Turton with 5 operators (Peres Fortes); capex 4167.571</t>
  </si>
  <si>
    <t>€/(t MeOH/h) / y</t>
  </si>
  <si>
    <t>MarEfuel 2020 based on Turton book (manufacturing cost), 12 components, 4285 capex</t>
  </si>
  <si>
    <t>€2019/(kg NH3/h)/y</t>
  </si>
  <si>
    <t>On SP198-HH100</t>
  </si>
  <si>
    <t>On SP198-HH150</t>
  </si>
  <si>
    <t>On SP237-HH100</t>
  </si>
  <si>
    <t>On SP237-HH150</t>
  </si>
  <si>
    <t>On SP277-HH100</t>
  </si>
  <si>
    <t>On SP277-HH150</t>
  </si>
  <si>
    <t>On SP321-HH100</t>
  </si>
  <si>
    <t>On SP321-HH150</t>
  </si>
  <si>
    <t>Off SP450-HH100</t>
  </si>
  <si>
    <t>Off SP450-HH150</t>
  </si>
  <si>
    <t>Off SP379-HH100</t>
  </si>
  <si>
    <t>Off SP379-HH150</t>
  </si>
  <si>
    <t>2020 IEA global electricity mix. Net zero by 2050 scenario</t>
  </si>
  <si>
    <t>2030 IEA global electricity mix. Net zero by 2050 scenario</t>
  </si>
  <si>
    <t>2040 IEA global electricity mix. Net zero by 2050 scenario</t>
  </si>
  <si>
    <t>2050 IEA global electricity mix. Net zero by 2050 scenario</t>
  </si>
  <si>
    <t>Net zero by 2050. A roadmap for the Global Energy Sector</t>
  </si>
  <si>
    <t xml:space="preserve">https://www.iea.org/reports/net-zero-by-2050 </t>
  </si>
  <si>
    <t>kg CO2e/kWp/year</t>
  </si>
  <si>
    <t>kg CO2 / kWp /year</t>
  </si>
  <si>
    <t>CO2 emission infrastructure (kg CO2e/kW/year)</t>
  </si>
  <si>
    <t>kg CO2e /kW /year</t>
  </si>
  <si>
    <t>kg CO2e /kW/year</t>
  </si>
  <si>
    <t>kg CO2e / kW /y</t>
  </si>
  <si>
    <t>kg CO2 e /(kg H2/h) /y</t>
  </si>
  <si>
    <t>kg CO2e / kg H2 stored</t>
  </si>
  <si>
    <t>kg CO2e / kWh /y</t>
  </si>
  <si>
    <t>Covers compression and storage. Majority is attibuted to storage although not quantified. 10% assumed to be for compression.</t>
  </si>
  <si>
    <t xml:space="preserve">https://www.nrel.gov/docs/fy04osti/35404.pdf </t>
  </si>
  <si>
    <t>kg CO2e/kg H2 stored/y</t>
  </si>
  <si>
    <t>2670 kg CO2e for a 5.8 kg H2 700 bar tank. 20 yers lifetime (! small tank)</t>
  </si>
  <si>
    <t>XI.5 Life-cycle Analysis of Hydrogen onboard Storage options</t>
  </si>
  <si>
    <t>Project summary results</t>
  </si>
  <si>
    <t xml:space="preserve">https://www.hydrogen.energy.gov/pdfs/progress13/xi_5_elgowainy_2013.pdf </t>
  </si>
  <si>
    <t>kg CO2e / kg H2 stored /y</t>
  </si>
  <si>
    <t>Compressed H2 storage (check Fuels emissions document)</t>
  </si>
  <si>
    <t>Assumed to reduce linearly to 5% of 2020 value by 2050. 2030</t>
  </si>
  <si>
    <t>Fuel emission doc</t>
  </si>
  <si>
    <t>Check Fuel emissions document for details</t>
  </si>
  <si>
    <t>kg CO2e/kW/y</t>
  </si>
  <si>
    <t>Fuel emissions doc</t>
  </si>
  <si>
    <t>Same as generic methanol plant. 2020 Plant of 2700t/day, 25 year lifetime, 51960000 kgCO2e/Methanol plant</t>
  </si>
  <si>
    <t>kg CO2 eq / (kg NH3/h) / year</t>
  </si>
  <si>
    <t>DAC plant with 4000 ton CO2/year capacity. 8000 hours/year. GHG intensity reported in kg CO2e/kg CO2 captured. 5.68 gCO2e /kg captured</t>
  </si>
  <si>
    <t>2020 min</t>
  </si>
  <si>
    <t>2020 max</t>
  </si>
  <si>
    <t>2020 bench</t>
  </si>
  <si>
    <t>Yearly demand (kg fuel)</t>
  </si>
  <si>
    <t>Fuel production rate (kg output/kg input)</t>
  </si>
  <si>
    <t>Load min (% of max capacity)</t>
  </si>
  <si>
    <t>Load max (% of max capacity)</t>
  </si>
  <si>
    <t>Ramp up (% of capacity /h)</t>
  </si>
  <si>
    <t>Ramp down (% of capacity /h)</t>
  </si>
  <si>
    <t>Investment (€/Capacity installed)</t>
  </si>
  <si>
    <t>Variable cost (€/Output)</t>
  </si>
  <si>
    <t>Electrical consumption (kWh/output)</t>
  </si>
  <si>
    <t>Heat generated (kWh/output)</t>
  </si>
  <si>
    <t>Fuel selling price (€/output)</t>
  </si>
  <si>
    <t>CO2e process (kg CO2e/output)</t>
  </si>
  <si>
    <t>CO2 capture DAC</t>
  </si>
  <si>
    <t>Electrolyser SOEC</t>
  </si>
  <si>
    <t>CO2 DAC</t>
  </si>
  <si>
    <t>CO2 PS</t>
  </si>
  <si>
    <t>MeOH-AEC</t>
  </si>
  <si>
    <t>MeOH-SOEC</t>
  </si>
  <si>
    <t>Bio-eMeOH-AEC</t>
  </si>
  <si>
    <t>Bio-eMeOH-SOEC</t>
  </si>
  <si>
    <t>NH3-AEC</t>
  </si>
  <si>
    <t>NH3-SOEC</t>
  </si>
  <si>
    <t>H2_from_AEC</t>
  </si>
  <si>
    <t>CO2 source DAC</t>
  </si>
  <si>
    <t>CO2 source PS</t>
  </si>
  <si>
    <t>Methanol plant CCU-AEC</t>
  </si>
  <si>
    <t>Electrolyser AEC</t>
  </si>
  <si>
    <t>Utilities</t>
  </si>
  <si>
    <t>Sources utilities</t>
  </si>
  <si>
    <t>Bio-eMeOH plant - AEC</t>
  </si>
  <si>
    <t>Bio-eMeOH plant - SOEC</t>
  </si>
  <si>
    <t>MeOH plant CCU - AEC</t>
  </si>
  <si>
    <t>NH3 plant + ASU - AEC</t>
  </si>
  <si>
    <t>NH3 plant + ASU - SOEC</t>
  </si>
  <si>
    <t>MeOH plant CCU - SOEC</t>
  </si>
  <si>
    <t>CO2 capture PS</t>
  </si>
  <si>
    <t>Wood chips 2020 Base case ; 6.5 €2013 / GJ</t>
  </si>
  <si>
    <t>Wood chips 2020 Low ; 5.7 €2013 / GJ</t>
  </si>
  <si>
    <t>Wood chips 2020 High ; 7.1 €2013 / GJ</t>
  </si>
  <si>
    <t>Wood chips 2030 Base case ; 7.1 €2013 / GJ</t>
  </si>
  <si>
    <t>Wood chips 2030 Low ; 5.9 €2013 / GJ</t>
  </si>
  <si>
    <t>Wood chips 2030 High , 8 €2013 / GJ</t>
  </si>
  <si>
    <t>Wood chips 2040 Base case 7.6 €2013 / GJ</t>
  </si>
  <si>
    <t>Wood chips 2040 Low 5.9 €2013 / GJ</t>
  </si>
  <si>
    <t>Wood chips 2040 High 9.1 €2013 / GJ</t>
  </si>
  <si>
    <t>Wood chips 2050 Base case 8.2 €2013 / GJ</t>
  </si>
  <si>
    <t>Wood chips 2050 Low 5.9 €2013 / GJ</t>
  </si>
  <si>
    <t>Wood chips 2050 High 10.2 €2013 / GJ</t>
  </si>
  <si>
    <t>Input</t>
  </si>
  <si>
    <t>MeOH*</t>
  </si>
  <si>
    <t>Bio-eMeOH*</t>
  </si>
  <si>
    <t>All years</t>
  </si>
  <si>
    <t>0**</t>
  </si>
  <si>
    <t>NH3 plant + ASU - SOEC**</t>
  </si>
  <si>
    <t>Bio-eMeOH plant - SOEC**</t>
  </si>
  <si>
    <t>Biomass supply</t>
  </si>
  <si>
    <t>25*</t>
  </si>
  <si>
    <t xml:space="preserve">Fuel production rate </t>
  </si>
  <si>
    <t>(kg output/kg input)</t>
  </si>
  <si>
    <t xml:space="preserve">Usable excess heat </t>
  </si>
  <si>
    <t>(kWh/ kg output)</t>
  </si>
  <si>
    <t xml:space="preserve">Load min </t>
  </si>
  <si>
    <t>(% of capacity)</t>
  </si>
  <si>
    <t xml:space="preserve">Electrical consumption </t>
  </si>
  <si>
    <t xml:space="preserve">Investment </t>
  </si>
  <si>
    <t>(€/Capacity)</t>
  </si>
  <si>
    <t>(€/Capacity/y)</t>
  </si>
  <si>
    <t xml:space="preserve"> (€/kg output)</t>
  </si>
  <si>
    <t xml:space="preserve"> (€/ kg output)</t>
  </si>
  <si>
    <t>Post-combustion carbon capture retrofit - 500 MW(th) biomass-fired boiler 2020</t>
  </si>
  <si>
    <t>Datasheet for industrial process heat and cc </t>
  </si>
  <si>
    <t>Datasheet</t>
  </si>
  <si>
    <t xml:space="preserve">https://ens.dk/en/our-services/projections-and-models/technology-data/technology-data-industrial-process-heat-and </t>
  </si>
  <si>
    <t xml:space="preserve">Post-combustion carbon capture retrofit - 500 MW(th) biomass-fired boiler 2030 </t>
  </si>
  <si>
    <t>Post-combustion carbon capture retrofit - 500 MW(th) biomass-fired boiler 2040</t>
  </si>
  <si>
    <t>Post-combustion carbon capture retrofit - 500 MW(th) biomass-fired boiler 2050</t>
  </si>
  <si>
    <t>€/(kg CO2 output/h)</t>
  </si>
  <si>
    <t>Post-combustion carbon capture retrofit - 500 MW(th) biomass-fired boiler 2030</t>
  </si>
  <si>
    <t xml:space="preserve">€/kg </t>
  </si>
  <si>
    <t>Direct Air Capture Plant 2020</t>
  </si>
  <si>
    <t>Direct Air Capture Plant 2030</t>
  </si>
  <si>
    <t>Direct Air Capture Plant 2040</t>
  </si>
  <si>
    <t>Direct Air Capture Plant 2050</t>
  </si>
  <si>
    <t>Variable cost (included in capture cost)</t>
  </si>
  <si>
    <t>CO2 % compared to 2020</t>
  </si>
  <si>
    <t>Product</t>
  </si>
  <si>
    <t>Product/Reactant1</t>
  </si>
  <si>
    <t>Product/Reactant4</t>
  </si>
  <si>
    <t>Reactant7</t>
  </si>
  <si>
    <t>Product/Reactant3</t>
  </si>
  <si>
    <t>Reactant2</t>
  </si>
  <si>
    <t>Reactant5</t>
  </si>
  <si>
    <t>Reactant6</t>
  </si>
  <si>
    <t>Product 7</t>
  </si>
  <si>
    <t>Min_demand</t>
  </si>
  <si>
    <t>O2_sell</t>
  </si>
  <si>
    <t>Used (1 or 0)</t>
  </si>
  <si>
    <t>Unit tag</t>
  </si>
  <si>
    <t>Fuel buying price (€/output)</t>
  </si>
  <si>
    <t>CO2e infrastructure (kg CO2e/Capacity/y)</t>
  </si>
  <si>
    <t>Year--&gt;</t>
  </si>
  <si>
    <t>All</t>
  </si>
  <si>
    <t>H2_from_SOEC</t>
  </si>
  <si>
    <t>Fuel energy content LHV (MJ/kg fuel)</t>
  </si>
  <si>
    <t>H2 buried pipes</t>
  </si>
  <si>
    <t>H2_stored_tank</t>
  </si>
  <si>
    <t>H2_stored_pipe</t>
  </si>
  <si>
    <t>H2 pipes compressor</t>
  </si>
  <si>
    <t>H2 pipes valve</t>
  </si>
  <si>
    <t>H2_to_pipe</t>
  </si>
  <si>
    <t>H2_from_pipe</t>
  </si>
  <si>
    <t>Buried pipes</t>
  </si>
  <si>
    <t>Capital Cost H2 pipes</t>
  </si>
  <si>
    <t>Fixed operation cost H2 pipe</t>
  </si>
  <si>
    <t>Life expectancy</t>
  </si>
  <si>
    <t>7 - Large-scale underground storage of hydrogen for the grid integration of renewable energy and other applications</t>
  </si>
  <si>
    <t xml:space="preserve">https://www.sciencedirect.com/science/article/pii/B9781782423645000075 </t>
  </si>
  <si>
    <t>Non significant</t>
  </si>
  <si>
    <t>H2 compressor for tank</t>
  </si>
  <si>
    <t>12 M€2016 for 25 t</t>
  </si>
  <si>
    <t>€2019/kg H2 stored</t>
  </si>
  <si>
    <t>Storage pressure</t>
  </si>
  <si>
    <t>atm</t>
  </si>
  <si>
    <t>Bulk storage of hydrogen</t>
  </si>
  <si>
    <t xml:space="preserve">https://www.sciencedirect.com/science/article/pii/S0360319921030834 </t>
  </si>
  <si>
    <t>Compression electrical consumption</t>
  </si>
  <si>
    <t>From 20 to 100 bars; 75% isenropic ; 98% mechanical</t>
  </si>
  <si>
    <t>After removing electricity cost(11038$/y) : 566247 $/y for 500t</t>
  </si>
  <si>
    <t>€2019/kg stored/y</t>
  </si>
  <si>
    <t>46613 cushion gas for 500t</t>
  </si>
  <si>
    <t>Table 2</t>
  </si>
  <si>
    <t>H2 compressor tank</t>
  </si>
  <si>
    <t>H2 compressor pipes</t>
  </si>
  <si>
    <t xml:space="preserve">Minimal load </t>
  </si>
  <si>
    <t>Fixed cost (€/Capacity installed/y)</t>
  </si>
  <si>
    <t>Paper with hossein 64.2% LHV</t>
  </si>
  <si>
    <t>Paper with Hossein 87.2% LHV</t>
  </si>
  <si>
    <t>m2/kWp</t>
  </si>
  <si>
    <t>2020 Large scale utility system - 1 axis tracking</t>
  </si>
  <si>
    <t>2030 Large scale utility system - 1 axis tracking</t>
  </si>
  <si>
    <t>2040 Large scale utility system - 1 axis tracking</t>
  </si>
  <si>
    <t>2050 Large scale utility system - 1 axis tracking</t>
  </si>
  <si>
    <t>New model Hossein (used in RSER paper)</t>
  </si>
  <si>
    <t>Land usage</t>
  </si>
  <si>
    <t xml:space="preserve"> Include compressorCheapest 516$/kg stored: 24-OD, Schedule 60 pipes, 300 parallel pipe strings, each 3150 ft lenght, 110 acres land. (minus cution gas: not change after rounding) for 500 tH2 storage</t>
  </si>
  <si>
    <t>For schedule 60pipes,etc… (see capital cost): 110 acres for 500 t H2 at 100 bars</t>
  </si>
  <si>
    <t>100 atm for 24 inches Diameter, 60 schedule (maximum storage pressure)</t>
  </si>
  <si>
    <t>Land use</t>
  </si>
  <si>
    <t>Technology data for el and dh</t>
  </si>
  <si>
    <t>Utility scale PV 2030</t>
  </si>
  <si>
    <t>Utility scale PV 2040</t>
  </si>
  <si>
    <t>Utility scale PV 2050</t>
  </si>
  <si>
    <t>Utility scale PV 2020: 13750 m2/Mwe</t>
  </si>
  <si>
    <t xml:space="preserve"> </t>
  </si>
  <si>
    <t>Land use (m2/kWe)</t>
  </si>
  <si>
    <t>Onshore. One turbine covers 50x50m without noise zone. 2020 1 turbine= 4.2 MW for 2500m2</t>
  </si>
  <si>
    <t>RO Amortization time (Life time)</t>
  </si>
  <si>
    <t>Bio-methanol plant heat integrated with AEC</t>
  </si>
  <si>
    <t>Bio-methanol plant heat integrated with SOEC</t>
  </si>
  <si>
    <t>Energy fuel (MJ)</t>
  </si>
  <si>
    <t xml:space="preserve"> Mass fuel (kg)</t>
  </si>
  <si>
    <t>Spec energy</t>
  </si>
  <si>
    <t>kWh/kg MeOH</t>
  </si>
  <si>
    <t>58.74 MJ MeOH (= 2.95 kg), waste heat used internally for CO2 capture, heat loss of 32.84 MJ. Includes heat from the AEC ?</t>
  </si>
  <si>
    <t xml:space="preserve">https://ens.dk/en/our-services/projections-and-models/technology-data/technology-data-renewable-fuels </t>
  </si>
  <si>
    <t>m2/ (kg MeOH/h)</t>
  </si>
  <si>
    <t>m2/(kg MeOH/h)</t>
  </si>
  <si>
    <t xml:space="preserve">kg MeOH/kg H2 </t>
  </si>
  <si>
    <t>Technology data for renewable fuels</t>
  </si>
  <si>
    <t>0.14 t H2 for 1t MeOH (seems too high ?)</t>
  </si>
  <si>
    <t>1.4 t CO2 for 1t MeOH</t>
  </si>
  <si>
    <t>kg H20/kg MeOH</t>
  </si>
  <si>
    <t>Techno-economic and environmental evaluation of CO2 utilisation for fuel production</t>
  </si>
  <si>
    <t>JRC Report</t>
  </si>
  <si>
    <t xml:space="preserve">https://op.europa.eu/en/publication-detail/-/publication/1f55ca82-3451-11e6-969e-01aa75ed71a1/language-en </t>
  </si>
  <si>
    <t>p37</t>
  </si>
  <si>
    <t>MeOH CDU plant (without the electrolyser consumption)</t>
  </si>
  <si>
    <t>CCU-plant (cooling water)</t>
  </si>
  <si>
    <t>Conventional plant (cooling water)</t>
  </si>
  <si>
    <t>MeOH CDU plant (incl. Electrolysis) (water consumed in the reaction)</t>
  </si>
  <si>
    <t xml:space="preserve">Investment expenditure </t>
  </si>
  <si>
    <t>CO2 selling/buying price</t>
  </si>
  <si>
    <t>Nordic P2X for sustainable road transport</t>
  </si>
  <si>
    <t xml:space="preserve">https://www.nordicenergy.org/project/np2x/ </t>
  </si>
  <si>
    <t>Power demand 2025</t>
  </si>
  <si>
    <t>Power demand 2035</t>
  </si>
  <si>
    <t>Power demand 2045</t>
  </si>
  <si>
    <t>In 2025 (60-80 degrees heat), 0.46 MJ/MJH2 LHV</t>
  </si>
  <si>
    <t>kwhth/kg H2</t>
  </si>
  <si>
    <t>In 2035 (60-80 degrees heat), 0.35 MJ/MJH2 LHV</t>
  </si>
  <si>
    <t>In 2045 (60-80 degrees heat), 0.25 MJ/MJH2 LHV</t>
  </si>
  <si>
    <t>Armijo</t>
  </si>
  <si>
    <t xml:space="preserve">Ostuni&amp;Zardi </t>
  </si>
  <si>
    <t>Cheema</t>
  </si>
  <si>
    <t>Wiley&amp;Sons</t>
  </si>
  <si>
    <t>Ikäheimo</t>
  </si>
  <si>
    <t>Note about a report revalidated in 2019</t>
  </si>
  <si>
    <t>Morgan</t>
  </si>
  <si>
    <t>Blanco</t>
  </si>
  <si>
    <t>Bartels</t>
  </si>
  <si>
    <t>Dana</t>
  </si>
  <si>
    <t>Gosnell</t>
  </si>
  <si>
    <t>Olson</t>
  </si>
  <si>
    <t>ISPT</t>
  </si>
  <si>
    <t>Report  (Institute for Sustainable Process Technology)</t>
  </si>
  <si>
    <t>Palys</t>
  </si>
  <si>
    <t xml:space="preserve">Allman </t>
  </si>
  <si>
    <t>Carmo</t>
  </si>
  <si>
    <t>Zhang</t>
  </si>
  <si>
    <t>European Commission</t>
  </si>
  <si>
    <t>Zachar</t>
  </si>
  <si>
    <t>Bezmalinovic</t>
  </si>
  <si>
    <t>Buttler</t>
  </si>
  <si>
    <t>Schmidt</t>
  </si>
  <si>
    <t>Bertuccioli</t>
  </si>
  <si>
    <t>Ainscough</t>
  </si>
  <si>
    <t>Parks</t>
  </si>
  <si>
    <t>Gardiner</t>
  </si>
  <si>
    <t>Adams</t>
  </si>
  <si>
    <t>Aicher</t>
  </si>
  <si>
    <t>Nayak-Luke</t>
  </si>
  <si>
    <t>Topsoe</t>
  </si>
  <si>
    <t>Internal report, Siemens,Oxford</t>
  </si>
  <si>
    <t>Hughes</t>
  </si>
  <si>
    <t>Beerbühl</t>
  </si>
  <si>
    <t>Tuna</t>
  </si>
  <si>
    <t>Belotti</t>
  </si>
  <si>
    <t>ICIS</t>
  </si>
  <si>
    <t>Gallagher</t>
  </si>
  <si>
    <t>Mayer</t>
  </si>
  <si>
    <t>McKenna</t>
  </si>
  <si>
    <t>Lindstad</t>
  </si>
  <si>
    <t>DEA</t>
  </si>
  <si>
    <t>Hank</t>
  </si>
  <si>
    <t>ADI Analytics</t>
  </si>
  <si>
    <t>Abu-Zhara</t>
  </si>
  <si>
    <t>Konstantinos</t>
  </si>
  <si>
    <t>Jepma</t>
  </si>
  <si>
    <t>Andika</t>
  </si>
  <si>
    <t>Brynolf</t>
  </si>
  <si>
    <t>McDonagh</t>
  </si>
  <si>
    <t>Ridjan</t>
  </si>
  <si>
    <t>Flament</t>
  </si>
  <si>
    <t>Nyári</t>
  </si>
  <si>
    <t>Collodi</t>
  </si>
  <si>
    <t>Frattini</t>
  </si>
  <si>
    <t xml:space="preserve">Staffell&amp;Pfenninger </t>
  </si>
  <si>
    <t>Nguyen</t>
  </si>
  <si>
    <t>Connolly</t>
  </si>
  <si>
    <t>DanskEnergi</t>
  </si>
  <si>
    <t>Tremel</t>
  </si>
  <si>
    <t>Mignard</t>
  </si>
  <si>
    <t>Clausen</t>
  </si>
  <si>
    <t>Specht</t>
  </si>
  <si>
    <t>Matzen</t>
  </si>
  <si>
    <t>Varone</t>
  </si>
  <si>
    <t>Rivera-Tinoco</t>
  </si>
  <si>
    <t>Bertau</t>
  </si>
  <si>
    <t>Hailey</t>
  </si>
  <si>
    <t>Lin</t>
  </si>
  <si>
    <t>Kettani</t>
  </si>
  <si>
    <t>Battaglia</t>
  </si>
  <si>
    <t>Katla</t>
  </si>
  <si>
    <t>Giddey</t>
  </si>
  <si>
    <t>Lester</t>
  </si>
  <si>
    <t>Fasihi</t>
  </si>
  <si>
    <t>Bos</t>
  </si>
  <si>
    <t>Butera</t>
  </si>
  <si>
    <t>EaEnergyAnalyses</t>
  </si>
  <si>
    <t>Turton</t>
  </si>
  <si>
    <t>Deutz</t>
  </si>
  <si>
    <t>Mustafa</t>
  </si>
  <si>
    <t>Spath</t>
  </si>
  <si>
    <t>Ueckerdt</t>
  </si>
  <si>
    <t>CleanEnergyInstitute</t>
  </si>
  <si>
    <t>Elgowainy</t>
  </si>
  <si>
    <t>Bünger</t>
  </si>
  <si>
    <t>Papadias</t>
  </si>
  <si>
    <t>Peres-Fortes</t>
  </si>
  <si>
    <t>Banares-Alcantara</t>
  </si>
  <si>
    <t>NordicEnergyResearch</t>
  </si>
  <si>
    <t>Ammonfuel</t>
  </si>
  <si>
    <t>Techno-economic assessment of green ammonia production with different wind and solar potentials</t>
  </si>
  <si>
    <t>Campion</t>
  </si>
  <si>
    <t xml:space="preserve">http://dx.doi.org/10.2139/ssrn.4154006 </t>
  </si>
  <si>
    <t>Ammonia plant + ASU no heat integrated with AEC, based on Hossein model</t>
  </si>
  <si>
    <t>Ammonia plant + ASU heat integrated with SOEC, based on Hossein model</t>
  </si>
  <si>
    <t>Post-combustion carbon capture retrofit - 500 MW(th) biomass-fired boiler 2025: 0.03 + 0.1 compresstion and dehydration (164 tCO2/h)</t>
  </si>
  <si>
    <t>Post-combustion carbon capture retrofit - 500 MW(th) biomass-fired boiler 2025 : 0.025 + 0.09 compresstion and dehydration (164 tCO2/h)</t>
  </si>
  <si>
    <t>Post-combustion carbon capture retrofit - 500 MW(th) biomass-fired boiler 2025 : 0.035 + 0.11 compresstion and dehydration (164 tCO2/h)</t>
  </si>
  <si>
    <t>Post-combustion carbon capture retrofit - 500 MW(th) upper biomass-fired boiler 2050</t>
  </si>
  <si>
    <t>Post-combustion carbon capture retrofit - 500 MW(th) lower biomass-fired boiler 2050</t>
  </si>
  <si>
    <t>Technology catalogue for carbon capture, transport and storage</t>
  </si>
  <si>
    <t>https://ens.dk/en/our-services/projections-and-models/technology-data/technology-data-carbon-capture-transport-and</t>
  </si>
  <si>
    <t>DanishEnergyAgency</t>
  </si>
  <si>
    <t>Direct Air Capture Plant 2025: 0.35+0.15</t>
  </si>
  <si>
    <t>Direct Air Capture Plant 2050 lower</t>
  </si>
  <si>
    <t>Direct Air Capture Plant 2050 upper</t>
  </si>
  <si>
    <t>Direct Air Capture Plant 2025: lower</t>
  </si>
  <si>
    <t>Direct Air Capture Plant 2025: upper</t>
  </si>
  <si>
    <t>2050 Worst</t>
  </si>
  <si>
    <t>2050 Best</t>
  </si>
  <si>
    <t>https://doi.org/10.1016/j.fuproc.2020.106718</t>
  </si>
  <si>
    <t>Grid connection price</t>
  </si>
  <si>
    <t>Capacity connection of the grid (article study case is Germany)</t>
  </si>
  <si>
    <t>Power-To-X and district heating</t>
  </si>
  <si>
    <t>DanskFjernvarme</t>
  </si>
  <si>
    <t>p16</t>
  </si>
  <si>
    <t>70 C temperature heat, 150 DKK in summer, 200 DKK in winter (1€= 7.5 dkk)</t>
  </si>
  <si>
    <t xml:space="preserve">https://www.danskfjernvarme.dk/groen-energi/analyser/210512-power-to-x-og-fjernvarme </t>
  </si>
  <si>
    <t>https://doi.org/10.1016/j.apenergy.2019.114135</t>
  </si>
  <si>
    <t>177 $/ton in the reference (1.18 currency exchange euro dollar)</t>
  </si>
  <si>
    <t>Capex MarEfuel 2020 Hossein</t>
  </si>
  <si>
    <t>Sheet calculation, efficiency of 98 %</t>
  </si>
  <si>
    <t>Worst "Small" scale 229 TPD, 2020, 0.5M€2015/TPD ammonia output</t>
  </si>
  <si>
    <t>"Small" scale 458 TPD, 2030, 0.28M€2015/TPD ammonia output</t>
  </si>
  <si>
    <t>Best "Small" scale 229 TPD, 2020, 0.3M€2015/TPD ammonia output</t>
  </si>
  <si>
    <t>Medium "Small" scale 229 TPD, 2020, 0.35M€2015/TPD ammonia output</t>
  </si>
  <si>
    <t>"Small" scale 916 TPD, 2040, 0.23M€2015/TPD ammonia output</t>
  </si>
  <si>
    <t>Best "Small" scale 2290 TPD, 2050, 0.13M€2015/TPD ammonia output</t>
  </si>
  <si>
    <t>"Small" scale 2290 TPD, 2050,  0.18M€2015/TPD ammonia output</t>
  </si>
  <si>
    <t>Worst "Small" scale 2290 TPD, 2050,  0.2M€2015/TPD ammonia output</t>
  </si>
  <si>
    <t>Best case 2020 and 2050: 0.05€2015/t NH3</t>
  </si>
  <si>
    <t>Medium for 2020, 2030,2040,2050: 0.1€2015/t NH3</t>
  </si>
  <si>
    <t>Worst case 2020 and 2050: 0.2€2015/t NH3</t>
  </si>
  <si>
    <t>0.095 m2/kWe</t>
  </si>
  <si>
    <t>m2/ (kgH2/h)</t>
  </si>
  <si>
    <t>Worst case 8 m2/Mwe</t>
  </si>
  <si>
    <t>Best case 6 m2/Mwe</t>
  </si>
  <si>
    <t>2020 best</t>
  </si>
  <si>
    <t xml:space="preserve">2020 medium </t>
  </si>
  <si>
    <t xml:space="preserve">2020 worst </t>
  </si>
  <si>
    <t xml:space="preserve">2050 best </t>
  </si>
  <si>
    <t>2050 medium</t>
  </si>
  <si>
    <t xml:space="preserve">2050 worst </t>
  </si>
  <si>
    <t>m2/MWe</t>
  </si>
  <si>
    <t>m2/(kg H2/h)</t>
  </si>
  <si>
    <t>Natural gas methanol plant 0.01 ha/million litres. CRI Iceland (4000 tpy,0.8 ha) 0.16 ha/million litres (3000 m2/MW). We use CRI in iceland</t>
  </si>
  <si>
    <t>Land use DAC</t>
  </si>
  <si>
    <t>m2/(kg CO2/h)</t>
  </si>
  <si>
    <t>2030 0.1 km2/Mt CO2 output/y</t>
  </si>
  <si>
    <t>2025 worst: 0.1 km2/Mt CO2 output/y</t>
  </si>
  <si>
    <t>2025 medium: 0.1 km2/Mt CO2 output/y</t>
  </si>
  <si>
    <t>2025 best: 0.02 km2/Mt CO2 output/y</t>
  </si>
  <si>
    <t>2040 0.05 km2/Mt CO2 output/y</t>
  </si>
  <si>
    <t>2050 worst 0.05 km2/Mt CO2 output/y</t>
  </si>
  <si>
    <t>2050 medium 0.02 km2/Mt CO2 output/y</t>
  </si>
  <si>
    <t>2050 best 0.002 km2/Mt CO2 output/y</t>
  </si>
  <si>
    <t>m2 / (kg CO2/h)</t>
  </si>
  <si>
    <t>Land use amine CC plant</t>
  </si>
  <si>
    <t>CO₂ output/h], i.e. a 100 t CO₂ output/h CC plant will occupy 4000 m². This will include the basic CC process</t>
  </si>
  <si>
    <t>including chemical storage tanks and substation</t>
  </si>
  <si>
    <t>Additional area will be required for cooling towers or air coolers if no cooling water is available. For CO₂ com-</t>
  </si>
  <si>
    <t>pression and dehydration approximately 12 m²/[t CO₂ output/h] additional is required. If liquefied CO₂ is pro-</t>
  </si>
  <si>
    <t>"An amine CC plant in the size range from 25 to 200 t CO₂ output/h is estimated to occupy an area of 40 m²/[t</t>
  </si>
  <si>
    <t>duced, additional space should be allocated for CO₂ storage tanks and CO₂ export facilities"</t>
  </si>
  <si>
    <t>Noise zone ranges up to 600-800 m from the turbine in worst case</t>
  </si>
  <si>
    <t>Min 2025</t>
  </si>
  <si>
    <t>Bench 2025</t>
  </si>
  <si>
    <t>Max 2025</t>
  </si>
  <si>
    <t>Wikipedia</t>
  </si>
  <si>
    <t>Alta Wind Energy Center 130 km2 for 1550 MW comissioned in 2010</t>
  </si>
  <si>
    <t>Limon III 200 MW for 49600 acres (in 2014)</t>
  </si>
  <si>
    <t>Limon I and II (Denver) 55000 acres for 200 MW (in 2012)</t>
  </si>
  <si>
    <t>Maple ridge wind farm  85 km2 (21000 acres) for 321.75 MW</t>
  </si>
  <si>
    <t>Roscoe wind farm 100000 acres for 781.5 MW</t>
  </si>
  <si>
    <t>Sapphire wind farm 89.21 km2 for 270 MW (2018)</t>
  </si>
  <si>
    <t>Sheperds Flat wind farm (2012), 78 km2 for 845 MW</t>
  </si>
  <si>
    <t>Sherbino wind farm (2011), 20000 acres for 150 MW</t>
  </si>
  <si>
    <t>Shiloh I (2006) 150 MW 6800 acres</t>
  </si>
  <si>
    <t>Shiloh II (2009) 150 MW 6100 acres</t>
  </si>
  <si>
    <t>Shiloh III (2011) 102.5 4600 acres</t>
  </si>
  <si>
    <t>Snowtown wind farm 70.5 acres 370.8 MW</t>
  </si>
  <si>
    <t>Tehachapi pass wind farm 3200 acres for 705 MW (1980)</t>
  </si>
  <si>
    <t>Twin groves 22000 acres (200 acres for turbines only), 396 MW</t>
  </si>
  <si>
    <t>Twin groves 22000 acres , 396 MW</t>
  </si>
  <si>
    <t>Whitelee 2009 55km2 for 539 MW</t>
  </si>
  <si>
    <t>Windy point 230 km2 for 398.8 MW</t>
  </si>
  <si>
    <t>kg CO2/kW</t>
  </si>
  <si>
    <t>m2/kg H2 stored</t>
  </si>
  <si>
    <t>m2/kgH2</t>
  </si>
  <si>
    <t>m2/kWh stored</t>
  </si>
  <si>
    <t>Minimum 5 m2/MWh 2020 of container footprint</t>
  </si>
  <si>
    <t>Maximum 7.5 m2/MWh 2020 of container footprint</t>
  </si>
  <si>
    <t>m2/kWh</t>
  </si>
  <si>
    <t>Natural gas methanol plant 0.01 ha/million litres (CRI footprint /16)</t>
  </si>
  <si>
    <t>2020 conservative land use assumption of 20 MW/km2 (project often reach 50 MW/km2)</t>
  </si>
  <si>
    <t>50 MW/km2</t>
  </si>
  <si>
    <t>28MW/km2 from Mallapraga</t>
  </si>
  <si>
    <t>5 MW/km2 Mallapraga</t>
  </si>
  <si>
    <t>Compressor work (kWh/Nm3 H2)</t>
  </si>
  <si>
    <t>To check</t>
  </si>
  <si>
    <t xml:space="preserve">https://www.energy.gov/eere/fuelcells/doe-technical-targets-hydrogen-delivery </t>
  </si>
  <si>
    <t>"Standard" grid extension fee. Lifetime 30 years.</t>
  </si>
  <si>
    <t>Large-scale hydrogen production via water electrolysis: a techno-economic and environmental assessment</t>
  </si>
  <si>
    <t>Terlouw</t>
  </si>
  <si>
    <t>Jose Thesis</t>
  </si>
  <si>
    <t>kg CO2e/kW/year</t>
  </si>
  <si>
    <t>6.78*10^7 kg CO2eq for a 20 MW solar tower including TES storage system_Row_2021</t>
  </si>
  <si>
    <t>Concentrated solar power plant construction, solar tower power plant, 20 MW_RoW_2021_Consequential</t>
  </si>
  <si>
    <t>Ecoinventcsp</t>
  </si>
  <si>
    <t>Battery pack near future (article from 2022): 210 Wh/kg</t>
  </si>
  <si>
    <t>2030 better lifetime and energy density</t>
  </si>
  <si>
    <t>Bornholmproject</t>
  </si>
  <si>
    <t>2040 av between 2030 and 2050</t>
  </si>
  <si>
    <t>2050 better lifetime</t>
  </si>
  <si>
    <t>Emission battery worst 2020: 100 Wh/kg and 7 years old</t>
  </si>
  <si>
    <t>Emission battery best 2020: 265 Wh/kg and 17 years lifetime</t>
  </si>
  <si>
    <t>Conversion $_€ (1$ = ... €) 2021</t>
  </si>
  <si>
    <t>DE2021</t>
  </si>
  <si>
    <t>CL</t>
  </si>
  <si>
    <t>DK</t>
  </si>
  <si>
    <t>MA</t>
  </si>
  <si>
    <t>AU</t>
  </si>
  <si>
    <t>Chosen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</si>
</sst>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0000"/>
    <numFmt numFmtId="166" formatCode="0.0"/>
    <numFmt numFmtId="167" formatCode="0.00000"/>
    <numFmt numFmtId="168" formatCode="[$€-2]\ #,##0;[Red]\-[$€-2]\ #,##0"/>
    <numFmt numFmtId="169" formatCode="0.000000"/>
  </numFmts>
  <fonts count="28"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sz val="11"/>
      <color rgb="FFFF0000"/>
      <name val="Calibri"/>
      <family val="2"/>
      <scheme val="minor"/>
    </font>
    <font>
      <sz val="11"/>
      <name val="Calibri"/>
      <family val="2"/>
      <scheme val="minor"/>
    </font>
    <font>
      <sz val="11"/>
      <color theme="5"/>
      <name val="Calibri"/>
      <family val="2"/>
      <scheme val="minor"/>
    </font>
    <font>
      <sz val="11"/>
      <color theme="9"/>
      <name val="Calibri"/>
      <family val="2"/>
      <scheme val="minor"/>
    </font>
    <font>
      <sz val="11"/>
      <color theme="1"/>
      <name val="Calibri"/>
      <family val="2"/>
      <scheme val="minor"/>
    </font>
    <font>
      <b/>
      <vertAlign val="superscript"/>
      <sz val="11"/>
      <color theme="1"/>
      <name val="Calibri"/>
      <family val="2"/>
      <scheme val="minor"/>
    </font>
    <font>
      <b/>
      <sz val="11"/>
      <color rgb="FFFF0000"/>
      <name val="Calibri"/>
      <family val="2"/>
      <scheme val="minor"/>
    </font>
    <font>
      <b/>
      <sz val="11"/>
      <name val="Calibri"/>
      <family val="2"/>
      <scheme val="minor"/>
    </font>
    <font>
      <b/>
      <sz val="11"/>
      <color theme="5"/>
      <name val="Calibri"/>
      <family val="2"/>
      <scheme val="minor"/>
    </font>
    <font>
      <sz val="11"/>
      <color theme="1"/>
      <name val="Calibri"/>
      <family val="2"/>
    </font>
    <font>
      <b/>
      <sz val="6"/>
      <color theme="1"/>
      <name val="Calibri"/>
      <family val="2"/>
      <scheme val="minor"/>
    </font>
    <font>
      <sz val="6"/>
      <color theme="1"/>
      <name val="Calibri"/>
      <family val="2"/>
      <scheme val="minor"/>
    </font>
    <font>
      <b/>
      <sz val="6"/>
      <name val="Calibri"/>
      <family val="2"/>
      <scheme val="minor"/>
    </font>
    <font>
      <u/>
      <sz val="11"/>
      <color theme="9"/>
      <name val="Calibri"/>
      <family val="2"/>
      <scheme val="minor"/>
    </font>
    <font>
      <sz val="12"/>
      <color rgb="FF000000"/>
      <name val="Calibri"/>
      <family val="2"/>
      <scheme val="minor"/>
    </font>
    <font>
      <sz val="11"/>
      <color theme="2"/>
      <name val="Calibri"/>
      <family val="2"/>
      <scheme val="minor"/>
    </font>
    <font>
      <u/>
      <sz val="11"/>
      <name val="Calibri"/>
      <family val="2"/>
      <scheme val="minor"/>
    </font>
    <font>
      <sz val="11"/>
      <name val="Calibri"/>
      <family val="2"/>
    </font>
    <font>
      <i/>
      <sz val="11"/>
      <name val="Calibri"/>
      <family val="2"/>
    </font>
    <font>
      <sz val="11"/>
      <color rgb="FF006100"/>
      <name val="Calibri"/>
      <family val="2"/>
      <scheme val="minor"/>
    </font>
    <font>
      <b/>
      <sz val="11"/>
      <color theme="1" tint="0.499984740745262"/>
      <name val="Calibri"/>
      <family val="2"/>
      <scheme val="minor"/>
    </font>
    <font>
      <sz val="8"/>
      <color rgb="FF000000"/>
      <name val="Calibri"/>
      <family val="2"/>
    </font>
    <font>
      <u/>
      <sz val="8"/>
      <color theme="10"/>
      <name val="Calibri"/>
      <family val="2"/>
    </font>
  </fonts>
  <fills count="10">
    <fill>
      <patternFill patternType="none"/>
    </fill>
    <fill>
      <patternFill patternType="gray125"/>
    </fill>
    <fill>
      <patternFill patternType="solid">
        <fgColor theme="6"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C6EFCE"/>
      </patternFill>
    </fill>
    <fill>
      <patternFill patternType="solid">
        <fgColor theme="1"/>
        <bgColor indexed="64"/>
      </patternFill>
    </fill>
  </fills>
  <borders count="5">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4" fillId="0" borderId="0" applyNumberForma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9" fillId="0" borderId="0"/>
    <xf numFmtId="0" fontId="24" fillId="8" borderId="0" applyNumberFormat="0" applyBorder="0" applyAlignment="0" applyProtection="0"/>
    <xf numFmtId="0" fontId="26" fillId="0" borderId="0"/>
    <xf numFmtId="0" fontId="27" fillId="0" borderId="0" applyNumberFormat="0" applyFill="0" applyBorder="0" applyAlignment="0" applyProtection="0"/>
  </cellStyleXfs>
  <cellXfs count="211">
    <xf numFmtId="0" fontId="0" fillId="0" borderId="0" xfId="0"/>
    <xf numFmtId="164" fontId="0" fillId="0" borderId="0" xfId="0" applyNumberFormat="1" applyAlignment="1">
      <alignment horizontal="right"/>
    </xf>
    <xf numFmtId="164" fontId="0" fillId="0" borderId="0" xfId="0" applyNumberFormat="1"/>
    <xf numFmtId="0" fontId="0" fillId="3" borderId="0" xfId="0" applyFill="1"/>
    <xf numFmtId="1" fontId="0" fillId="0" borderId="0" xfId="0" applyNumberFormat="1"/>
    <xf numFmtId="0" fontId="0" fillId="0" borderId="0" xfId="0" applyAlignment="1">
      <alignment horizontal="right"/>
    </xf>
    <xf numFmtId="164" fontId="0" fillId="3" borderId="0" xfId="0" applyNumberFormat="1" applyFill="1"/>
    <xf numFmtId="1" fontId="0" fillId="3" borderId="0" xfId="0" applyNumberFormat="1" applyFill="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4" fillId="0" borderId="0" xfId="1" applyAlignment="1">
      <alignment horizontal="left"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right" vertical="center"/>
    </xf>
    <xf numFmtId="0" fontId="1" fillId="0" borderId="0" xfId="0" applyFont="1"/>
    <xf numFmtId="0" fontId="0" fillId="0" borderId="0" xfId="0" applyAlignment="1">
      <alignment horizontal="left"/>
    </xf>
    <xf numFmtId="0" fontId="1" fillId="0" borderId="0" xfId="0" applyFont="1" applyAlignment="1">
      <alignment horizontal="center"/>
    </xf>
    <xf numFmtId="0" fontId="1" fillId="0" borderId="0" xfId="0" applyFont="1" applyAlignment="1">
      <alignment horizontal="center" vertical="center"/>
    </xf>
    <xf numFmtId="0" fontId="4" fillId="0" borderId="0" xfId="1" applyAlignment="1">
      <alignment horizontal="center"/>
    </xf>
    <xf numFmtId="0" fontId="0" fillId="0" borderId="0" xfId="0" applyAlignment="1">
      <alignment vertical="center"/>
    </xf>
    <xf numFmtId="0" fontId="4" fillId="0" borderId="0" xfId="1" applyAlignment="1">
      <alignment horizontal="center" vertical="center"/>
    </xf>
    <xf numFmtId="9" fontId="0" fillId="0" borderId="0" xfId="0" applyNumberFormat="1"/>
    <xf numFmtId="165" fontId="0" fillId="0" borderId="0" xfId="0" applyNumberFormat="1"/>
    <xf numFmtId="0" fontId="0" fillId="4" borderId="0" xfId="0" applyFill="1" applyAlignment="1">
      <alignment horizontal="center" vertical="center"/>
    </xf>
    <xf numFmtId="0" fontId="0" fillId="4" borderId="0" xfId="0" applyFill="1" applyAlignment="1">
      <alignment horizontal="center"/>
    </xf>
    <xf numFmtId="0" fontId="1" fillId="5" borderId="0" xfId="0" applyFont="1" applyFill="1"/>
    <xf numFmtId="0" fontId="1" fillId="5" borderId="0" xfId="0" applyFont="1" applyFill="1" applyAlignment="1">
      <alignment horizontal="center"/>
    </xf>
    <xf numFmtId="0" fontId="1" fillId="5" borderId="0" xfId="0" applyFont="1" applyFill="1" applyAlignment="1">
      <alignment horizontal="center" vertical="center"/>
    </xf>
    <xf numFmtId="0" fontId="0" fillId="6" borderId="0" xfId="0" applyFill="1"/>
    <xf numFmtId="0" fontId="0" fillId="6" borderId="0" xfId="0" applyFill="1" applyAlignment="1">
      <alignment horizontal="center" vertical="center"/>
    </xf>
    <xf numFmtId="0" fontId="0" fillId="6" borderId="0" xfId="0" applyFill="1" applyAlignment="1">
      <alignment horizontal="center"/>
    </xf>
    <xf numFmtId="0" fontId="1" fillId="7" borderId="0" xfId="0" applyFont="1" applyFill="1" applyAlignment="1">
      <alignment horizontal="center"/>
    </xf>
    <xf numFmtId="0" fontId="1" fillId="7" borderId="0" xfId="0" applyFont="1" applyFill="1"/>
    <xf numFmtId="0" fontId="1" fillId="7" borderId="0" xfId="0" applyFont="1" applyFill="1" applyAlignment="1">
      <alignment horizontal="center" vertical="center"/>
    </xf>
    <xf numFmtId="0" fontId="1" fillId="0" borderId="0" xfId="0" applyFont="1" applyAlignment="1">
      <alignment horizontal="left"/>
    </xf>
    <xf numFmtId="0" fontId="0" fillId="0" borderId="0" xfId="0" applyAlignment="1">
      <alignment vertical="center" wrapText="1"/>
    </xf>
    <xf numFmtId="0" fontId="5" fillId="0" borderId="0" xfId="0" applyFont="1" applyAlignment="1">
      <alignment horizontal="center"/>
    </xf>
    <xf numFmtId="0" fontId="5" fillId="0" borderId="0" xfId="0" applyFont="1" applyAlignment="1">
      <alignment horizontal="right" vertical="center"/>
    </xf>
    <xf numFmtId="0" fontId="5" fillId="0" borderId="0" xfId="0" applyFont="1"/>
    <xf numFmtId="0" fontId="7" fillId="0" borderId="0" xfId="0" applyFont="1" applyAlignment="1">
      <alignment horizontal="center"/>
    </xf>
    <xf numFmtId="0" fontId="7" fillId="0" borderId="0" xfId="0" applyFont="1" applyAlignment="1">
      <alignment horizontal="right" vertical="center"/>
    </xf>
    <xf numFmtId="0" fontId="7" fillId="0" borderId="0" xfId="0" applyFont="1"/>
    <xf numFmtId="0" fontId="8" fillId="0" borderId="0" xfId="0" applyFont="1" applyAlignment="1">
      <alignment horizontal="center"/>
    </xf>
    <xf numFmtId="0" fontId="8" fillId="0" borderId="0" xfId="0" applyFont="1" applyAlignment="1">
      <alignment horizontal="right" vertical="center"/>
    </xf>
    <xf numFmtId="0" fontId="8" fillId="0" borderId="0" xfId="0" applyFont="1"/>
    <xf numFmtId="0" fontId="6" fillId="0" borderId="0" xfId="1" applyFont="1" applyAlignment="1">
      <alignment horizontal="right" vertical="center"/>
    </xf>
    <xf numFmtId="0" fontId="0" fillId="6" borderId="0" xfId="0" applyFill="1" applyAlignment="1">
      <alignment horizontal="right"/>
    </xf>
    <xf numFmtId="0" fontId="1" fillId="7" borderId="0" xfId="0" applyFont="1" applyFill="1" applyAlignment="1">
      <alignment horizontal="right"/>
    </xf>
    <xf numFmtId="0" fontId="1" fillId="0" borderId="0" xfId="0" applyFont="1" applyAlignment="1">
      <alignment horizontal="right"/>
    </xf>
    <xf numFmtId="0" fontId="1" fillId="5" borderId="0" xfId="0" applyFont="1" applyFill="1" applyAlignment="1">
      <alignment horizontal="right"/>
    </xf>
    <xf numFmtId="0" fontId="7" fillId="0" borderId="0" xfId="0" applyFont="1" applyAlignment="1">
      <alignment horizontal="right"/>
    </xf>
    <xf numFmtId="0" fontId="5" fillId="0" borderId="0" xfId="0" applyFont="1" applyAlignment="1">
      <alignment horizontal="right"/>
    </xf>
    <xf numFmtId="0" fontId="8" fillId="0" borderId="0" xfId="0" applyFont="1" applyAlignment="1">
      <alignment horizontal="right"/>
    </xf>
    <xf numFmtId="0" fontId="4" fillId="0" borderId="0" xfId="1" applyAlignment="1">
      <alignment horizontal="right" vertical="center"/>
    </xf>
    <xf numFmtId="0" fontId="1" fillId="7" borderId="0" xfId="0" applyFont="1" applyFill="1" applyAlignment="1">
      <alignment horizontal="center" vertical="center" wrapText="1"/>
    </xf>
    <xf numFmtId="0" fontId="1" fillId="7" borderId="0" xfId="0" applyFont="1" applyFill="1" applyAlignment="1">
      <alignment horizontal="left" vertical="center"/>
    </xf>
    <xf numFmtId="0" fontId="0" fillId="5" borderId="0" xfId="0" applyFill="1" applyAlignment="1">
      <alignment horizontal="right"/>
    </xf>
    <xf numFmtId="0" fontId="6" fillId="0" borderId="0" xfId="0" applyFont="1" applyAlignment="1">
      <alignment horizontal="center"/>
    </xf>
    <xf numFmtId="0" fontId="6" fillId="0" borderId="0" xfId="0" applyFont="1" applyAlignment="1">
      <alignment horizontal="center" vertical="center"/>
    </xf>
    <xf numFmtId="0" fontId="6" fillId="0" borderId="0" xfId="0" applyFont="1"/>
    <xf numFmtId="0" fontId="6" fillId="0" borderId="0" xfId="0" applyFont="1" applyAlignment="1">
      <alignment horizontal="right"/>
    </xf>
    <xf numFmtId="0" fontId="6" fillId="0" borderId="0" xfId="0" applyFont="1" applyAlignment="1">
      <alignment horizontal="right" vertical="center"/>
    </xf>
    <xf numFmtId="0" fontId="0" fillId="7" borderId="0" xfId="0" applyFill="1" applyAlignment="1">
      <alignment horizontal="center"/>
    </xf>
    <xf numFmtId="0" fontId="6" fillId="0" borderId="0" xfId="1" applyFont="1" applyAlignment="1">
      <alignment horizontal="right"/>
    </xf>
    <xf numFmtId="9" fontId="0" fillId="3" borderId="0" xfId="0" applyNumberFormat="1" applyFill="1"/>
    <xf numFmtId="0" fontId="1" fillId="4" borderId="0" xfId="0" applyFont="1" applyFill="1"/>
    <xf numFmtId="0" fontId="0" fillId="4" borderId="0" xfId="0" applyFill="1"/>
    <xf numFmtId="0" fontId="1" fillId="4" borderId="0" xfId="0" applyFont="1" applyFill="1" applyAlignment="1">
      <alignment horizontal="center"/>
    </xf>
    <xf numFmtId="0" fontId="1" fillId="4" borderId="0" xfId="0" applyFont="1" applyFill="1" applyAlignment="1">
      <alignment horizontal="center" vertical="center"/>
    </xf>
    <xf numFmtId="0" fontId="1" fillId="4" borderId="0" xfId="0" applyFont="1" applyFill="1" applyAlignment="1">
      <alignment horizontal="right"/>
    </xf>
    <xf numFmtId="0" fontId="1" fillId="6" borderId="0" xfId="0" applyFont="1" applyFill="1"/>
    <xf numFmtId="0" fontId="0" fillId="7" borderId="0" xfId="0" applyFill="1" applyAlignment="1">
      <alignment horizontal="right"/>
    </xf>
    <xf numFmtId="0" fontId="0" fillId="7" borderId="0" xfId="0" applyFill="1"/>
    <xf numFmtId="0" fontId="4" fillId="0" borderId="0" xfId="1"/>
    <xf numFmtId="0" fontId="1" fillId="5" borderId="0" xfId="0" applyFont="1" applyFill="1" applyAlignment="1">
      <alignment horizontal="left"/>
    </xf>
    <xf numFmtId="16" fontId="0" fillId="0" borderId="0" xfId="0" applyNumberFormat="1" applyAlignment="1">
      <alignment horizontal="right"/>
    </xf>
    <xf numFmtId="9" fontId="0" fillId="0" borderId="0" xfId="0" applyNumberFormat="1" applyAlignment="1">
      <alignment horizontal="right" vertical="center"/>
    </xf>
    <xf numFmtId="9" fontId="0" fillId="0" borderId="0" xfId="0" applyNumberFormat="1" applyAlignment="1">
      <alignment horizontal="right"/>
    </xf>
    <xf numFmtId="9" fontId="0" fillId="0" borderId="0" xfId="2" applyFont="1"/>
    <xf numFmtId="9" fontId="0" fillId="0" borderId="0" xfId="2" applyFont="1" applyAlignment="1">
      <alignment horizontal="right" vertical="center"/>
    </xf>
    <xf numFmtId="9" fontId="0" fillId="0" borderId="0" xfId="2" applyFont="1" applyFill="1" applyAlignment="1">
      <alignment horizontal="right"/>
    </xf>
    <xf numFmtId="0" fontId="0" fillId="0" borderId="0" xfId="2" applyNumberFormat="1" applyFont="1"/>
    <xf numFmtId="0" fontId="1" fillId="0" borderId="0" xfId="0" applyFont="1" applyAlignment="1">
      <alignment horizontal="center" vertical="center" wrapText="1"/>
    </xf>
    <xf numFmtId="0" fontId="0" fillId="7" borderId="0" xfId="0" applyFill="1" applyAlignment="1">
      <alignment horizontal="center" vertical="center"/>
    </xf>
    <xf numFmtId="0" fontId="11" fillId="4" borderId="0" xfId="0" applyFont="1" applyFill="1" applyAlignment="1">
      <alignment horizontal="center" vertical="center" wrapText="1"/>
    </xf>
    <xf numFmtId="0" fontId="11" fillId="4" borderId="0" xfId="0" applyFont="1" applyFill="1" applyAlignment="1">
      <alignment horizontal="center" vertical="center"/>
    </xf>
    <xf numFmtId="0" fontId="12" fillId="0" borderId="0" xfId="0" applyFont="1" applyAlignment="1">
      <alignment horizontal="center"/>
    </xf>
    <xf numFmtId="0" fontId="11" fillId="0" borderId="0" xfId="0" applyFont="1"/>
    <xf numFmtId="0" fontId="11" fillId="0" borderId="0" xfId="0" applyFont="1" applyAlignment="1">
      <alignment horizontal="center" vertical="center" wrapText="1"/>
    </xf>
    <xf numFmtId="0" fontId="5" fillId="0" borderId="0" xfId="0" applyFont="1" applyAlignment="1">
      <alignment vertical="center"/>
    </xf>
    <xf numFmtId="0" fontId="0" fillId="6" borderId="0" xfId="0" applyFill="1" applyAlignment="1">
      <alignment horizontal="right" vertical="center"/>
    </xf>
    <xf numFmtId="0" fontId="1" fillId="7" borderId="0" xfId="0" applyFont="1" applyFill="1" applyAlignment="1">
      <alignment horizontal="right" vertical="center"/>
    </xf>
    <xf numFmtId="0" fontId="0" fillId="4" borderId="0" xfId="0" applyFill="1" applyAlignment="1">
      <alignment horizontal="right" vertical="center"/>
    </xf>
    <xf numFmtId="0" fontId="1" fillId="5" borderId="0" xfId="0" applyFont="1" applyFill="1" applyAlignment="1">
      <alignment horizontal="right" vertical="center"/>
    </xf>
    <xf numFmtId="0" fontId="1" fillId="0" borderId="0" xfId="0" applyFont="1" applyAlignment="1">
      <alignment horizontal="right" vertical="center"/>
    </xf>
    <xf numFmtId="9" fontId="6" fillId="0" borderId="0" xfId="0" applyNumberFormat="1" applyFont="1"/>
    <xf numFmtId="0" fontId="15" fillId="0" borderId="1" xfId="0" applyFont="1" applyBorder="1" applyAlignment="1">
      <alignment horizontal="center"/>
    </xf>
    <xf numFmtId="9" fontId="16" fillId="0" borderId="0" xfId="0" applyNumberFormat="1" applyFont="1"/>
    <xf numFmtId="0" fontId="16" fillId="0" borderId="0" xfId="0" applyFont="1"/>
    <xf numFmtId="0" fontId="17" fillId="0" borderId="1" xfId="0" applyFont="1" applyBorder="1" applyAlignment="1">
      <alignment horizontal="center"/>
    </xf>
    <xf numFmtId="0" fontId="15" fillId="0" borderId="4" xfId="0" applyFont="1" applyBorder="1" applyAlignment="1">
      <alignment horizontal="center"/>
    </xf>
    <xf numFmtId="9" fontId="16" fillId="0" borderId="3" xfId="0" applyNumberFormat="1" applyFont="1" applyBorder="1"/>
    <xf numFmtId="0" fontId="16" fillId="0" borderId="3" xfId="0" applyFont="1" applyBorder="1"/>
    <xf numFmtId="0" fontId="4" fillId="0" borderId="1" xfId="1" applyBorder="1"/>
    <xf numFmtId="0" fontId="0" fillId="0" borderId="1" xfId="0" applyBorder="1"/>
    <xf numFmtId="0" fontId="0" fillId="0" borderId="3" xfId="0" applyBorder="1"/>
    <xf numFmtId="165" fontId="16" fillId="0" borderId="0" xfId="0" applyNumberFormat="1" applyFont="1"/>
    <xf numFmtId="0" fontId="16" fillId="0" borderId="3" xfId="0" applyFont="1" applyBorder="1" applyAlignment="1">
      <alignment horizontal="center" vertical="center"/>
    </xf>
    <xf numFmtId="0" fontId="1" fillId="0" borderId="3" xfId="0" applyFont="1" applyBorder="1" applyAlignment="1">
      <alignment horizontal="center" vertical="center" wrapText="1"/>
    </xf>
    <xf numFmtId="0" fontId="1" fillId="4" borderId="0" xfId="0" applyFont="1" applyFill="1" applyAlignment="1">
      <alignment horizontal="left"/>
    </xf>
    <xf numFmtId="0" fontId="0" fillId="5" borderId="0" xfId="0" applyFill="1" applyAlignment="1">
      <alignment horizontal="left"/>
    </xf>
    <xf numFmtId="10" fontId="0" fillId="0" borderId="0" xfId="0" applyNumberFormat="1" applyAlignment="1">
      <alignment horizontal="right"/>
    </xf>
    <xf numFmtId="9" fontId="0" fillId="0" borderId="0" xfId="2" applyFont="1" applyAlignment="1">
      <alignment horizontal="right"/>
    </xf>
    <xf numFmtId="165" fontId="0" fillId="0" borderId="0" xfId="0" applyNumberFormat="1" applyAlignment="1">
      <alignment horizontal="right"/>
    </xf>
    <xf numFmtId="0" fontId="1" fillId="4" borderId="0" xfId="0" applyFont="1" applyFill="1" applyAlignment="1">
      <alignment horizontal="right" vertical="center"/>
    </xf>
    <xf numFmtId="0" fontId="8" fillId="0" borderId="0" xfId="0" applyFont="1" applyAlignment="1">
      <alignment horizontal="left"/>
    </xf>
    <xf numFmtId="0" fontId="8" fillId="0" borderId="0" xfId="0" applyFont="1" applyAlignment="1">
      <alignment wrapText="1"/>
    </xf>
    <xf numFmtId="0" fontId="6" fillId="0" borderId="0" xfId="0" applyFont="1" applyAlignment="1">
      <alignment horizontal="left"/>
    </xf>
    <xf numFmtId="0" fontId="6" fillId="0" borderId="0" xfId="0" applyFont="1" applyAlignment="1">
      <alignment wrapText="1"/>
    </xf>
    <xf numFmtId="0" fontId="1" fillId="7" borderId="0" xfId="0" applyFont="1" applyFill="1" applyAlignment="1">
      <alignment horizontal="left"/>
    </xf>
    <xf numFmtId="0" fontId="0" fillId="7" borderId="0" xfId="0" applyFill="1" applyAlignment="1">
      <alignment horizontal="right" vertical="center"/>
    </xf>
    <xf numFmtId="0" fontId="8" fillId="0" borderId="0" xfId="1" applyFont="1" applyAlignment="1">
      <alignment horizontal="right" vertical="center"/>
    </xf>
    <xf numFmtId="0" fontId="8" fillId="0" borderId="0" xfId="0" applyFont="1" applyAlignment="1">
      <alignment horizontal="left" vertical="center"/>
    </xf>
    <xf numFmtId="0" fontId="8" fillId="0" borderId="0" xfId="0" applyFont="1" applyAlignment="1">
      <alignment vertical="center"/>
    </xf>
    <xf numFmtId="0" fontId="18" fillId="0" borderId="0" xfId="1" applyFont="1" applyAlignment="1">
      <alignment horizontal="center" vertical="center"/>
    </xf>
    <xf numFmtId="2" fontId="0" fillId="0" borderId="0" xfId="0" applyNumberFormat="1"/>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center" vertical="center" wrapText="1"/>
    </xf>
    <xf numFmtId="0" fontId="19" fillId="0" borderId="0" xfId="0" applyFont="1" applyAlignment="1">
      <alignment horizontal="center"/>
    </xf>
    <xf numFmtId="164" fontId="6" fillId="3" borderId="0" xfId="0" applyNumberFormat="1" applyFont="1" applyFill="1" applyAlignment="1">
      <alignment horizontal="right"/>
    </xf>
    <xf numFmtId="164" fontId="0" fillId="3" borderId="0" xfId="0" applyNumberFormat="1" applyFill="1" applyAlignment="1">
      <alignment horizontal="right"/>
    </xf>
    <xf numFmtId="164" fontId="6" fillId="0" borderId="0" xfId="0" applyNumberFormat="1" applyFont="1" applyAlignment="1">
      <alignment horizontal="right"/>
    </xf>
    <xf numFmtId="0" fontId="6" fillId="3" borderId="0" xfId="0" applyFont="1" applyFill="1"/>
    <xf numFmtId="166" fontId="0" fillId="0" borderId="0" xfId="0" applyNumberFormat="1"/>
    <xf numFmtId="166" fontId="1" fillId="0" borderId="0" xfId="0" applyNumberFormat="1" applyFont="1"/>
    <xf numFmtId="0" fontId="20" fillId="0" borderId="0" xfId="0" applyFont="1"/>
    <xf numFmtId="0" fontId="20" fillId="0" borderId="0" xfId="0" applyFont="1" applyAlignment="1">
      <alignment horizontal="center"/>
    </xf>
    <xf numFmtId="0" fontId="20" fillId="0" borderId="0" xfId="0" applyFont="1" applyAlignment="1">
      <alignment horizontal="right"/>
    </xf>
    <xf numFmtId="0" fontId="21" fillId="0" borderId="0" xfId="1" applyFont="1" applyAlignment="1">
      <alignment horizontal="center" vertical="center"/>
    </xf>
    <xf numFmtId="1" fontId="0" fillId="0" borderId="0" xfId="0" applyNumberFormat="1" applyAlignment="1">
      <alignment horizontal="right"/>
    </xf>
    <xf numFmtId="1" fontId="0" fillId="0" borderId="0" xfId="0" applyNumberFormat="1" applyAlignment="1">
      <alignment horizontal="right" vertical="center"/>
    </xf>
    <xf numFmtId="9" fontId="8" fillId="0" borderId="0" xfId="0" applyNumberFormat="1" applyFont="1"/>
    <xf numFmtId="0" fontId="6" fillId="0" borderId="0" xfId="2" applyNumberFormat="1" applyFont="1"/>
    <xf numFmtId="0" fontId="16" fillId="0" borderId="4" xfId="0" applyFont="1" applyBorder="1" applyAlignment="1">
      <alignment horizontal="center" vertical="center"/>
    </xf>
    <xf numFmtId="0" fontId="16" fillId="0" borderId="1" xfId="0" applyFont="1" applyBorder="1"/>
    <xf numFmtId="9" fontId="16" fillId="0" borderId="1" xfId="0" applyNumberFormat="1" applyFont="1" applyBorder="1"/>
    <xf numFmtId="9" fontId="6" fillId="0" borderId="0" xfId="0" applyNumberFormat="1" applyFont="1" applyAlignment="1">
      <alignment horizontal="right"/>
    </xf>
    <xf numFmtId="9" fontId="8" fillId="0" borderId="0" xfId="0" applyNumberFormat="1" applyFont="1" applyAlignment="1">
      <alignment horizontal="right"/>
    </xf>
    <xf numFmtId="165" fontId="16" fillId="0" borderId="1" xfId="0" applyNumberFormat="1" applyFont="1" applyBorder="1"/>
    <xf numFmtId="2" fontId="0" fillId="0" borderId="0" xfId="0" applyNumberFormat="1" applyAlignment="1">
      <alignment horizontal="center" vertical="center"/>
    </xf>
    <xf numFmtId="43" fontId="0" fillId="0" borderId="0" xfId="3" applyFont="1"/>
    <xf numFmtId="0" fontId="15" fillId="0" borderId="1" xfId="0" applyFont="1" applyBorder="1" applyAlignment="1">
      <alignment horizontal="center" vertical="center"/>
    </xf>
    <xf numFmtId="166" fontId="0" fillId="0" borderId="0" xfId="0" applyNumberFormat="1" applyAlignment="1">
      <alignment horizontal="center" vertical="center"/>
    </xf>
    <xf numFmtId="167" fontId="0" fillId="0" borderId="0" xfId="0" applyNumberFormat="1" applyAlignment="1">
      <alignment horizontal="center" vertical="center"/>
    </xf>
    <xf numFmtId="1" fontId="0" fillId="0" borderId="0" xfId="0" applyNumberFormat="1" applyAlignment="1">
      <alignment horizontal="center" vertical="center"/>
    </xf>
    <xf numFmtId="0" fontId="15" fillId="0" borderId="1" xfId="0" applyFont="1" applyBorder="1" applyAlignment="1">
      <alignment horizontal="center" vertical="center" wrapText="1"/>
    </xf>
    <xf numFmtId="0" fontId="16" fillId="0" borderId="0" xfId="0" applyFont="1" applyAlignment="1">
      <alignment horizontal="right" vertical="center"/>
    </xf>
    <xf numFmtId="168" fontId="6" fillId="0" borderId="0" xfId="0" applyNumberFormat="1" applyFont="1" applyAlignment="1">
      <alignment horizontal="left"/>
    </xf>
    <xf numFmtId="1" fontId="6" fillId="0" borderId="0" xfId="0" applyNumberFormat="1" applyFont="1"/>
    <xf numFmtId="1" fontId="6" fillId="0" borderId="0" xfId="0" applyNumberFormat="1" applyFont="1" applyAlignment="1">
      <alignment horizontal="right"/>
    </xf>
    <xf numFmtId="167" fontId="0" fillId="0" borderId="0" xfId="0" applyNumberFormat="1" applyAlignment="1">
      <alignment horizontal="right"/>
    </xf>
    <xf numFmtId="2" fontId="0" fillId="0" borderId="0" xfId="0" applyNumberFormat="1" applyAlignment="1">
      <alignment horizontal="right"/>
    </xf>
    <xf numFmtId="0" fontId="5" fillId="0" borderId="0" xfId="0" applyFont="1" applyAlignment="1">
      <alignment horizontal="left"/>
    </xf>
    <xf numFmtId="2" fontId="0" fillId="0" borderId="0" xfId="0" applyNumberFormat="1" applyAlignment="1">
      <alignment horizontal="right" vertical="center"/>
    </xf>
    <xf numFmtId="2" fontId="9" fillId="0" borderId="0" xfId="4" applyNumberFormat="1"/>
    <xf numFmtId="0" fontId="0" fillId="0" borderId="0" xfId="4" applyFont="1"/>
    <xf numFmtId="0" fontId="22" fillId="0" borderId="0" xfId="0" applyFont="1" applyAlignment="1">
      <alignment vertical="center"/>
    </xf>
    <xf numFmtId="0" fontId="16" fillId="0" borderId="1" xfId="0" applyFont="1" applyBorder="1" applyAlignment="1">
      <alignment horizontal="right" vertical="center"/>
    </xf>
    <xf numFmtId="169" fontId="0" fillId="0" borderId="0" xfId="0" applyNumberFormat="1"/>
    <xf numFmtId="169" fontId="0" fillId="0" borderId="0" xfId="0" applyNumberFormat="1" applyAlignment="1">
      <alignment horizontal="right"/>
    </xf>
    <xf numFmtId="164" fontId="0" fillId="0" borderId="0" xfId="0" applyNumberFormat="1" applyAlignment="1">
      <alignment horizontal="center"/>
    </xf>
    <xf numFmtId="164" fontId="0" fillId="0" borderId="0" xfId="2" applyNumberFormat="1" applyFont="1" applyAlignment="1">
      <alignment horizontal="center"/>
    </xf>
    <xf numFmtId="0" fontId="0" fillId="0" borderId="0" xfId="2" applyNumberFormat="1" applyFont="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0" fontId="11" fillId="0" borderId="0" xfId="0" applyFont="1" applyAlignment="1">
      <alignment horizontal="center" vertical="center"/>
    </xf>
    <xf numFmtId="1" fontId="1" fillId="0" borderId="0" xfId="0" applyNumberFormat="1" applyFont="1" applyAlignment="1">
      <alignment horizontal="center"/>
    </xf>
    <xf numFmtId="166" fontId="1" fillId="0" borderId="0" xfId="0" applyNumberFormat="1" applyFont="1" applyAlignment="1">
      <alignment horizontal="center"/>
    </xf>
    <xf numFmtId="0" fontId="11" fillId="0" borderId="0" xfId="0" applyFont="1" applyAlignment="1">
      <alignment horizontal="center"/>
    </xf>
    <xf numFmtId="10" fontId="0" fillId="0" borderId="0" xfId="0" applyNumberFormat="1"/>
    <xf numFmtId="10" fontId="0" fillId="3" borderId="0" xfId="0" applyNumberFormat="1" applyFill="1"/>
    <xf numFmtId="0" fontId="25" fillId="9" borderId="0" xfId="0" applyFont="1" applyFill="1" applyAlignment="1">
      <alignment horizontal="center" vertical="center" wrapText="1"/>
    </xf>
    <xf numFmtId="0" fontId="25" fillId="9" borderId="0" xfId="0" applyFont="1" applyFill="1"/>
    <xf numFmtId="0" fontId="12" fillId="0" borderId="0" xfId="0" applyFont="1" applyAlignment="1">
      <alignment horizontal="center" vertical="center" wrapText="1"/>
    </xf>
    <xf numFmtId="0" fontId="12" fillId="0" borderId="0" xfId="0" applyFont="1"/>
    <xf numFmtId="0" fontId="0" fillId="0" borderId="0" xfId="2" quotePrefix="1" applyNumberFormat="1" applyFont="1"/>
    <xf numFmtId="0" fontId="0" fillId="0" borderId="0" xfId="0" applyAlignment="1">
      <alignment horizontal="center" wrapText="1"/>
    </xf>
    <xf numFmtId="168" fontId="6" fillId="0" borderId="0" xfId="0" applyNumberFormat="1" applyFont="1"/>
    <xf numFmtId="0" fontId="0" fillId="0" borderId="0" xfId="0" applyAlignment="1">
      <alignment horizontal="center"/>
    </xf>
    <xf numFmtId="0" fontId="1" fillId="7" borderId="0" xfId="0" applyFont="1" applyFill="1" applyAlignment="1">
      <alignment horizontal="left"/>
    </xf>
    <xf numFmtId="0" fontId="0" fillId="0" borderId="0" xfId="0" applyAlignment="1">
      <alignment horizontal="left"/>
    </xf>
    <xf numFmtId="0" fontId="12" fillId="5" borderId="0" xfId="5" applyFont="1" applyFill="1" applyAlignment="1">
      <alignment horizontal="center"/>
    </xf>
    <xf numFmtId="0" fontId="1" fillId="2" borderId="0" xfId="0" applyFont="1" applyFill="1" applyAlignment="1">
      <alignment horizontal="center"/>
    </xf>
    <xf numFmtId="0" fontId="4" fillId="0" borderId="0" xfId="1" applyAlignment="1">
      <alignment horizontal="center" vertical="center"/>
    </xf>
    <xf numFmtId="0" fontId="15" fillId="0" borderId="2" xfId="0" applyFont="1" applyBorder="1" applyAlignment="1">
      <alignment horizontal="center" vertical="center"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4" xfId="0" applyFont="1" applyBorder="1" applyAlignment="1">
      <alignment horizontal="center" vertical="center" wrapText="1"/>
    </xf>
    <xf numFmtId="0" fontId="13" fillId="0" borderId="0" xfId="0" applyFont="1" applyAlignment="1">
      <alignment horizontal="center" vertical="center" textRotation="90"/>
    </xf>
    <xf numFmtId="0" fontId="11" fillId="0" borderId="0" xfId="0" applyFont="1" applyAlignment="1">
      <alignment horizontal="center"/>
    </xf>
    <xf numFmtId="0" fontId="0" fillId="0" borderId="0" xfId="0" applyAlignment="1">
      <alignment horizontal="center" vertical="center"/>
    </xf>
    <xf numFmtId="0" fontId="1" fillId="6" borderId="0" xfId="0" applyFont="1" applyFill="1" applyAlignment="1">
      <alignment horizontal="left"/>
    </xf>
    <xf numFmtId="0" fontId="0" fillId="0" borderId="0" xfId="0" applyAlignment="1">
      <alignment horizontal="center" vertical="center" wrapText="1"/>
    </xf>
    <xf numFmtId="0" fontId="1" fillId="4" borderId="0" xfId="0" applyFont="1" applyFill="1" applyAlignment="1">
      <alignment horizontal="left"/>
    </xf>
    <xf numFmtId="166" fontId="1" fillId="0" borderId="0" xfId="0" applyNumberFormat="1" applyFont="1" applyAlignment="1">
      <alignment horizontal="center"/>
    </xf>
    <xf numFmtId="0" fontId="1" fillId="0" borderId="0" xfId="0" applyFont="1" applyAlignment="1">
      <alignment horizontal="center"/>
    </xf>
    <xf numFmtId="10" fontId="16" fillId="0" borderId="0" xfId="0" applyNumberFormat="1" applyFont="1"/>
    <xf numFmtId="167" fontId="16" fillId="0" borderId="0" xfId="0" applyNumberFormat="1" applyFont="1"/>
  </cellXfs>
  <cellStyles count="8">
    <cellStyle name="Comma" xfId="3" builtinId="3"/>
    <cellStyle name="Good" xfId="5" builtinId="26"/>
    <cellStyle name="Hyperlink" xfId="1" builtinId="8"/>
    <cellStyle name="Hyperlink 2" xfId="7" xr:uid="{00000000-0005-0000-0000-000003000000}"/>
    <cellStyle name="Normal" xfId="0" builtinId="0"/>
    <cellStyle name="Normal 2" xfId="4" xr:uid="{00000000-0005-0000-0000-000005000000}"/>
    <cellStyle name="Normal 3" xfId="6" xr:uid="{00000000-0005-0000-0000-000006000000}"/>
    <cellStyle name="Percent" xfId="2" builtinId="5"/>
  </cellStyles>
  <dxfs count="6">
    <dxf>
      <font>
        <color theme="9"/>
      </font>
    </dxf>
    <dxf>
      <font>
        <color rgb="FFFF0000"/>
      </font>
    </dxf>
    <dxf>
      <font>
        <color rgb="FFFF0000"/>
      </font>
      <fill>
        <patternFill patternType="none">
          <bgColor auto="1"/>
        </patternFill>
      </fill>
    </dxf>
    <dxf>
      <font>
        <color theme="9"/>
      </font>
      <fill>
        <patternFill patternType="none">
          <bgColor auto="1"/>
        </patternFill>
      </fill>
    </dxf>
    <dxf>
      <font>
        <color theme="9"/>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a:t>
            </a:r>
            <a:r>
              <a:rPr lang="en-US" baseline="0"/>
              <a:t> cost of a</a:t>
            </a:r>
            <a:r>
              <a:rPr lang="en-US"/>
              <a:t>mmonia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barChart>
        <c:barDir val="col"/>
        <c:grouping val="stacked"/>
        <c:varyColors val="0"/>
        <c:ser>
          <c:idx val="0"/>
          <c:order val="0"/>
          <c:tx>
            <c:strRef>
              <c:f>'Fuel cost graphs'!$K$3</c:f>
              <c:strCache>
                <c:ptCount val="1"/>
                <c:pt idx="0">
                  <c:v>Value min</c:v>
                </c:pt>
              </c:strCache>
            </c:strRef>
          </c:tx>
          <c:spPr>
            <a:noFill/>
            <a:ln>
              <a:noFill/>
            </a:ln>
            <a:effectLst/>
          </c:spPr>
          <c:invertIfNegative val="0"/>
          <c:cat>
            <c:strRef>
              <c:f>'Fuel cost graphs'!$D$4:$D$15</c:f>
              <c:strCache>
                <c:ptCount val="12"/>
                <c:pt idx="0">
                  <c:v>_0</c:v>
                </c:pt>
                <c:pt idx="1">
                  <c:v>_0</c:v>
                </c:pt>
                <c:pt idx="2">
                  <c:v>Armijo_2020</c:v>
                </c:pt>
                <c:pt idx="3">
                  <c:v>Armijo_2020</c:v>
                </c:pt>
                <c:pt idx="4">
                  <c:v>_2015</c:v>
                </c:pt>
                <c:pt idx="5">
                  <c:v>_2019</c:v>
                </c:pt>
                <c:pt idx="6">
                  <c:v>_2020</c:v>
                </c:pt>
                <c:pt idx="7">
                  <c:v>#N/A</c:v>
                </c:pt>
                <c:pt idx="8">
                  <c:v>_2025</c:v>
                </c:pt>
                <c:pt idx="9">
                  <c:v>_2040</c:v>
                </c:pt>
                <c:pt idx="10">
                  <c:v>#N/A</c:v>
                </c:pt>
                <c:pt idx="11">
                  <c:v>_2050</c:v>
                </c:pt>
              </c:strCache>
            </c:strRef>
          </c:cat>
          <c:val>
            <c:numRef>
              <c:f>'Fuel cost graphs'!$K$4:$K$15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7B3-4574-A8BB-83926FF5751E}"/>
            </c:ext>
          </c:extLst>
        </c:ser>
        <c:ser>
          <c:idx val="1"/>
          <c:order val="1"/>
          <c:tx>
            <c:strRef>
              <c:f>'Fuel cost graphs'!$M$3</c:f>
              <c:strCache>
                <c:ptCount val="1"/>
                <c:pt idx="0">
                  <c:v>Difference</c:v>
                </c:pt>
              </c:strCache>
            </c:strRef>
          </c:tx>
          <c:spPr>
            <a:solidFill>
              <a:schemeClr val="accent1"/>
            </a:solidFill>
            <a:ln>
              <a:solidFill>
                <a:schemeClr val="accent1"/>
              </a:solidFill>
            </a:ln>
            <a:effectLst/>
          </c:spPr>
          <c:invertIfNegative val="0"/>
          <c:cat>
            <c:strRef>
              <c:f>'Fuel cost graphs'!$D$4:$D$15</c:f>
              <c:strCache>
                <c:ptCount val="12"/>
                <c:pt idx="0">
                  <c:v>_0</c:v>
                </c:pt>
                <c:pt idx="1">
                  <c:v>_0</c:v>
                </c:pt>
                <c:pt idx="2">
                  <c:v>Armijo_2020</c:v>
                </c:pt>
                <c:pt idx="3">
                  <c:v>Armijo_2020</c:v>
                </c:pt>
                <c:pt idx="4">
                  <c:v>_2015</c:v>
                </c:pt>
                <c:pt idx="5">
                  <c:v>_2019</c:v>
                </c:pt>
                <c:pt idx="6">
                  <c:v>_2020</c:v>
                </c:pt>
                <c:pt idx="7">
                  <c:v>#N/A</c:v>
                </c:pt>
                <c:pt idx="8">
                  <c:v>_2025</c:v>
                </c:pt>
                <c:pt idx="9">
                  <c:v>_2040</c:v>
                </c:pt>
                <c:pt idx="10">
                  <c:v>#N/A</c:v>
                </c:pt>
                <c:pt idx="11">
                  <c:v>_2050</c:v>
                </c:pt>
              </c:strCache>
            </c:strRef>
          </c:cat>
          <c:val>
            <c:numRef>
              <c:f>'Fuel cost graphs'!$M$4:$M$15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7B3-4574-A8BB-83926FF5751E}"/>
            </c:ext>
          </c:extLst>
        </c:ser>
        <c:dLbls>
          <c:showLegendKey val="0"/>
          <c:showVal val="0"/>
          <c:showCatName val="0"/>
          <c:showSerName val="0"/>
          <c:showPercent val="0"/>
          <c:showBubbleSize val="0"/>
        </c:dLbls>
        <c:gapWidth val="150"/>
        <c:overlap val="100"/>
        <c:axId val="516698272"/>
        <c:axId val="516698600"/>
      </c:barChart>
      <c:lineChart>
        <c:grouping val="standard"/>
        <c:varyColors val="0"/>
        <c:ser>
          <c:idx val="2"/>
          <c:order val="2"/>
          <c:tx>
            <c:strRef>
              <c:f>'Fuel cost graphs'!$N$3</c:f>
              <c:strCache>
                <c:ptCount val="1"/>
                <c:pt idx="0">
                  <c:v>Market price VLSFO 0.5% S</c:v>
                </c:pt>
              </c:strCache>
            </c:strRef>
          </c:tx>
          <c:spPr>
            <a:ln w="12700" cap="rnd">
              <a:solidFill>
                <a:srgbClr val="FF0000"/>
              </a:solidFill>
              <a:round/>
            </a:ln>
            <a:effectLst/>
          </c:spPr>
          <c:marker>
            <c:symbol val="none"/>
          </c:marker>
          <c:cat>
            <c:strRef>
              <c:f>'Fuel cost graphs'!$D$4:$D$15</c:f>
              <c:strCache>
                <c:ptCount val="12"/>
                <c:pt idx="0">
                  <c:v>_0</c:v>
                </c:pt>
                <c:pt idx="1">
                  <c:v>_0</c:v>
                </c:pt>
                <c:pt idx="2">
                  <c:v>Armijo_2020</c:v>
                </c:pt>
                <c:pt idx="3">
                  <c:v>Armijo_2020</c:v>
                </c:pt>
                <c:pt idx="4">
                  <c:v>_2015</c:v>
                </c:pt>
                <c:pt idx="5">
                  <c:v>_2019</c:v>
                </c:pt>
                <c:pt idx="6">
                  <c:v>_2020</c:v>
                </c:pt>
                <c:pt idx="7">
                  <c:v>#N/A</c:v>
                </c:pt>
                <c:pt idx="8">
                  <c:v>_2025</c:v>
                </c:pt>
                <c:pt idx="9">
                  <c:v>_2040</c:v>
                </c:pt>
                <c:pt idx="10">
                  <c:v>#N/A</c:v>
                </c:pt>
                <c:pt idx="11">
                  <c:v>_2050</c:v>
                </c:pt>
              </c:strCache>
            </c:strRef>
          </c:cat>
          <c:val>
            <c:numRef>
              <c:f>'Fuel cost graphs'!$N$4:$N$15</c:f>
              <c:numCache>
                <c:formatCode>0</c:formatCode>
                <c:ptCount val="12"/>
                <c:pt idx="0">
                  <c:v>38</c:v>
                </c:pt>
                <c:pt idx="1">
                  <c:v>38</c:v>
                </c:pt>
                <c:pt idx="2">
                  <c:v>38</c:v>
                </c:pt>
                <c:pt idx="3">
                  <c:v>38</c:v>
                </c:pt>
                <c:pt idx="4">
                  <c:v>38</c:v>
                </c:pt>
                <c:pt idx="5">
                  <c:v>38</c:v>
                </c:pt>
                <c:pt idx="6">
                  <c:v>38</c:v>
                </c:pt>
                <c:pt idx="7">
                  <c:v>38</c:v>
                </c:pt>
                <c:pt idx="8">
                  <c:v>38</c:v>
                </c:pt>
                <c:pt idx="9">
                  <c:v>38</c:v>
                </c:pt>
                <c:pt idx="10">
                  <c:v>38</c:v>
                </c:pt>
                <c:pt idx="11">
                  <c:v>38</c:v>
                </c:pt>
              </c:numCache>
            </c:numRef>
          </c:val>
          <c:smooth val="0"/>
          <c:extLst>
            <c:ext xmlns:c16="http://schemas.microsoft.com/office/drawing/2014/chart" uri="{C3380CC4-5D6E-409C-BE32-E72D297353CC}">
              <c16:uniqueId val="{00000000-6640-4884-B685-A926A373E7A1}"/>
            </c:ext>
          </c:extLst>
        </c:ser>
        <c:dLbls>
          <c:showLegendKey val="0"/>
          <c:showVal val="0"/>
          <c:showCatName val="0"/>
          <c:showSerName val="0"/>
          <c:showPercent val="0"/>
          <c:showBubbleSize val="0"/>
        </c:dLbls>
        <c:marker val="1"/>
        <c:smooth val="0"/>
        <c:axId val="516698272"/>
        <c:axId val="516698600"/>
      </c:lineChart>
      <c:catAx>
        <c:axId val="5166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16698600"/>
        <c:crosses val="autoZero"/>
        <c:auto val="1"/>
        <c:lblAlgn val="ctr"/>
        <c:lblOffset val="100"/>
        <c:noMultiLvlLbl val="0"/>
      </c:catAx>
      <c:valAx>
        <c:axId val="516698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USD/MWh LHV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16698272"/>
        <c:crosses val="autoZero"/>
        <c:crossBetween val="between"/>
      </c:valAx>
      <c:spPr>
        <a:noFill/>
        <a:ln>
          <a:noFill/>
        </a:ln>
        <a:effectLst/>
      </c:spPr>
    </c:plotArea>
    <c:legend>
      <c:legendPos val="r"/>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 cost of methanol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barChart>
        <c:barDir val="col"/>
        <c:grouping val="stacked"/>
        <c:varyColors val="0"/>
        <c:ser>
          <c:idx val="0"/>
          <c:order val="0"/>
          <c:tx>
            <c:strRef>
              <c:f>'Fuel cost graphs'!$K$17</c:f>
              <c:strCache>
                <c:ptCount val="1"/>
                <c:pt idx="0">
                  <c:v>Value min</c:v>
                </c:pt>
              </c:strCache>
            </c:strRef>
          </c:tx>
          <c:spPr>
            <a:noFill/>
            <a:ln>
              <a:noFill/>
            </a:ln>
            <a:effectLst/>
          </c:spPr>
          <c:invertIfNegative val="0"/>
          <c:cat>
            <c:strRef>
              <c:f>'Fuel cost graphs'!$D$18:$D$32</c:f>
              <c:strCache>
                <c:ptCount val="15"/>
                <c:pt idx="0">
                  <c:v>_0</c:v>
                </c:pt>
                <c:pt idx="1">
                  <c:v>_0</c:v>
                </c:pt>
                <c:pt idx="2">
                  <c:v>_0</c:v>
                </c:pt>
                <c:pt idx="3">
                  <c:v>Cheema_2018</c:v>
                </c:pt>
                <c:pt idx="4">
                  <c:v>_0</c:v>
                </c:pt>
                <c:pt idx="5">
                  <c:v>_2015</c:v>
                </c:pt>
                <c:pt idx="6">
                  <c:v>_2015</c:v>
                </c:pt>
                <c:pt idx="7">
                  <c:v>_0</c:v>
                </c:pt>
                <c:pt idx="8">
                  <c:v>_0</c:v>
                </c:pt>
                <c:pt idx="9">
                  <c:v>_0</c:v>
                </c:pt>
                <c:pt idx="10">
                  <c:v>Armijo_2020</c:v>
                </c:pt>
                <c:pt idx="11">
                  <c:v>_0</c:v>
                </c:pt>
                <c:pt idx="12">
                  <c:v>_2020</c:v>
                </c:pt>
                <c:pt idx="13">
                  <c:v>_2050</c:v>
                </c:pt>
                <c:pt idx="14">
                  <c:v>_2050</c:v>
                </c:pt>
              </c:strCache>
            </c:strRef>
          </c:cat>
          <c:val>
            <c:numRef>
              <c:f>'Fuel cost graphs'!$K$18:$K$32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20B6-4B11-AAE1-9149D762F494}"/>
            </c:ext>
          </c:extLst>
        </c:ser>
        <c:ser>
          <c:idx val="1"/>
          <c:order val="1"/>
          <c:tx>
            <c:strRef>
              <c:f>'Fuel cost graphs'!$M$17</c:f>
              <c:strCache>
                <c:ptCount val="1"/>
                <c:pt idx="0">
                  <c:v>Difference</c:v>
                </c:pt>
              </c:strCache>
            </c:strRef>
          </c:tx>
          <c:spPr>
            <a:solidFill>
              <a:schemeClr val="accent2"/>
            </a:solidFill>
            <a:ln>
              <a:noFill/>
            </a:ln>
            <a:effectLst/>
          </c:spPr>
          <c:invertIfNegative val="0"/>
          <c:cat>
            <c:strRef>
              <c:f>'Fuel cost graphs'!$D$18:$D$32</c:f>
              <c:strCache>
                <c:ptCount val="15"/>
                <c:pt idx="0">
                  <c:v>_0</c:v>
                </c:pt>
                <c:pt idx="1">
                  <c:v>_0</c:v>
                </c:pt>
                <c:pt idx="2">
                  <c:v>_0</c:v>
                </c:pt>
                <c:pt idx="3">
                  <c:v>Cheema_2018</c:v>
                </c:pt>
                <c:pt idx="4">
                  <c:v>_0</c:v>
                </c:pt>
                <c:pt idx="5">
                  <c:v>_2015</c:v>
                </c:pt>
                <c:pt idx="6">
                  <c:v>_2015</c:v>
                </c:pt>
                <c:pt idx="7">
                  <c:v>_0</c:v>
                </c:pt>
                <c:pt idx="8">
                  <c:v>_0</c:v>
                </c:pt>
                <c:pt idx="9">
                  <c:v>_0</c:v>
                </c:pt>
                <c:pt idx="10">
                  <c:v>Armijo_2020</c:v>
                </c:pt>
                <c:pt idx="11">
                  <c:v>_0</c:v>
                </c:pt>
                <c:pt idx="12">
                  <c:v>_2020</c:v>
                </c:pt>
                <c:pt idx="13">
                  <c:v>_2050</c:v>
                </c:pt>
                <c:pt idx="14">
                  <c:v>_2050</c:v>
                </c:pt>
              </c:strCache>
            </c:strRef>
          </c:cat>
          <c:val>
            <c:numRef>
              <c:f>'Fuel cost graphs'!$M$18:$M$32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D98-4101-9A0D-FDC8B3E9B33B}"/>
            </c:ext>
          </c:extLst>
        </c:ser>
        <c:dLbls>
          <c:showLegendKey val="0"/>
          <c:showVal val="0"/>
          <c:showCatName val="0"/>
          <c:showSerName val="0"/>
          <c:showPercent val="0"/>
          <c:showBubbleSize val="0"/>
        </c:dLbls>
        <c:gapWidth val="150"/>
        <c:overlap val="100"/>
        <c:axId val="470885392"/>
        <c:axId val="470886376"/>
      </c:barChart>
      <c:lineChart>
        <c:grouping val="standard"/>
        <c:varyColors val="0"/>
        <c:ser>
          <c:idx val="2"/>
          <c:order val="2"/>
          <c:tx>
            <c:strRef>
              <c:f>'Fuel cost graphs'!$N$17</c:f>
              <c:strCache>
                <c:ptCount val="1"/>
                <c:pt idx="0">
                  <c:v>Market price VLSFO 0.5% S</c:v>
                </c:pt>
              </c:strCache>
            </c:strRef>
          </c:tx>
          <c:spPr>
            <a:ln w="12700" cap="rnd">
              <a:solidFill>
                <a:srgbClr val="FF0000"/>
              </a:solidFill>
              <a:round/>
            </a:ln>
            <a:effectLst/>
          </c:spPr>
          <c:marker>
            <c:symbol val="none"/>
          </c:marker>
          <c:cat>
            <c:strRef>
              <c:f>'Fuel cost graphs'!$D$18:$D$32</c:f>
              <c:strCache>
                <c:ptCount val="15"/>
                <c:pt idx="0">
                  <c:v>_0</c:v>
                </c:pt>
                <c:pt idx="1">
                  <c:v>_0</c:v>
                </c:pt>
                <c:pt idx="2">
                  <c:v>_0</c:v>
                </c:pt>
                <c:pt idx="3">
                  <c:v>Cheema_2018</c:v>
                </c:pt>
                <c:pt idx="4">
                  <c:v>_0</c:v>
                </c:pt>
                <c:pt idx="5">
                  <c:v>_2015</c:v>
                </c:pt>
                <c:pt idx="6">
                  <c:v>_2015</c:v>
                </c:pt>
                <c:pt idx="7">
                  <c:v>_0</c:v>
                </c:pt>
                <c:pt idx="8">
                  <c:v>_0</c:v>
                </c:pt>
                <c:pt idx="9">
                  <c:v>_0</c:v>
                </c:pt>
                <c:pt idx="10">
                  <c:v>Armijo_2020</c:v>
                </c:pt>
                <c:pt idx="11">
                  <c:v>_0</c:v>
                </c:pt>
                <c:pt idx="12">
                  <c:v>_2020</c:v>
                </c:pt>
                <c:pt idx="13">
                  <c:v>_2050</c:v>
                </c:pt>
                <c:pt idx="14">
                  <c:v>_2050</c:v>
                </c:pt>
              </c:strCache>
            </c:strRef>
          </c:cat>
          <c:val>
            <c:numRef>
              <c:f>'Fuel cost graphs'!$N$18:$N$32</c:f>
              <c:numCache>
                <c:formatCode>0</c:formatCode>
                <c:ptCount val="15"/>
                <c:pt idx="0">
                  <c:v>38</c:v>
                </c:pt>
                <c:pt idx="1">
                  <c:v>38</c:v>
                </c:pt>
                <c:pt idx="2">
                  <c:v>38</c:v>
                </c:pt>
                <c:pt idx="3">
                  <c:v>38</c:v>
                </c:pt>
                <c:pt idx="4">
                  <c:v>38</c:v>
                </c:pt>
                <c:pt idx="5">
                  <c:v>38</c:v>
                </c:pt>
                <c:pt idx="6">
                  <c:v>38</c:v>
                </c:pt>
                <c:pt idx="7">
                  <c:v>38</c:v>
                </c:pt>
                <c:pt idx="8">
                  <c:v>38</c:v>
                </c:pt>
                <c:pt idx="9">
                  <c:v>38</c:v>
                </c:pt>
                <c:pt idx="10">
                  <c:v>38</c:v>
                </c:pt>
                <c:pt idx="11">
                  <c:v>38</c:v>
                </c:pt>
                <c:pt idx="12">
                  <c:v>38</c:v>
                </c:pt>
                <c:pt idx="13">
                  <c:v>38</c:v>
                </c:pt>
                <c:pt idx="14">
                  <c:v>38</c:v>
                </c:pt>
              </c:numCache>
            </c:numRef>
          </c:val>
          <c:smooth val="0"/>
          <c:extLst>
            <c:ext xmlns:c16="http://schemas.microsoft.com/office/drawing/2014/chart" uri="{C3380CC4-5D6E-409C-BE32-E72D297353CC}">
              <c16:uniqueId val="{00000000-E1D4-40AD-9512-9924483C702B}"/>
            </c:ext>
          </c:extLst>
        </c:ser>
        <c:dLbls>
          <c:showLegendKey val="0"/>
          <c:showVal val="0"/>
          <c:showCatName val="0"/>
          <c:showSerName val="0"/>
          <c:showPercent val="0"/>
          <c:showBubbleSize val="0"/>
        </c:dLbls>
        <c:marker val="1"/>
        <c:smooth val="0"/>
        <c:axId val="470885392"/>
        <c:axId val="470886376"/>
      </c:lineChart>
      <c:catAx>
        <c:axId val="47088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70886376"/>
        <c:crosses val="autoZero"/>
        <c:auto val="1"/>
        <c:lblAlgn val="ctr"/>
        <c:lblOffset val="100"/>
        <c:noMultiLvlLbl val="0"/>
      </c:catAx>
      <c:valAx>
        <c:axId val="4708863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USD/MWh LHV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70885392"/>
        <c:crosses val="autoZero"/>
        <c:crossBetween val="between"/>
      </c:valAx>
      <c:spPr>
        <a:no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0.28065726159230098"/>
                  <c:y val="9.9281860600758231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trendlineLbl>
          </c:trendline>
          <c:xVal>
            <c:numRef>
              <c:f>'Calculations 2'!$A$2:$A$101</c:f>
              <c:numCache>
                <c:formatCode>General</c:formatCode>
                <c:ptCount val="100"/>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numCache>
            </c:numRef>
          </c:xVal>
          <c:yVal>
            <c:numRef>
              <c:f>'Calculations 2'!$B$2:$B$101</c:f>
              <c:numCache>
                <c:formatCode>General</c:formatCode>
                <c:ptCount val="100"/>
                <c:pt idx="0">
                  <c:v>329000</c:v>
                </c:pt>
                <c:pt idx="1">
                  <c:v>336944.04676278314</c:v>
                </c:pt>
                <c:pt idx="2">
                  <c:v>340540.7188448119</c:v>
                </c:pt>
                <c:pt idx="3">
                  <c:v>343422.14056560257</c:v>
                </c:pt>
                <c:pt idx="4">
                  <c:v>345933.32145538356</c:v>
                </c:pt>
                <c:pt idx="5">
                  <c:v>348207.89805103705</c:v>
                </c:pt>
                <c:pt idx="6">
                  <c:v>350314.40730460011</c:v>
                </c:pt>
                <c:pt idx="7">
                  <c:v>352293.56330931478</c:v>
                </c:pt>
                <c:pt idx="8">
                  <c:v>354171.89354925847</c:v>
                </c:pt>
                <c:pt idx="9">
                  <c:v>355967.82407780137</c:v>
                </c:pt>
                <c:pt idx="10">
                  <c:v>357694.77079224598</c:v>
                </c:pt>
                <c:pt idx="11">
                  <c:v>359362.8616113824</c:v>
                </c:pt>
                <c:pt idx="12">
                  <c:v>360979.96492065722</c:v>
                </c:pt>
                <c:pt idx="13">
                  <c:v>362552.33803395921</c:v>
                </c:pt>
                <c:pt idx="14">
                  <c:v>364085.05435733468</c:v>
                </c:pt>
                <c:pt idx="15">
                  <c:v>365582.29510479525</c:v>
                </c:pt>
                <c:pt idx="16">
                  <c:v>367047.55463003647</c:v>
                </c:pt>
                <c:pt idx="17">
                  <c:v>368483.7887225069</c:v>
                </c:pt>
                <c:pt idx="18">
                  <c:v>369893.52411333966</c:v>
                </c:pt>
                <c:pt idx="19">
                  <c:v>371278.94091547775</c:v>
                </c:pt>
                <c:pt idx="20">
                  <c:v>372641.93575116084</c:v>
                </c:pt>
                <c:pt idx="21">
                  <c:v>373984.17082436959</c:v>
                </c:pt>
                <c:pt idx="22">
                  <c:v>375307.11258361151</c:v>
                </c:pt>
                <c:pt idx="23">
                  <c:v>376612.0625530926</c:v>
                </c:pt>
                <c:pt idx="24">
                  <c:v>377900.18218810431</c:v>
                </c:pt>
                <c:pt idx="25">
                  <c:v>379172.51311208896</c:v>
                </c:pt>
                <c:pt idx="26">
                  <c:v>380429.99374280474</c:v>
                </c:pt>
                <c:pt idx="27">
                  <c:v>381673.47306516382</c:v>
                </c:pt>
                <c:pt idx="28">
                  <c:v>382903.72212735086</c:v>
                </c:pt>
                <c:pt idx="29">
                  <c:v>384121.44370397861</c:v>
                </c:pt>
                <c:pt idx="30">
                  <c:v>385327.28047130519</c:v>
                </c:pt>
                <c:pt idx="31">
                  <c:v>386521.821965312</c:v>
                </c:pt>
                <c:pt idx="32">
                  <c:v>387705.61053705559</c:v>
                </c:pt>
                <c:pt idx="33">
                  <c:v>388879.14647644787</c:v>
                </c:pt>
                <c:pt idx="34">
                  <c:v>390042.89244212781</c:v>
                </c:pt>
                <c:pt idx="35">
                  <c:v>391197.27730894089</c:v>
                </c:pt>
                <c:pt idx="36">
                  <c:v>392342.69952395878</c:v>
                </c:pt>
                <c:pt idx="37">
                  <c:v>393479.53004565777</c:v>
                </c:pt>
                <c:pt idx="38">
                  <c:v>394608.1149278399</c:v>
                </c:pt>
                <c:pt idx="39">
                  <c:v>395728.77759941225</c:v>
                </c:pt>
                <c:pt idx="40">
                  <c:v>396841.82088266534</c:v>
                </c:pt>
                <c:pt idx="41">
                  <c:v>397947.5287858044</c:v>
                </c:pt>
                <c:pt idx="42">
                  <c:v>399046.16809984797</c:v>
                </c:pt>
                <c:pt idx="43">
                  <c:v>400137.98982537305</c:v>
                </c:pt>
                <c:pt idx="44">
                  <c:v>401223.23045075551</c:v>
                </c:pt>
                <c:pt idx="45">
                  <c:v>402302.11310037132</c:v>
                </c:pt>
                <c:pt idx="46">
                  <c:v>403374.84856857191</c:v>
                </c:pt>
                <c:pt idx="47">
                  <c:v>404441.63625302259</c:v>
                </c:pt>
                <c:pt idx="48">
                  <c:v>405502.6649991225</c:v>
                </c:pt>
                <c:pt idx="49">
                  <c:v>406558.11386564595</c:v>
                </c:pt>
                <c:pt idx="50">
                  <c:v>407608.15282040625</c:v>
                </c:pt>
              </c:numCache>
            </c:numRef>
          </c:yVal>
          <c:smooth val="1"/>
          <c:extLst>
            <c:ext xmlns:c16="http://schemas.microsoft.com/office/drawing/2014/chart" uri="{C3380CC4-5D6E-409C-BE32-E72D297353CC}">
              <c16:uniqueId val="{00000000-883E-4B05-AFC8-C44936692D0A}"/>
            </c:ext>
          </c:extLst>
        </c:ser>
        <c:dLbls>
          <c:showLegendKey val="0"/>
          <c:showVal val="0"/>
          <c:showCatName val="0"/>
          <c:showSerName val="0"/>
          <c:showPercent val="0"/>
          <c:showBubbleSize val="0"/>
        </c:dLbls>
        <c:axId val="522927544"/>
        <c:axId val="522930168"/>
      </c:scatterChart>
      <c:valAx>
        <c:axId val="522927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22930168"/>
        <c:crosses val="autoZero"/>
        <c:crossBetween val="midCat"/>
      </c:valAx>
      <c:valAx>
        <c:axId val="52293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22927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14</xdr:col>
      <xdr:colOff>190500</xdr:colOff>
      <xdr:row>0</xdr:row>
      <xdr:rowOff>85724</xdr:rowOff>
    </xdr:from>
    <xdr:to>
      <xdr:col>25</xdr:col>
      <xdr:colOff>438150</xdr:colOff>
      <xdr:row>21</xdr:row>
      <xdr:rowOff>88900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193674</xdr:colOff>
      <xdr:row>22</xdr:row>
      <xdr:rowOff>79374</xdr:rowOff>
    </xdr:from>
    <xdr:to>
      <xdr:col>25</xdr:col>
      <xdr:colOff>463550</xdr:colOff>
      <xdr:row>44</xdr:row>
      <xdr:rowOff>44450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358775</xdr:colOff>
      <xdr:row>6</xdr:row>
      <xdr:rowOff>9525</xdr:rowOff>
    </xdr:from>
    <xdr:to>
      <xdr:col>16</xdr:col>
      <xdr:colOff>257175</xdr:colOff>
      <xdr:row>20</xdr:row>
      <xdr:rowOff>174625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253538</xdr:colOff>
      <xdr:row>210</xdr:row>
      <xdr:rowOff>31750</xdr:rowOff>
    </xdr:from>
    <xdr:to>
      <xdr:col>16</xdr:col>
      <xdr:colOff>552739</xdr:colOff>
      <xdr:row>238</xdr:row>
      <xdr:rowOff>29882</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8466832" y="39252338"/>
          <a:ext cx="6208436" cy="52275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82177</xdr:colOff>
      <xdr:row>63</xdr:row>
      <xdr:rowOff>74706</xdr:rowOff>
    </xdr:from>
    <xdr:to>
      <xdr:col>19</xdr:col>
      <xdr:colOff>383274</xdr:colOff>
      <xdr:row>95</xdr:row>
      <xdr:rowOff>3960</xdr:rowOff>
    </xdr:to>
    <xdr:grpSp>
      <xdr:nvGrpSpPr>
        <xdr:cNvPr id="4" name="Group 3">
          <a:extLst>
            <a:ext uri="{FF2B5EF4-FFF2-40B4-BE49-F238E27FC236}">
              <a16:creationId xmlns:a16="http://schemas.microsoft.com/office/drawing/2014/main" id="{00000000-0008-0000-0A00-000004000000}"/>
            </a:ext>
          </a:extLst>
        </xdr:cNvPr>
        <xdr:cNvGrpSpPr/>
      </xdr:nvGrpSpPr>
      <xdr:grpSpPr>
        <a:xfrm>
          <a:off x="14533283" y="11370235"/>
          <a:ext cx="7759732" cy="5666666"/>
          <a:chOff x="14799236" y="11840882"/>
          <a:chExt cx="7906156" cy="4411607"/>
        </a:xfrm>
      </xdr:grpSpPr>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4799236" y="11870764"/>
            <a:ext cx="7906156" cy="4381725"/>
          </a:xfrm>
          <a:prstGeom prst="rect">
            <a:avLst/>
          </a:prstGeom>
        </xdr:spPr>
      </xdr:pic>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14948647" y="11840882"/>
            <a:ext cx="2360706" cy="3436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DEA tech catalogue 2022</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177800</xdr:colOff>
      <xdr:row>132</xdr:row>
      <xdr:rowOff>95250</xdr:rowOff>
    </xdr:from>
    <xdr:to>
      <xdr:col>13</xdr:col>
      <xdr:colOff>51062</xdr:colOff>
      <xdr:row>160</xdr:row>
      <xdr:rowOff>120916</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1391900" y="18319750"/>
          <a:ext cx="5105662" cy="518186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247650</xdr:colOff>
      <xdr:row>23</xdr:row>
      <xdr:rowOff>0</xdr:rowOff>
    </xdr:from>
    <xdr:to>
      <xdr:col>12</xdr:col>
      <xdr:colOff>12898</xdr:colOff>
      <xdr:row>52</xdr:row>
      <xdr:rowOff>171733</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369550" y="4051300"/>
          <a:ext cx="3854648" cy="551208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692150</xdr:colOff>
      <xdr:row>24</xdr:row>
      <xdr:rowOff>19050</xdr:rowOff>
    </xdr:from>
    <xdr:to>
      <xdr:col>16</xdr:col>
      <xdr:colOff>70242</xdr:colOff>
      <xdr:row>50</xdr:row>
      <xdr:rowOff>133602</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9137650" y="4070350"/>
          <a:ext cx="7626742" cy="49024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469900</xdr:colOff>
      <xdr:row>43</xdr:row>
      <xdr:rowOff>158750</xdr:rowOff>
    </xdr:from>
    <xdr:to>
      <xdr:col>15</xdr:col>
      <xdr:colOff>565547</xdr:colOff>
      <xdr:row>64</xdr:row>
      <xdr:rowOff>76395</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9582150" y="13798550"/>
          <a:ext cx="7728347" cy="3784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fch.europa.eu/node/783" TargetMode="External"/><Relationship Id="rId117" Type="http://schemas.openxmlformats.org/officeDocument/2006/relationships/hyperlink" Target="https://www.sciencedirect.com/science/article/pii/B9781782423645000075" TargetMode="External"/><Relationship Id="rId21" Type="http://schemas.openxmlformats.org/officeDocument/2006/relationships/hyperlink" Target="https://pubs.rsc.org/en/content/articlehtml/2018/ra/c8ra06821f" TargetMode="External"/><Relationship Id="rId42" Type="http://schemas.openxmlformats.org/officeDocument/2006/relationships/hyperlink" Target="https://aiche.onlinelibrary.wiley.com/doi/full/10.1002/ep.11886" TargetMode="External"/><Relationship Id="rId47" Type="http://schemas.openxmlformats.org/officeDocument/2006/relationships/hyperlink" Target="https://www.sciencedirect.com/science/article/pii/S0360544215001681" TargetMode="External"/><Relationship Id="rId63" Type="http://schemas.openxmlformats.org/officeDocument/2006/relationships/hyperlink" Target="https://www.sciencedirect.com/science/article/pii/S175058361730289X" TargetMode="External"/><Relationship Id="rId68" Type="http://schemas.openxmlformats.org/officeDocument/2006/relationships/hyperlink" Target="https://energinet.dk/-/media/8BF0CD597E1A457C8E9711B50EC2782A.PDF" TargetMode="External"/><Relationship Id="rId84" Type="http://schemas.openxmlformats.org/officeDocument/2006/relationships/hyperlink" Target="https://deeds.eu/wp-content/uploads/2020/05/Ammonia_web.pdf" TargetMode="External"/><Relationship Id="rId89" Type="http://schemas.openxmlformats.org/officeDocument/2006/relationships/hyperlink" Target="https://www.sciencedirect.com/science/article/pii/S0360544215012530?via%3Dihub" TargetMode="External"/><Relationship Id="rId112" Type="http://schemas.openxmlformats.org/officeDocument/2006/relationships/hyperlink" Target="https://www.cei.washington.edu/education/science-of-solar/battery-technology/" TargetMode="External"/><Relationship Id="rId16" Type="http://schemas.openxmlformats.org/officeDocument/2006/relationships/hyperlink" Target="https://ec.europa.eu/energy/sites/ener/files/documents/quarterly_report_on_european_electricity_markets%20_q1_2017.pdf" TargetMode="External"/><Relationship Id="rId107" Type="http://schemas.openxmlformats.org/officeDocument/2006/relationships/hyperlink" Target="https://ens.dk/sites/ens.dk/files/Analyser/analysis_of_biomass_prices_2013.06.18_-_final_report.pdf" TargetMode="External"/><Relationship Id="rId11" Type="http://schemas.openxmlformats.org/officeDocument/2006/relationships/hyperlink" Target="https://www.mdpi.com/2227-9717/6/7/91/htm" TargetMode="External"/><Relationship Id="rId32" Type="http://schemas.openxmlformats.org/officeDocument/2006/relationships/hyperlink" Target="https://www.hydrogen.energy.gov/program_records.html?print" TargetMode="External"/><Relationship Id="rId37" Type="http://schemas.openxmlformats.org/officeDocument/2006/relationships/hyperlink" Target="https://www.topsoe.com/processes/ammonia" TargetMode="External"/><Relationship Id="rId53" Type="http://schemas.openxmlformats.org/officeDocument/2006/relationships/hyperlink" Target="https://pubs.rsc.org/en/content/articlehtml/2018/se/c8se00032h" TargetMode="External"/><Relationship Id="rId58" Type="http://schemas.openxmlformats.org/officeDocument/2006/relationships/hyperlink" Target="https://forstrom-inzichtinenergie.com/wp-content/uploads/2018/09/North-Sea-Energy-I-D3.1.2-3.1.4-D3.1.6-Towards-sustainable-energy-production-on-the-North-Sea_final-public.pdf" TargetMode="External"/><Relationship Id="rId74" Type="http://schemas.openxmlformats.org/officeDocument/2006/relationships/hyperlink" Target="https://www.sciencedirect.com/science/article/pii/S096014811630636X" TargetMode="External"/><Relationship Id="rId79" Type="http://schemas.openxmlformats.org/officeDocument/2006/relationships/hyperlink" Target="https://www.sciencedirect.com/science/article/pii/S0360544214006859" TargetMode="External"/><Relationship Id="rId102" Type="http://schemas.openxmlformats.org/officeDocument/2006/relationships/hyperlink" Target="https://shipandbunker.com/prices/emea/nwe/nl-rtm-rotterdam" TargetMode="External"/><Relationship Id="rId123" Type="http://schemas.openxmlformats.org/officeDocument/2006/relationships/hyperlink" Target="http://dx.doi.org/10.2139/ssrn.4154006" TargetMode="External"/><Relationship Id="rId5" Type="http://schemas.openxmlformats.org/officeDocument/2006/relationships/hyperlink" Target="https://onlinelibrary.wiley.com/doi/full/10.1002/anie.201510618" TargetMode="External"/><Relationship Id="rId90" Type="http://schemas.openxmlformats.org/officeDocument/2006/relationships/hyperlink" Target="https://www.sciencedirect.com/science/article/pii/S1364032115000593?via%3Dihub" TargetMode="External"/><Relationship Id="rId95" Type="http://schemas.openxmlformats.org/officeDocument/2006/relationships/hyperlink" Target="https://www.sciencedirect.com/science/article/pii/S0011916420314065" TargetMode="External"/><Relationship Id="rId22" Type="http://schemas.openxmlformats.org/officeDocument/2006/relationships/hyperlink" Target="https://patents.google.com/patent/US9463983B2/en" TargetMode="External"/><Relationship Id="rId27" Type="http://schemas.openxmlformats.org/officeDocument/2006/relationships/hyperlink" Target="https://www.hydrogen.energy.gov/pdfs/14004_h2_production_cost_pem_electrolysis.pdf" TargetMode="External"/><Relationship Id="rId43" Type="http://schemas.openxmlformats.org/officeDocument/2006/relationships/hyperlink" Target="https://www.sciencedirect.com/science/article/pii/S2212982017302007" TargetMode="External"/><Relationship Id="rId48" Type="http://schemas.openxmlformats.org/officeDocument/2006/relationships/hyperlink" Target="https://webstore.iea.org/the-future-of-hydrogen" TargetMode="External"/><Relationship Id="rId64" Type="http://schemas.openxmlformats.org/officeDocument/2006/relationships/hyperlink" Target="https://www.sciencedirect.com/science/article/pii/S0961953415000070" TargetMode="External"/><Relationship Id="rId69" Type="http://schemas.openxmlformats.org/officeDocument/2006/relationships/hyperlink" Target="https://www.sciencedirect.com/science/article/pii/S0360319913000670" TargetMode="External"/><Relationship Id="rId113" Type="http://schemas.openxmlformats.org/officeDocument/2006/relationships/hyperlink" Target="https://www.iea.org/reports/net-zero-by-2050" TargetMode="External"/><Relationship Id="rId118" Type="http://schemas.openxmlformats.org/officeDocument/2006/relationships/hyperlink" Target="https://www.sciencedirect.com/science/article/pii/S0360319921030834" TargetMode="External"/><Relationship Id="rId80" Type="http://schemas.openxmlformats.org/officeDocument/2006/relationships/hyperlink" Target="https://www.danskenergi.dk/sites/danskenergi.dk/files/media/dokumenter/2020-11/Anbefalinger-til-en-dansk-strategi-for-Power-to-X.pdf" TargetMode="External"/><Relationship Id="rId85" Type="http://schemas.openxmlformats.org/officeDocument/2006/relationships/hyperlink" Target="https://www.sciencedirect.com/science/article/pii/S0360319915001652" TargetMode="External"/><Relationship Id="rId12" Type="http://schemas.openxmlformats.org/officeDocument/2006/relationships/hyperlink" Target="https://www.sciencedirect.com/science/article/pii/S096014811630235X" TargetMode="External"/><Relationship Id="rId17" Type="http://schemas.openxmlformats.org/officeDocument/2006/relationships/hyperlink" Target="https://www.sciencedirect.com/science/article/pii/S0263876217305646" TargetMode="External"/><Relationship Id="rId33" Type="http://schemas.openxmlformats.org/officeDocument/2006/relationships/hyperlink" Target="https://www.hydrogen.energy.gov/program_records.html?print" TargetMode="External"/><Relationship Id="rId38" Type="http://schemas.openxmlformats.org/officeDocument/2006/relationships/hyperlink" Target="https://pubs.acs.org/doi/10.1021/acs.iecr.8b02447" TargetMode="External"/><Relationship Id="rId59" Type="http://schemas.openxmlformats.org/officeDocument/2006/relationships/hyperlink" Target="https://www.sciencedirect.com/science/article/pii/S1364032118305380" TargetMode="External"/><Relationship Id="rId103" Type="http://schemas.openxmlformats.org/officeDocument/2006/relationships/hyperlink" Target="https://www.sciencedirect.com/science/article/pii/S0360544220305156" TargetMode="External"/><Relationship Id="rId108" Type="http://schemas.openxmlformats.org/officeDocument/2006/relationships/hyperlink" Target="https://doi.org/10.1038/s41560-020-00771-9" TargetMode="External"/><Relationship Id="rId124" Type="http://schemas.openxmlformats.org/officeDocument/2006/relationships/hyperlink" Target="https://www.danskfjernvarme.dk/groen-energi/analyser/210512-power-to-x-og-fjernvarme" TargetMode="External"/><Relationship Id="rId54" Type="http://schemas.openxmlformats.org/officeDocument/2006/relationships/hyperlink" Target="https://adi-analytics.com/2015/06/19/natural-gas-utilization-via-small-scale-methanol-technologies/" TargetMode="External"/><Relationship Id="rId70" Type="http://schemas.openxmlformats.org/officeDocument/2006/relationships/hyperlink" Target="https://vbn.aau.dk/da/publications/integrated-electrofuels-and-renewable-energy-systems" TargetMode="External"/><Relationship Id="rId75" Type="http://schemas.openxmlformats.org/officeDocument/2006/relationships/hyperlink" Target="https://www.nationalgrid.com/sites/default/files/documents/43742-ETYS15%20AppE%20techonology.pdf" TargetMode="External"/><Relationship Id="rId91" Type="http://schemas.openxmlformats.org/officeDocument/2006/relationships/hyperlink" Target="https://www.sciencedirect.com/science/article/pii/S0360319915309605?via%3Dihub" TargetMode="External"/><Relationship Id="rId96" Type="http://schemas.openxmlformats.org/officeDocument/2006/relationships/hyperlink" Target="https://www.sciencedirect.com/science/article/pii/S0011916420313059" TargetMode="External"/><Relationship Id="rId1" Type="http://schemas.openxmlformats.org/officeDocument/2006/relationships/hyperlink" Target="https://www.sciencedirect.com/science/article/pii/S0306261918315368" TargetMode="External"/><Relationship Id="rId6" Type="http://schemas.openxmlformats.org/officeDocument/2006/relationships/hyperlink" Target="https://www.sciencedirect.com/science/article/pii/S0360319918319931" TargetMode="External"/><Relationship Id="rId23" Type="http://schemas.openxmlformats.org/officeDocument/2006/relationships/hyperlink" Target="https://books.google.dk/books?hl=da&amp;lr=&amp;id=fEjqL9gIVCkC&amp;oi=fnd&amp;pg=PT19&amp;ots=iTgZhtI-UA&amp;sig=28h7C8TrUjULYk6q4WmRIkunUPY&amp;redir_esc=y" TargetMode="External"/><Relationship Id="rId28" Type="http://schemas.openxmlformats.org/officeDocument/2006/relationships/hyperlink" Target="https://www.sciencedirect.com/science/article/pii/S019689041830147X" TargetMode="External"/><Relationship Id="rId49" Type="http://schemas.openxmlformats.org/officeDocument/2006/relationships/hyperlink" Target="https://www.nrel.gov/docs/fy13osti/56487.pdf" TargetMode="External"/><Relationship Id="rId114" Type="http://schemas.openxmlformats.org/officeDocument/2006/relationships/hyperlink" Target="https://www.nrel.gov/docs/fy04osti/35404.pdf" TargetMode="External"/><Relationship Id="rId119" Type="http://schemas.openxmlformats.org/officeDocument/2006/relationships/hyperlink" Target="https://ens.dk/en/our-services/projections-and-models/technology-data/technology-data-generation-electricity-and" TargetMode="External"/><Relationship Id="rId44" Type="http://schemas.openxmlformats.org/officeDocument/2006/relationships/hyperlink" Target="https://www.icis.com/explore/commodities/chemicals/ammonia/" TargetMode="External"/><Relationship Id="rId60" Type="http://schemas.openxmlformats.org/officeDocument/2006/relationships/hyperlink" Target="https://ens.dk/sites/ens.dk/files/Analyser/technology_data_for_renewable_fuels.pdf" TargetMode="External"/><Relationship Id="rId65" Type="http://schemas.openxmlformats.org/officeDocument/2006/relationships/hyperlink" Target="https://www.sciencedirect.com/science/article/pii/S0301421512009342" TargetMode="External"/><Relationship Id="rId81" Type="http://schemas.openxmlformats.org/officeDocument/2006/relationships/hyperlink" Target="https://www.irena.org/publications/2020/Jun/Renewable-Power-Costs-in-2019" TargetMode="External"/><Relationship Id="rId86" Type="http://schemas.openxmlformats.org/officeDocument/2006/relationships/hyperlink" Target="https://www.sciencedirect.com/science/article/pii/S0360319902000824?via%3Dihub" TargetMode="External"/><Relationship Id="rId4" Type="http://schemas.openxmlformats.org/officeDocument/2006/relationships/hyperlink" Target="https://lib.dr.iastate.edu/etd/11132/" TargetMode="External"/><Relationship Id="rId9" Type="http://schemas.openxmlformats.org/officeDocument/2006/relationships/hyperlink" Target="http://www.aheadenergy.org/uploads/4/6/2/3/4623812/ispt-p2a-final-report.pdf" TargetMode="External"/><Relationship Id="rId13" Type="http://schemas.openxmlformats.org/officeDocument/2006/relationships/hyperlink" Target="https://www.sciencedirect.com/science/article/pii/S0360319913002607" TargetMode="External"/><Relationship Id="rId18" Type="http://schemas.openxmlformats.org/officeDocument/2006/relationships/hyperlink" Target="https://www.sciencedirect.com/science/article/pii/S0098135415000836" TargetMode="External"/><Relationship Id="rId39" Type="http://schemas.openxmlformats.org/officeDocument/2006/relationships/hyperlink" Target="https://www.nrel.gov/docs/fy04osti/36705.pdf" TargetMode="External"/><Relationship Id="rId109" Type="http://schemas.openxmlformats.org/officeDocument/2006/relationships/hyperlink" Target="https://www.iea.org/reports/world-energy-outlook-2020" TargetMode="External"/><Relationship Id="rId34" Type="http://schemas.openxmlformats.org/officeDocument/2006/relationships/hyperlink" Target="https://www.researchgate.net/publication/272488412_Arbeitspaket_5_Betrachtungen_des_Gesamtsystems_im_Hinblick_auf_Dynamik_und_Prozessintegration" TargetMode="External"/><Relationship Id="rId50" Type="http://schemas.openxmlformats.org/officeDocument/2006/relationships/hyperlink" Target="https://www.mdpi.com/2071-1050/12/5/2080" TargetMode="External"/><Relationship Id="rId55" Type="http://schemas.openxmlformats.org/officeDocument/2006/relationships/hyperlink" Target="https://www.sciencedirect.com/science/article/pii/S0306261915009071" TargetMode="External"/><Relationship Id="rId76" Type="http://schemas.openxmlformats.org/officeDocument/2006/relationships/hyperlink" Target="https://www.nrel.gov/analysis/tech-lcoe-documentation.html" TargetMode="External"/><Relationship Id="rId97" Type="http://schemas.openxmlformats.org/officeDocument/2006/relationships/hyperlink" Target="https://irena.org/-/media/Files/IRENA/Agency/Publication/2020/Dec/IRENA_Green_hydrogen_cost_2020.pdf" TargetMode="External"/><Relationship Id="rId104" Type="http://schemas.openxmlformats.org/officeDocument/2006/relationships/hyperlink" Target="https://www.sciencedirect.com/science/article/pii/S0959652619307772" TargetMode="External"/><Relationship Id="rId120" Type="http://schemas.openxmlformats.org/officeDocument/2006/relationships/hyperlink" Target="https://ens.dk/en/our-services/projections-and-models/technology-data/technology-data-renewable-fuels" TargetMode="External"/><Relationship Id="rId7" Type="http://schemas.openxmlformats.org/officeDocument/2006/relationships/hyperlink" Target="https://p2infohouse.org/ref/50/49574.pdf" TargetMode="External"/><Relationship Id="rId71" Type="http://schemas.openxmlformats.org/officeDocument/2006/relationships/hyperlink" Target="http://www.northseagrid.info/sites/default/files/NorthSeaGrid_Final_Report_Annexes.pdf" TargetMode="External"/><Relationship Id="rId92" Type="http://schemas.openxmlformats.org/officeDocument/2006/relationships/hyperlink" Target="https://onlinelibrary.wiley.com/doi/full/10.1002/ente.201500322" TargetMode="External"/><Relationship Id="rId2" Type="http://schemas.openxmlformats.org/officeDocument/2006/relationships/hyperlink" Target="https://scholarworks.umass.edu/open_access_dissertations/697/" TargetMode="External"/><Relationship Id="rId29" Type="http://schemas.openxmlformats.org/officeDocument/2006/relationships/hyperlink" Target="https://www.osti.gov/biblio/1130621" TargetMode="External"/><Relationship Id="rId24" Type="http://schemas.openxmlformats.org/officeDocument/2006/relationships/hyperlink" Target="https://www.sciencedirect.com/science/article/pii/S136403211731242X" TargetMode="External"/><Relationship Id="rId40" Type="http://schemas.openxmlformats.org/officeDocument/2006/relationships/hyperlink" Target="http://www2.eng.ox.ac.uk/systemseng/publications/Ammonia-based_ESS.pdf" TargetMode="External"/><Relationship Id="rId45" Type="http://schemas.openxmlformats.org/officeDocument/2006/relationships/hyperlink" Target="https://www.woodmac.com/reports/power-markets-u-s-pv-system-pricing-h1-2018-forecasts-and-breakdowns-58176503" TargetMode="External"/><Relationship Id="rId66" Type="http://schemas.openxmlformats.org/officeDocument/2006/relationships/hyperlink" Target="https://pubs.rsc.org/en/content/articlelanding/2010/EE/c0ee00092b" TargetMode="External"/><Relationship Id="rId87" Type="http://schemas.openxmlformats.org/officeDocument/2006/relationships/hyperlink" Target="https://www.sciencedirect.com/science/article/pii/S0360544210000976?via%3Dihub" TargetMode="External"/><Relationship Id="rId110" Type="http://schemas.openxmlformats.org/officeDocument/2006/relationships/hyperlink" Target="https://doi.org/10.1016/j.egypro.2017.03.1111" TargetMode="External"/><Relationship Id="rId115" Type="http://schemas.openxmlformats.org/officeDocument/2006/relationships/hyperlink" Target="https://www.hydrogen.energy.gov/pdfs/progress13/xi_5_elgowainy_2013.pdf" TargetMode="External"/><Relationship Id="rId61" Type="http://schemas.openxmlformats.org/officeDocument/2006/relationships/hyperlink" Target="https://en.energinet.dk/systemperspective2035" TargetMode="External"/><Relationship Id="rId82" Type="http://schemas.openxmlformats.org/officeDocument/2006/relationships/hyperlink" Target="https://www.irena.org/publications/2019/Sep/Hydrogen-A-renewable-energy-perspective" TargetMode="External"/><Relationship Id="rId19" Type="http://schemas.openxmlformats.org/officeDocument/2006/relationships/hyperlink" Target="https://www.sciencedirect.com/science/article/pii/S0360319912021891" TargetMode="External"/><Relationship Id="rId14" Type="http://schemas.openxmlformats.org/officeDocument/2006/relationships/hyperlink" Target="https://doi.org/10.1016/j.apenergy.2019.114135" TargetMode="External"/><Relationship Id="rId30" Type="http://schemas.openxmlformats.org/officeDocument/2006/relationships/hyperlink" Target="https://scholar.google.com/scholar_lookup?title=Economic%20analysis%20of%20large-scale%20hydrogen%20storage%20for%20renewable%20utility%20applications&amp;publication_year=2011&amp;author=S.%20Schoenung" TargetMode="External"/><Relationship Id="rId35" Type="http://schemas.openxmlformats.org/officeDocument/2006/relationships/hyperlink" Target="https://www.h-tec.com/en/products/me-4501400/" TargetMode="External"/><Relationship Id="rId56" Type="http://schemas.openxmlformats.org/officeDocument/2006/relationships/hyperlink" Target="https://www.sciencedirect.com/science/article/pii/S1750583607000321" TargetMode="External"/><Relationship Id="rId77" Type="http://schemas.openxmlformats.org/officeDocument/2006/relationships/hyperlink" Target="https://www.renewables.ninja/" TargetMode="External"/><Relationship Id="rId100" Type="http://schemas.openxmlformats.org/officeDocument/2006/relationships/hyperlink" Target="https://pubs.acs.org/doi/full/10.1021/acssuschemeng.7b02219" TargetMode="External"/><Relationship Id="rId105" Type="http://schemas.openxmlformats.org/officeDocument/2006/relationships/hyperlink" Target="https://www.sciencedirect.com/science/article/pii/S0306261920301847" TargetMode="External"/><Relationship Id="rId8" Type="http://schemas.openxmlformats.org/officeDocument/2006/relationships/hyperlink" Target="https://scholar.google.com/scholar?cluster=3590930614472028979&amp;hl=da&amp;as_sdt=2005&amp;sciodt=0,5" TargetMode="External"/><Relationship Id="rId51" Type="http://schemas.openxmlformats.org/officeDocument/2006/relationships/hyperlink" Target="https://ens.dk/en/our-services/projections-and-models/technology-data/technology-data-generation-electricity-and" TargetMode="External"/><Relationship Id="rId72" Type="http://schemas.openxmlformats.org/officeDocument/2006/relationships/hyperlink" Target="https://www.sciencedirect.com/science/article/pii/S2212982020300688" TargetMode="External"/><Relationship Id="rId93" Type="http://schemas.openxmlformats.org/officeDocument/2006/relationships/hyperlink" Target="https://info.topsoe.com/ammonfuel" TargetMode="External"/><Relationship Id="rId98" Type="http://schemas.openxmlformats.org/officeDocument/2006/relationships/hyperlink" Target="https://www.sciencedirect.com/science/article/pii/S2212982020310374?via%3Dihub" TargetMode="External"/><Relationship Id="rId121" Type="http://schemas.openxmlformats.org/officeDocument/2006/relationships/hyperlink" Target="https://op.europa.eu/en/publication-detail/-/publication/1f55ca82-3451-11e6-969e-01aa75ed71a1/language-en" TargetMode="External"/><Relationship Id="rId3" Type="http://schemas.openxmlformats.org/officeDocument/2006/relationships/hyperlink" Target="https://www.eiga.eu/publications/position-papers/pp-3319-indirect-co2-emissions-compensation-benchmark-proposal-for-air-separation-plants/" TargetMode="External"/><Relationship Id="rId25" Type="http://schemas.openxmlformats.org/officeDocument/2006/relationships/hyperlink" Target="https://www.sciencedirect.com/science/article/pii/S0360319917339435" TargetMode="External"/><Relationship Id="rId46" Type="http://schemas.openxmlformats.org/officeDocument/2006/relationships/hyperlink" Target="https://www.ise.fraunhofer.de/en/publications/studies/studie-current-and-future-cost-of-photovoltaics-long-term-scenarios-for-market-development-system-prices-and-lcoe-of-utility-scale-pv-systems.html" TargetMode="External"/><Relationship Id="rId67" Type="http://schemas.openxmlformats.org/officeDocument/2006/relationships/hyperlink" Target="https://www.sciencedirect.com/science/article/pii/S0306261918301387" TargetMode="External"/><Relationship Id="rId116" Type="http://schemas.openxmlformats.org/officeDocument/2006/relationships/hyperlink" Target="https://ens.dk/en/our-services/projections-and-models/technology-data/technology-data-industrial-process-heat-and" TargetMode="External"/><Relationship Id="rId20" Type="http://schemas.openxmlformats.org/officeDocument/2006/relationships/hyperlink" Target="https://www.sciencedirect.com/science/article/pii/S0360319919342089" TargetMode="External"/><Relationship Id="rId41" Type="http://schemas.openxmlformats.org/officeDocument/2006/relationships/hyperlink" Target="https://www.sciencedirect.com/science/article/pii/S0377221714007164?via%3Dihub" TargetMode="External"/><Relationship Id="rId62" Type="http://schemas.openxmlformats.org/officeDocument/2006/relationships/hyperlink" Target="https://www.sciencedirect.com/science/article/pii/S1364032117309358" TargetMode="External"/><Relationship Id="rId83" Type="http://schemas.openxmlformats.org/officeDocument/2006/relationships/hyperlink" Target="https://www.irena.org/publications/2017/Oct/Electricity-storage-and-renewables-costs-and-markets" TargetMode="External"/><Relationship Id="rId88" Type="http://schemas.openxmlformats.org/officeDocument/2006/relationships/hyperlink" Target="https://www.sciencedirect.com/science/article/pii/S0167299198807714?via%3Dihub" TargetMode="External"/><Relationship Id="rId111" Type="http://schemas.openxmlformats.org/officeDocument/2006/relationships/hyperlink" Target="https://www.nature.com/articles/s41558-021-01032-7" TargetMode="External"/><Relationship Id="rId15" Type="http://schemas.openxmlformats.org/officeDocument/2006/relationships/hyperlink" Target="https://scholar.google.com/scholar?q=Yankuang%20Xinjiang%20methanol%20and%20ammonia%20project%20in%20China." TargetMode="External"/><Relationship Id="rId36" Type="http://schemas.openxmlformats.org/officeDocument/2006/relationships/hyperlink" Target="https://www.hydrogenics.com/hydrogen-products-solutions/industrial-hydrogen-generators-by-electrolysis/outdoor-installation/hystat-trade-60/" TargetMode="External"/><Relationship Id="rId57" Type="http://schemas.openxmlformats.org/officeDocument/2006/relationships/hyperlink" Target="https://www.sciencedirect.com/science/article/pii/S0360319915302718?via%3Dihub" TargetMode="External"/><Relationship Id="rId106" Type="http://schemas.openxmlformats.org/officeDocument/2006/relationships/hyperlink" Target="https://doi.org/10.1016/j.fuproc.2020.106718" TargetMode="External"/><Relationship Id="rId10" Type="http://schemas.openxmlformats.org/officeDocument/2006/relationships/hyperlink" Target="https://www.sciencedirect.com/science/article/pii/S0255270118314430" TargetMode="External"/><Relationship Id="rId31" Type="http://schemas.openxmlformats.org/officeDocument/2006/relationships/hyperlink" Target="http://www.comitesolar.cl/wp-content/uploads/2018/08/Comite-Solar-2018-Oportunidades-Industria-del-Hidr%C3%B3geno_Informe-Final.pdf" TargetMode="External"/><Relationship Id="rId52" Type="http://schemas.openxmlformats.org/officeDocument/2006/relationships/hyperlink" Target="https://ens.dk/en/our-services/projections-and-models/technology-data/technology-data-energy-storage" TargetMode="External"/><Relationship Id="rId73" Type="http://schemas.openxmlformats.org/officeDocument/2006/relationships/hyperlink" Target="https://www.sciencedirect.com/science/article/pii/S1876610217313280" TargetMode="External"/><Relationship Id="rId78" Type="http://schemas.openxmlformats.org/officeDocument/2006/relationships/hyperlink" Target="https://www.sciencedirect.com/science/article/pii/S0196890419301220" TargetMode="External"/><Relationship Id="rId94" Type="http://schemas.openxmlformats.org/officeDocument/2006/relationships/hyperlink" Target="https://www.sciencedirect.com/science/article/pii/S0306261916313708?via%3Dihub" TargetMode="External"/><Relationship Id="rId99" Type="http://schemas.openxmlformats.org/officeDocument/2006/relationships/hyperlink" Target="https://www.sciencedirect.com/science/article/pii/S0360544220317084?via%3Dihub" TargetMode="External"/><Relationship Id="rId101" Type="http://schemas.openxmlformats.org/officeDocument/2006/relationships/hyperlink" Target="https://www.engineeringtoolbox.com/fuels-higher-calorific-values-d_169.html" TargetMode="External"/><Relationship Id="rId122" Type="http://schemas.openxmlformats.org/officeDocument/2006/relationships/hyperlink" Target="https://www.nordicenergy.org/project/np2x/"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ergy.gov/eere/fuelcells/doe-technical-targets-hydrogen-deliver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inflationtool.com/euro?amount=1000&amp;year1=2015&amp;year2=2019" TargetMode="External"/><Relationship Id="rId1" Type="http://schemas.openxmlformats.org/officeDocument/2006/relationships/hyperlink" Target="https://www.exchangerates.org.uk/EUR-USD-spot-exchange-rates-history-2020.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80"/>
  <sheetViews>
    <sheetView topLeftCell="A132" workbookViewId="0">
      <selection activeCell="D143" sqref="D143"/>
    </sheetView>
  </sheetViews>
  <sheetFormatPr defaultColWidth="8.77734375" defaultRowHeight="14.4" x14ac:dyDescent="0.3"/>
  <cols>
    <col min="1" max="1" width="25.33203125" style="8" customWidth="1"/>
    <col min="2" max="2" width="57" style="9" customWidth="1"/>
    <col min="3" max="3" width="27.77734375" style="9" customWidth="1"/>
    <col min="4" max="4" width="21.77734375" style="9" customWidth="1"/>
    <col min="5" max="6" width="16.77734375" style="9" customWidth="1"/>
    <col min="7" max="7" width="8.77734375" style="12"/>
    <col min="8" max="16384" width="8.77734375" style="8"/>
  </cols>
  <sheetData>
    <row r="1" spans="1:7" s="34" customFormat="1" x14ac:dyDescent="0.3">
      <c r="A1" s="34" t="s">
        <v>53</v>
      </c>
      <c r="B1" s="55" t="s">
        <v>54</v>
      </c>
      <c r="C1" s="55" t="s">
        <v>60</v>
      </c>
      <c r="D1" s="55" t="s">
        <v>61</v>
      </c>
      <c r="E1" s="55" t="s">
        <v>72</v>
      </c>
      <c r="F1" s="55" t="s">
        <v>1262</v>
      </c>
      <c r="G1" s="56" t="s">
        <v>55</v>
      </c>
    </row>
    <row r="2" spans="1:7" ht="28.8" x14ac:dyDescent="0.3">
      <c r="A2" s="8" t="str">
        <f>C2&amp;D2</f>
        <v>Armijo2020</v>
      </c>
      <c r="B2" s="9" t="s">
        <v>56</v>
      </c>
      <c r="C2" s="9" t="s">
        <v>2094</v>
      </c>
      <c r="D2" s="9">
        <v>2020</v>
      </c>
      <c r="E2" s="9" t="s">
        <v>73</v>
      </c>
      <c r="G2" s="11" t="s">
        <v>168</v>
      </c>
    </row>
    <row r="3" spans="1:7" ht="43.2" x14ac:dyDescent="0.3">
      <c r="A3" s="8" t="str">
        <f>C3&amp;D3</f>
        <v>Comite Solar2018</v>
      </c>
      <c r="B3" s="9" t="s">
        <v>271</v>
      </c>
      <c r="C3" s="9" t="s">
        <v>272</v>
      </c>
      <c r="D3" s="9">
        <v>2018</v>
      </c>
      <c r="E3" s="9" t="s">
        <v>99</v>
      </c>
      <c r="G3" s="11" t="s">
        <v>279</v>
      </c>
    </row>
    <row r="4" spans="1:7" ht="28.8" x14ac:dyDescent="0.3">
      <c r="A4" s="8" t="str">
        <f t="shared" ref="A4:A67" si="0">C4&amp;D4</f>
        <v>Cheema2018</v>
      </c>
      <c r="B4" s="9" t="s">
        <v>171</v>
      </c>
      <c r="C4" s="8" t="s">
        <v>2096</v>
      </c>
      <c r="D4" s="9">
        <v>2018</v>
      </c>
      <c r="E4" s="9" t="s">
        <v>73</v>
      </c>
      <c r="G4" s="11" t="s">
        <v>172</v>
      </c>
    </row>
    <row r="5" spans="1:7" x14ac:dyDescent="0.3">
      <c r="A5" s="8" t="str">
        <f t="shared" si="0"/>
        <v>Ostuni&amp;Zardi 2016</v>
      </c>
      <c r="B5" s="9" t="s">
        <v>173</v>
      </c>
      <c r="C5" s="9" t="s">
        <v>2095</v>
      </c>
      <c r="D5" s="9">
        <v>2016</v>
      </c>
      <c r="E5" s="9" t="s">
        <v>175</v>
      </c>
      <c r="G5" s="11" t="s">
        <v>174</v>
      </c>
    </row>
    <row r="6" spans="1:7" x14ac:dyDescent="0.3">
      <c r="A6" s="8" t="str">
        <f t="shared" si="0"/>
        <v>Wiley&amp;Sons2013</v>
      </c>
      <c r="B6" s="9" t="s">
        <v>178</v>
      </c>
      <c r="C6" s="13" t="s">
        <v>2097</v>
      </c>
      <c r="D6" s="9">
        <v>2013</v>
      </c>
      <c r="E6" s="9" t="s">
        <v>179</v>
      </c>
      <c r="G6" s="11" t="s">
        <v>180</v>
      </c>
    </row>
    <row r="7" spans="1:7" ht="28.8" x14ac:dyDescent="0.3">
      <c r="A7" s="8" t="str">
        <f t="shared" si="0"/>
        <v>Ikäheimo2018</v>
      </c>
      <c r="B7" s="9" t="s">
        <v>57</v>
      </c>
      <c r="C7" s="9" t="s">
        <v>2098</v>
      </c>
      <c r="D7" s="9">
        <v>2018</v>
      </c>
      <c r="E7" s="9" t="s">
        <v>73</v>
      </c>
      <c r="G7" s="11" t="s">
        <v>81</v>
      </c>
    </row>
    <row r="8" spans="1:7" ht="43.2" x14ac:dyDescent="0.3">
      <c r="A8" s="8" t="str">
        <f t="shared" si="0"/>
        <v>European Industrial Gases Association2010</v>
      </c>
      <c r="B8" s="9" t="s">
        <v>62</v>
      </c>
      <c r="C8" s="9" t="s">
        <v>63</v>
      </c>
      <c r="D8" s="9">
        <v>2010</v>
      </c>
      <c r="E8" s="9" t="s">
        <v>2099</v>
      </c>
      <c r="G8" s="11" t="s">
        <v>66</v>
      </c>
    </row>
    <row r="9" spans="1:7" ht="28.8" x14ac:dyDescent="0.3">
      <c r="A9" s="8" t="str">
        <f t="shared" si="0"/>
        <v>Morgan2013</v>
      </c>
      <c r="B9" s="189" t="s">
        <v>65</v>
      </c>
      <c r="C9" s="9" t="s">
        <v>2100</v>
      </c>
      <c r="D9" s="9">
        <v>2013</v>
      </c>
      <c r="E9" s="9" t="s">
        <v>74</v>
      </c>
      <c r="G9" s="11" t="s">
        <v>67</v>
      </c>
    </row>
    <row r="10" spans="1:7" ht="28.8" x14ac:dyDescent="0.3">
      <c r="A10" s="8" t="str">
        <f t="shared" si="0"/>
        <v>Blanco2018</v>
      </c>
      <c r="B10" s="9" t="s">
        <v>69</v>
      </c>
      <c r="C10" s="9" t="s">
        <v>2101</v>
      </c>
      <c r="D10" s="9">
        <v>2018</v>
      </c>
      <c r="E10" s="9" t="s">
        <v>73</v>
      </c>
      <c r="G10" s="11" t="s">
        <v>70</v>
      </c>
    </row>
    <row r="11" spans="1:7" x14ac:dyDescent="0.3">
      <c r="A11" s="8" t="str">
        <f t="shared" si="0"/>
        <v>Bartels2008</v>
      </c>
      <c r="B11" s="9" t="s">
        <v>71</v>
      </c>
      <c r="C11" s="8" t="s">
        <v>2102</v>
      </c>
      <c r="D11" s="9">
        <v>2008</v>
      </c>
      <c r="E11" s="9" t="s">
        <v>75</v>
      </c>
      <c r="G11" s="11" t="s">
        <v>76</v>
      </c>
    </row>
    <row r="12" spans="1:7" x14ac:dyDescent="0.3">
      <c r="A12" s="8" t="str">
        <f t="shared" si="0"/>
        <v>Dana2016</v>
      </c>
      <c r="B12" s="9" t="s">
        <v>79</v>
      </c>
      <c r="C12" s="9" t="s">
        <v>2103</v>
      </c>
      <c r="D12" s="9">
        <v>2016</v>
      </c>
      <c r="E12" s="9" t="s">
        <v>73</v>
      </c>
      <c r="G12" s="11" t="s">
        <v>78</v>
      </c>
    </row>
    <row r="13" spans="1:7" ht="28.8" x14ac:dyDescent="0.3">
      <c r="A13" s="8" t="str">
        <f t="shared" si="0"/>
        <v>Gosnell2005</v>
      </c>
      <c r="B13" s="8" t="s">
        <v>92</v>
      </c>
      <c r="C13" s="9" t="s">
        <v>2104</v>
      </c>
      <c r="D13" s="9">
        <v>2005</v>
      </c>
      <c r="E13" s="9" t="s">
        <v>91</v>
      </c>
      <c r="G13" s="11" t="s">
        <v>90</v>
      </c>
    </row>
    <row r="14" spans="1:7" ht="28.8" x14ac:dyDescent="0.3">
      <c r="A14" s="8" t="str">
        <f t="shared" si="0"/>
        <v>Olson2017</v>
      </c>
      <c r="B14" s="9" t="s">
        <v>95</v>
      </c>
      <c r="C14" s="9" t="s">
        <v>2105</v>
      </c>
      <c r="D14" s="9">
        <v>2017</v>
      </c>
      <c r="E14" s="9" t="s">
        <v>91</v>
      </c>
      <c r="G14" s="11" t="s">
        <v>96</v>
      </c>
    </row>
    <row r="15" spans="1:7" ht="57.6" x14ac:dyDescent="0.3">
      <c r="A15" s="8" t="str">
        <f t="shared" si="0"/>
        <v>ISPT2017</v>
      </c>
      <c r="B15" s="9" t="s">
        <v>100</v>
      </c>
      <c r="C15" s="9" t="s">
        <v>2106</v>
      </c>
      <c r="D15" s="9">
        <v>2017</v>
      </c>
      <c r="E15" s="9" t="s">
        <v>2107</v>
      </c>
      <c r="G15" s="11" t="s">
        <v>98</v>
      </c>
    </row>
    <row r="16" spans="1:7" ht="28.8" x14ac:dyDescent="0.3">
      <c r="A16" s="8" t="str">
        <f t="shared" si="0"/>
        <v>Palys2019</v>
      </c>
      <c r="B16" s="9" t="s">
        <v>115</v>
      </c>
      <c r="C16" s="9" t="s">
        <v>2108</v>
      </c>
      <c r="D16" s="9">
        <v>2019</v>
      </c>
      <c r="E16" s="9" t="s">
        <v>73</v>
      </c>
      <c r="G16" s="11" t="s">
        <v>116</v>
      </c>
    </row>
    <row r="17" spans="1:7" ht="28.8" x14ac:dyDescent="0.3">
      <c r="A17" s="8" t="str">
        <f t="shared" si="0"/>
        <v>Palys2018</v>
      </c>
      <c r="B17" s="9" t="s">
        <v>120</v>
      </c>
      <c r="C17" s="9" t="s">
        <v>2108</v>
      </c>
      <c r="D17" s="9">
        <v>2018</v>
      </c>
      <c r="E17" s="9" t="s">
        <v>73</v>
      </c>
      <c r="G17" s="11" t="s">
        <v>121</v>
      </c>
    </row>
    <row r="18" spans="1:7" ht="28.8" x14ac:dyDescent="0.3">
      <c r="A18" s="8" t="str">
        <f t="shared" si="0"/>
        <v>Allman 2017</v>
      </c>
      <c r="B18" s="9" t="s">
        <v>125</v>
      </c>
      <c r="C18" s="9" t="s">
        <v>2109</v>
      </c>
      <c r="D18" s="9">
        <v>2017</v>
      </c>
      <c r="E18" s="9" t="s">
        <v>73</v>
      </c>
      <c r="G18" s="11" t="s">
        <v>126</v>
      </c>
    </row>
    <row r="19" spans="1:7" x14ac:dyDescent="0.3">
      <c r="A19" s="8" t="str">
        <f t="shared" si="0"/>
        <v>Carmo2013</v>
      </c>
      <c r="B19" s="9" t="s">
        <v>127</v>
      </c>
      <c r="C19" s="9" t="s">
        <v>2110</v>
      </c>
      <c r="D19" s="9">
        <v>2013</v>
      </c>
      <c r="E19" s="9" t="s">
        <v>73</v>
      </c>
      <c r="G19" s="11" t="s">
        <v>128</v>
      </c>
    </row>
    <row r="20" spans="1:7" ht="28.8" x14ac:dyDescent="0.3">
      <c r="A20" s="8" t="str">
        <f t="shared" si="0"/>
        <v>Zhang2020</v>
      </c>
      <c r="B20" s="9" t="s">
        <v>130</v>
      </c>
      <c r="C20" s="9" t="s">
        <v>2111</v>
      </c>
      <c r="D20" s="9">
        <v>2020</v>
      </c>
      <c r="E20" s="9" t="s">
        <v>73</v>
      </c>
      <c r="G20" s="11" t="s">
        <v>2213</v>
      </c>
    </row>
    <row r="21" spans="1:7" x14ac:dyDescent="0.3">
      <c r="A21" s="8" t="str">
        <f t="shared" si="0"/>
        <v>??</v>
      </c>
      <c r="B21" s="13" t="s">
        <v>133</v>
      </c>
      <c r="C21" s="9" t="s">
        <v>134</v>
      </c>
      <c r="D21" s="9" t="s">
        <v>134</v>
      </c>
      <c r="E21" s="9" t="s">
        <v>134</v>
      </c>
      <c r="F21" s="9" t="s">
        <v>1263</v>
      </c>
      <c r="G21" s="11" t="s">
        <v>135</v>
      </c>
    </row>
    <row r="22" spans="1:7" ht="28.8" x14ac:dyDescent="0.3">
      <c r="A22" s="8" t="str">
        <f t="shared" si="0"/>
        <v>European Commission2017</v>
      </c>
      <c r="B22" s="189" t="s">
        <v>139</v>
      </c>
      <c r="C22" s="9" t="s">
        <v>2112</v>
      </c>
      <c r="D22" s="9">
        <v>2017</v>
      </c>
      <c r="E22" s="9" t="s">
        <v>99</v>
      </c>
      <c r="G22" s="11" t="s">
        <v>140</v>
      </c>
    </row>
    <row r="23" spans="1:7" ht="28.8" x14ac:dyDescent="0.3">
      <c r="A23" s="8" t="str">
        <f t="shared" si="0"/>
        <v>Allman 2018</v>
      </c>
      <c r="B23" s="9" t="s">
        <v>157</v>
      </c>
      <c r="C23" s="9" t="s">
        <v>2109</v>
      </c>
      <c r="D23" s="9">
        <v>2018</v>
      </c>
      <c r="E23" s="9" t="s">
        <v>73</v>
      </c>
      <c r="G23" s="11" t="s">
        <v>158</v>
      </c>
    </row>
    <row r="24" spans="1:7" ht="28.8" x14ac:dyDescent="0.3">
      <c r="A24" s="8" t="str">
        <f t="shared" si="0"/>
        <v>Zachar2015</v>
      </c>
      <c r="B24" s="9" t="s">
        <v>161</v>
      </c>
      <c r="C24" s="9" t="s">
        <v>2113</v>
      </c>
      <c r="D24" s="9">
        <v>2015</v>
      </c>
      <c r="E24" s="9" t="s">
        <v>73</v>
      </c>
      <c r="G24" s="11" t="s">
        <v>162</v>
      </c>
    </row>
    <row r="25" spans="1:7" ht="28.8" x14ac:dyDescent="0.3">
      <c r="A25" s="8" t="str">
        <f t="shared" si="0"/>
        <v>Bezmalinovic2013</v>
      </c>
      <c r="B25" s="9" t="s">
        <v>166</v>
      </c>
      <c r="C25" s="9" t="s">
        <v>2114</v>
      </c>
      <c r="D25" s="9">
        <v>2013</v>
      </c>
      <c r="E25" s="9" t="s">
        <v>73</v>
      </c>
      <c r="G25" s="11" t="s">
        <v>167</v>
      </c>
    </row>
    <row r="26" spans="1:7" ht="43.2" x14ac:dyDescent="0.3">
      <c r="A26" s="8" t="str">
        <f t="shared" si="0"/>
        <v>Buttler2018</v>
      </c>
      <c r="B26" s="9" t="s">
        <v>187</v>
      </c>
      <c r="C26" s="9" t="s">
        <v>2115</v>
      </c>
      <c r="D26" s="9">
        <v>2018</v>
      </c>
      <c r="E26" s="9" t="s">
        <v>73</v>
      </c>
      <c r="G26" s="11" t="s">
        <v>188</v>
      </c>
    </row>
    <row r="27" spans="1:7" ht="28.8" x14ac:dyDescent="0.3">
      <c r="A27" s="8" t="str">
        <f t="shared" si="0"/>
        <v>Schmidt2017</v>
      </c>
      <c r="B27" s="9" t="s">
        <v>220</v>
      </c>
      <c r="C27" s="9" t="s">
        <v>2116</v>
      </c>
      <c r="D27" s="9">
        <v>2017</v>
      </c>
      <c r="E27" s="9" t="s">
        <v>73</v>
      </c>
      <c r="G27" s="11" t="s">
        <v>221</v>
      </c>
    </row>
    <row r="28" spans="1:7" x14ac:dyDescent="0.3">
      <c r="A28" s="8" t="str">
        <f t="shared" si="0"/>
        <v>Bertuccioli2014</v>
      </c>
      <c r="B28" s="9" t="s">
        <v>226</v>
      </c>
      <c r="C28" s="9" t="s">
        <v>2117</v>
      </c>
      <c r="D28" s="9">
        <v>2014</v>
      </c>
      <c r="E28" s="9" t="s">
        <v>227</v>
      </c>
      <c r="G28" s="11" t="s">
        <v>228</v>
      </c>
    </row>
    <row r="29" spans="1:7" x14ac:dyDescent="0.3">
      <c r="A29" s="8" t="str">
        <f t="shared" si="0"/>
        <v>Ainscough2014</v>
      </c>
      <c r="B29" s="9" t="s">
        <v>234</v>
      </c>
      <c r="C29" s="9" t="s">
        <v>2118</v>
      </c>
      <c r="D29" s="9">
        <v>2014</v>
      </c>
      <c r="E29" s="9" t="s">
        <v>235</v>
      </c>
      <c r="G29" s="11" t="s">
        <v>236</v>
      </c>
    </row>
    <row r="30" spans="1:7" x14ac:dyDescent="0.3">
      <c r="A30" s="8" t="str">
        <f t="shared" si="0"/>
        <v>Guilera2018</v>
      </c>
      <c r="B30" s="9" t="s">
        <v>245</v>
      </c>
      <c r="C30" s="9" t="s">
        <v>246</v>
      </c>
      <c r="D30" s="9">
        <v>2018</v>
      </c>
      <c r="E30" s="9" t="s">
        <v>73</v>
      </c>
      <c r="G30" s="11" t="s">
        <v>247</v>
      </c>
    </row>
    <row r="31" spans="1:7" ht="28.8" x14ac:dyDescent="0.3">
      <c r="A31" s="8" t="str">
        <f t="shared" si="0"/>
        <v>Parks2014</v>
      </c>
      <c r="B31" s="9" t="s">
        <v>250</v>
      </c>
      <c r="C31" s="9" t="s">
        <v>2119</v>
      </c>
      <c r="D31" s="9">
        <v>2014</v>
      </c>
      <c r="E31" s="9" t="s">
        <v>251</v>
      </c>
      <c r="G31" s="11" t="s">
        <v>252</v>
      </c>
    </row>
    <row r="32" spans="1:7" ht="28.8" x14ac:dyDescent="0.3">
      <c r="A32" s="8" t="str">
        <f t="shared" si="0"/>
        <v>Schoenung2011</v>
      </c>
      <c r="B32" s="9" t="s">
        <v>255</v>
      </c>
      <c r="C32" s="9" t="s">
        <v>254</v>
      </c>
      <c r="D32" s="9">
        <v>2011</v>
      </c>
      <c r="E32" s="9" t="s">
        <v>74</v>
      </c>
      <c r="G32" s="11" t="s">
        <v>256</v>
      </c>
    </row>
    <row r="33" spans="1:7" ht="28.8" x14ac:dyDescent="0.3">
      <c r="A33" s="8" t="str">
        <f t="shared" si="0"/>
        <v>Gardiner2009</v>
      </c>
      <c r="B33" s="9" t="s">
        <v>294</v>
      </c>
      <c r="C33" s="9" t="s">
        <v>2120</v>
      </c>
      <c r="D33" s="9">
        <v>2009</v>
      </c>
      <c r="E33" s="9" t="s">
        <v>297</v>
      </c>
      <c r="G33" s="11" t="s">
        <v>293</v>
      </c>
    </row>
    <row r="34" spans="1:7" ht="28.8" x14ac:dyDescent="0.3">
      <c r="A34" s="8" t="str">
        <f t="shared" si="0"/>
        <v>Adams2019</v>
      </c>
      <c r="B34" s="9" t="s">
        <v>295</v>
      </c>
      <c r="C34" s="9" t="s">
        <v>2121</v>
      </c>
      <c r="D34" s="9">
        <v>2019</v>
      </c>
      <c r="E34" s="9" t="s">
        <v>296</v>
      </c>
      <c r="G34" s="11" t="s">
        <v>298</v>
      </c>
    </row>
    <row r="35" spans="1:7" ht="28.8" x14ac:dyDescent="0.3">
      <c r="A35" s="8" t="str">
        <f t="shared" si="0"/>
        <v>Aicher2014</v>
      </c>
      <c r="B35" s="9" t="s">
        <v>302</v>
      </c>
      <c r="C35" s="9" t="s">
        <v>2122</v>
      </c>
      <c r="D35" s="9">
        <v>2014</v>
      </c>
      <c r="E35" s="9" t="s">
        <v>134</v>
      </c>
      <c r="G35" s="11" t="s">
        <v>303</v>
      </c>
    </row>
    <row r="36" spans="1:7" x14ac:dyDescent="0.3">
      <c r="A36" s="8" t="str">
        <f t="shared" si="0"/>
        <v>H-TEC Series2020</v>
      </c>
      <c r="B36" s="9" t="s">
        <v>306</v>
      </c>
      <c r="C36" s="9" t="s">
        <v>307</v>
      </c>
      <c r="D36" s="9">
        <v>2020</v>
      </c>
      <c r="E36" s="9" t="s">
        <v>308</v>
      </c>
      <c r="G36" s="11" t="s">
        <v>309</v>
      </c>
    </row>
    <row r="37" spans="1:7" x14ac:dyDescent="0.3">
      <c r="A37" s="8" t="str">
        <f t="shared" si="0"/>
        <v>Hydrogenics2020</v>
      </c>
      <c r="B37" s="9" t="s">
        <v>311</v>
      </c>
      <c r="C37" s="9" t="s">
        <v>310</v>
      </c>
      <c r="D37" s="9">
        <v>2020</v>
      </c>
      <c r="E37" s="9" t="s">
        <v>308</v>
      </c>
      <c r="G37" s="11" t="s">
        <v>312</v>
      </c>
    </row>
    <row r="38" spans="1:7" ht="28.8" x14ac:dyDescent="0.3">
      <c r="A38" s="8" t="str">
        <f t="shared" si="0"/>
        <v>Topsoe2016</v>
      </c>
      <c r="B38" s="9" t="s">
        <v>348</v>
      </c>
      <c r="C38" s="9" t="s">
        <v>2124</v>
      </c>
      <c r="D38" s="9">
        <v>2016</v>
      </c>
      <c r="E38" s="9" t="s">
        <v>349</v>
      </c>
      <c r="G38" s="11" t="s">
        <v>350</v>
      </c>
    </row>
    <row r="39" spans="1:7" ht="28.8" x14ac:dyDescent="0.3">
      <c r="A39" s="8" t="str">
        <f t="shared" si="0"/>
        <v>Nayak-Luke2018</v>
      </c>
      <c r="B39" s="9" t="s">
        <v>356</v>
      </c>
      <c r="C39" s="9" t="s">
        <v>2123</v>
      </c>
      <c r="D39" s="9">
        <v>2018</v>
      </c>
      <c r="E39" s="9" t="s">
        <v>73</v>
      </c>
      <c r="G39" s="11" t="s">
        <v>357</v>
      </c>
    </row>
    <row r="40" spans="1:7" x14ac:dyDescent="0.3">
      <c r="A40" s="8" t="str">
        <f t="shared" si="0"/>
        <v>NREL2004</v>
      </c>
      <c r="B40" s="9" t="s">
        <v>359</v>
      </c>
      <c r="C40" s="9" t="s">
        <v>286</v>
      </c>
      <c r="D40" s="9">
        <v>2004</v>
      </c>
      <c r="E40" s="9" t="s">
        <v>360</v>
      </c>
      <c r="G40" s="11" t="s">
        <v>361</v>
      </c>
    </row>
    <row r="41" spans="1:7" x14ac:dyDescent="0.3">
      <c r="A41" s="8" t="str">
        <f t="shared" si="0"/>
        <v>Banares-Alcantara2015</v>
      </c>
      <c r="B41" s="9" t="s">
        <v>364</v>
      </c>
      <c r="C41" s="9" t="s">
        <v>2182</v>
      </c>
      <c r="D41" s="9">
        <v>2015</v>
      </c>
      <c r="E41" s="9" t="s">
        <v>99</v>
      </c>
      <c r="G41" s="11" t="s">
        <v>365</v>
      </c>
    </row>
    <row r="42" spans="1:7" ht="28.8" x14ac:dyDescent="0.3">
      <c r="A42" s="8" t="str">
        <f t="shared" si="0"/>
        <v>Hughes2013</v>
      </c>
      <c r="B42" s="9" t="s">
        <v>382</v>
      </c>
      <c r="C42" s="9" t="s">
        <v>2126</v>
      </c>
      <c r="D42" s="9">
        <v>2013</v>
      </c>
      <c r="E42" s="9" t="s">
        <v>2125</v>
      </c>
      <c r="G42" s="12" t="s">
        <v>134</v>
      </c>
    </row>
    <row r="43" spans="1:7" ht="28.8" x14ac:dyDescent="0.3">
      <c r="A43" s="8" t="str">
        <f t="shared" si="0"/>
        <v>Beerbühl2015</v>
      </c>
      <c r="B43" s="9" t="s">
        <v>376</v>
      </c>
      <c r="C43" s="9" t="s">
        <v>2127</v>
      </c>
      <c r="D43" s="9">
        <v>2015</v>
      </c>
      <c r="E43" s="9" t="s">
        <v>73</v>
      </c>
      <c r="G43" s="11" t="s">
        <v>377</v>
      </c>
    </row>
    <row r="44" spans="1:7" x14ac:dyDescent="0.3">
      <c r="A44" s="8" t="str">
        <f t="shared" si="0"/>
        <v>Tuna2014</v>
      </c>
      <c r="B44" s="9" t="s">
        <v>383</v>
      </c>
      <c r="C44" s="9" t="s">
        <v>2128</v>
      </c>
      <c r="D44" s="9">
        <v>2014</v>
      </c>
      <c r="E44" s="9" t="s">
        <v>73</v>
      </c>
      <c r="G44" s="11" t="s">
        <v>384</v>
      </c>
    </row>
    <row r="45" spans="1:7" ht="28.8" x14ac:dyDescent="0.3">
      <c r="A45" s="8" t="str">
        <f t="shared" si="0"/>
        <v>Belotti2017</v>
      </c>
      <c r="B45" s="9" t="s">
        <v>387</v>
      </c>
      <c r="C45" s="9" t="s">
        <v>2129</v>
      </c>
      <c r="D45" s="9">
        <v>2017</v>
      </c>
      <c r="E45" s="9" t="s">
        <v>73</v>
      </c>
      <c r="G45" s="11" t="s">
        <v>388</v>
      </c>
    </row>
    <row r="46" spans="1:7" x14ac:dyDescent="0.3">
      <c r="A46" s="8" t="str">
        <f t="shared" si="0"/>
        <v>ICIS2020</v>
      </c>
      <c r="B46" s="9" t="s">
        <v>410</v>
      </c>
      <c r="C46" s="9" t="s">
        <v>2130</v>
      </c>
      <c r="D46" s="9">
        <v>2020</v>
      </c>
      <c r="E46" s="9" t="s">
        <v>411</v>
      </c>
      <c r="G46" s="11" t="s">
        <v>412</v>
      </c>
    </row>
    <row r="47" spans="1:7" x14ac:dyDescent="0.3">
      <c r="A47" s="8" t="str">
        <f t="shared" si="0"/>
        <v>Gallagher2016</v>
      </c>
      <c r="B47" s="9" t="s">
        <v>428</v>
      </c>
      <c r="C47" s="13" t="s">
        <v>2131</v>
      </c>
      <c r="D47" s="9">
        <v>2016</v>
      </c>
      <c r="E47" s="9" t="s">
        <v>429</v>
      </c>
      <c r="G47" s="11" t="s">
        <v>430</v>
      </c>
    </row>
    <row r="48" spans="1:7" ht="43.2" x14ac:dyDescent="0.3">
      <c r="A48" s="8" t="str">
        <f t="shared" si="0"/>
        <v>Mayer2015</v>
      </c>
      <c r="B48" s="9" t="s">
        <v>431</v>
      </c>
      <c r="C48" s="9" t="s">
        <v>2132</v>
      </c>
      <c r="D48" s="9">
        <v>2015</v>
      </c>
      <c r="E48" s="9" t="s">
        <v>433</v>
      </c>
      <c r="G48" s="11" t="s">
        <v>432</v>
      </c>
    </row>
    <row r="49" spans="1:7" x14ac:dyDescent="0.3">
      <c r="A49" s="8" t="str">
        <f t="shared" si="0"/>
        <v>McKenna2015</v>
      </c>
      <c r="B49" s="9" t="s">
        <v>526</v>
      </c>
      <c r="C49" s="9" t="s">
        <v>2133</v>
      </c>
      <c r="D49" s="9">
        <v>2015</v>
      </c>
      <c r="E49" s="9" t="s">
        <v>73</v>
      </c>
      <c r="G49" s="11" t="s">
        <v>527</v>
      </c>
    </row>
    <row r="50" spans="1:7" x14ac:dyDescent="0.3">
      <c r="A50" s="8" t="str">
        <f t="shared" si="0"/>
        <v>IEA2019</v>
      </c>
      <c r="B50" s="9" t="s">
        <v>574</v>
      </c>
      <c r="C50" s="9" t="s">
        <v>572</v>
      </c>
      <c r="D50" s="9">
        <v>2019</v>
      </c>
      <c r="E50" s="9" t="s">
        <v>573</v>
      </c>
      <c r="G50" s="11" t="s">
        <v>575</v>
      </c>
    </row>
    <row r="51" spans="1:7" x14ac:dyDescent="0.3">
      <c r="A51" s="8" t="str">
        <f t="shared" si="0"/>
        <v>NREL2012</v>
      </c>
      <c r="B51" s="9" t="s">
        <v>608</v>
      </c>
      <c r="C51" s="9" t="s">
        <v>286</v>
      </c>
      <c r="D51" s="9">
        <v>2012</v>
      </c>
      <c r="E51" s="9" t="s">
        <v>610</v>
      </c>
      <c r="G51" s="11" t="s">
        <v>609</v>
      </c>
    </row>
    <row r="52" spans="1:7" ht="28.8" x14ac:dyDescent="0.3">
      <c r="A52" s="8" t="str">
        <f t="shared" si="0"/>
        <v>Lindstad2020</v>
      </c>
      <c r="B52" s="9" t="s">
        <v>611</v>
      </c>
      <c r="C52" s="9" t="s">
        <v>2134</v>
      </c>
      <c r="D52" s="9">
        <v>2020</v>
      </c>
      <c r="E52" s="9" t="s">
        <v>73</v>
      </c>
      <c r="G52" s="11" t="s">
        <v>612</v>
      </c>
    </row>
    <row r="53" spans="1:7" ht="28.8" x14ac:dyDescent="0.3">
      <c r="A53" s="8" t="str">
        <f t="shared" si="0"/>
        <v>DEA2020</v>
      </c>
      <c r="B53" s="9" t="s">
        <v>644</v>
      </c>
      <c r="C53" s="9" t="s">
        <v>2135</v>
      </c>
      <c r="D53" s="9">
        <v>2020</v>
      </c>
      <c r="E53" s="9" t="s">
        <v>677</v>
      </c>
      <c r="G53" s="11" t="s">
        <v>645</v>
      </c>
    </row>
    <row r="54" spans="1:7" x14ac:dyDescent="0.3">
      <c r="A54" s="8" t="str">
        <f t="shared" si="0"/>
        <v>DEA2020</v>
      </c>
      <c r="B54" s="9" t="s">
        <v>676</v>
      </c>
      <c r="C54" s="9" t="s">
        <v>2135</v>
      </c>
      <c r="D54" s="9">
        <v>2020</v>
      </c>
      <c r="E54" s="9" t="s">
        <v>677</v>
      </c>
      <c r="G54" s="11" t="s">
        <v>678</v>
      </c>
    </row>
    <row r="55" spans="1:7" ht="43.2" x14ac:dyDescent="0.3">
      <c r="A55" s="8" t="str">
        <f t="shared" si="0"/>
        <v>Hank2018</v>
      </c>
      <c r="B55" s="9" t="s">
        <v>705</v>
      </c>
      <c r="C55" s="9" t="s">
        <v>2136</v>
      </c>
      <c r="D55" s="9">
        <v>2018</v>
      </c>
      <c r="E55" s="9" t="s">
        <v>73</v>
      </c>
      <c r="G55" s="11" t="s">
        <v>706</v>
      </c>
    </row>
    <row r="56" spans="1:7" x14ac:dyDescent="0.3">
      <c r="A56" s="8" t="str">
        <f t="shared" si="0"/>
        <v>ADI Analytics2015</v>
      </c>
      <c r="B56" s="9" t="s">
        <v>734</v>
      </c>
      <c r="C56" s="9" t="s">
        <v>2137</v>
      </c>
      <c r="D56" s="9">
        <v>2015</v>
      </c>
      <c r="E56" s="9" t="s">
        <v>735</v>
      </c>
      <c r="G56" s="11" t="s">
        <v>736</v>
      </c>
    </row>
    <row r="57" spans="1:7" ht="28.8" x14ac:dyDescent="0.3">
      <c r="A57" s="8" t="str">
        <f t="shared" si="0"/>
        <v>Peres-Fortes2016</v>
      </c>
      <c r="B57" s="9" t="s">
        <v>737</v>
      </c>
      <c r="C57" s="9" t="s">
        <v>2181</v>
      </c>
      <c r="D57" s="9">
        <v>2016</v>
      </c>
      <c r="E57" s="9" t="s">
        <v>73</v>
      </c>
      <c r="G57" s="11" t="s">
        <v>738</v>
      </c>
    </row>
    <row r="58" spans="1:7" ht="28.8" x14ac:dyDescent="0.3">
      <c r="A58" s="8" t="str">
        <f t="shared" si="0"/>
        <v>Abu-Zhara2007</v>
      </c>
      <c r="B58" s="9" t="s">
        <v>754</v>
      </c>
      <c r="C58" s="9" t="s">
        <v>2138</v>
      </c>
      <c r="D58" s="9">
        <v>2007</v>
      </c>
      <c r="E58" s="9" t="s">
        <v>73</v>
      </c>
      <c r="G58" s="11" t="s">
        <v>755</v>
      </c>
    </row>
    <row r="59" spans="1:7" ht="28.8" x14ac:dyDescent="0.3">
      <c r="A59" s="8" t="str">
        <f t="shared" si="0"/>
        <v>Konstantinos2016</v>
      </c>
      <c r="B59" s="9" t="s">
        <v>770</v>
      </c>
      <c r="C59" s="9" t="s">
        <v>2139</v>
      </c>
      <c r="D59" s="9">
        <v>2016</v>
      </c>
      <c r="E59" s="9" t="s">
        <v>73</v>
      </c>
      <c r="G59" s="11" t="s">
        <v>771</v>
      </c>
    </row>
    <row r="60" spans="1:7" ht="28.8" x14ac:dyDescent="0.3">
      <c r="A60" s="8" t="str">
        <f t="shared" si="0"/>
        <v>Jepma2018</v>
      </c>
      <c r="B60" s="9" t="s">
        <v>809</v>
      </c>
      <c r="C60" s="9" t="s">
        <v>2140</v>
      </c>
      <c r="D60" s="9">
        <v>2018</v>
      </c>
      <c r="E60" s="9" t="s">
        <v>99</v>
      </c>
      <c r="G60" s="11" t="s">
        <v>810</v>
      </c>
    </row>
    <row r="61" spans="1:7" x14ac:dyDescent="0.3">
      <c r="A61" s="8" t="str">
        <f t="shared" si="0"/>
        <v>Ammonfuel2020</v>
      </c>
      <c r="B61" s="9" t="s">
        <v>813</v>
      </c>
      <c r="C61" s="9" t="s">
        <v>2184</v>
      </c>
      <c r="D61" s="9">
        <v>2020</v>
      </c>
      <c r="E61" s="9" t="s">
        <v>99</v>
      </c>
      <c r="G61" s="11" t="s">
        <v>1193</v>
      </c>
    </row>
    <row r="62" spans="1:7" x14ac:dyDescent="0.3">
      <c r="A62" s="8" t="str">
        <f t="shared" si="0"/>
        <v>Andika2018</v>
      </c>
      <c r="B62" s="9" t="s">
        <v>817</v>
      </c>
      <c r="C62" s="9" t="s">
        <v>2141</v>
      </c>
      <c r="D62" s="9">
        <v>2018</v>
      </c>
      <c r="E62" s="9" t="s">
        <v>73</v>
      </c>
      <c r="G62" s="11" t="s">
        <v>818</v>
      </c>
    </row>
    <row r="63" spans="1:7" x14ac:dyDescent="0.3">
      <c r="A63" s="8" t="str">
        <f t="shared" si="0"/>
        <v>DEA2020</v>
      </c>
      <c r="B63" s="9" t="s">
        <v>833</v>
      </c>
      <c r="C63" s="9" t="s">
        <v>2135</v>
      </c>
      <c r="D63" s="9">
        <v>2020</v>
      </c>
      <c r="E63" s="9" t="s">
        <v>834</v>
      </c>
      <c r="G63" s="11" t="s">
        <v>835</v>
      </c>
    </row>
    <row r="64" spans="1:7" ht="28.8" x14ac:dyDescent="0.3">
      <c r="A64" s="8" t="str">
        <f t="shared" si="0"/>
        <v>Energinet2018</v>
      </c>
      <c r="B64" s="9" t="s">
        <v>868</v>
      </c>
      <c r="C64" s="9" t="s">
        <v>867</v>
      </c>
      <c r="D64" s="9">
        <v>2018</v>
      </c>
      <c r="E64" s="9" t="s">
        <v>869</v>
      </c>
      <c r="G64" s="11" t="s">
        <v>870</v>
      </c>
    </row>
    <row r="65" spans="1:7" x14ac:dyDescent="0.3">
      <c r="A65" s="8" t="str">
        <f t="shared" si="0"/>
        <v>Brynolf2018</v>
      </c>
      <c r="B65" s="9" t="s">
        <v>881</v>
      </c>
      <c r="C65" s="9" t="s">
        <v>2142</v>
      </c>
      <c r="D65" s="9">
        <v>2018</v>
      </c>
      <c r="E65" s="9" t="s">
        <v>880</v>
      </c>
      <c r="G65" s="11" t="s">
        <v>882</v>
      </c>
    </row>
    <row r="66" spans="1:7" ht="57.6" x14ac:dyDescent="0.3">
      <c r="A66" s="8" t="str">
        <f t="shared" si="0"/>
        <v>Leeson2018</v>
      </c>
      <c r="B66" s="9" t="s">
        <v>891</v>
      </c>
      <c r="C66" s="9" t="s">
        <v>892</v>
      </c>
      <c r="D66" s="9">
        <v>2018</v>
      </c>
      <c r="E66" s="9" t="s">
        <v>880</v>
      </c>
      <c r="G66" s="11" t="s">
        <v>893</v>
      </c>
    </row>
    <row r="67" spans="1:7" ht="43.2" x14ac:dyDescent="0.3">
      <c r="A67" s="8" t="str">
        <f t="shared" si="0"/>
        <v>Hannula2015</v>
      </c>
      <c r="B67" s="9" t="s">
        <v>894</v>
      </c>
      <c r="C67" s="9" t="s">
        <v>895</v>
      </c>
      <c r="D67" s="9">
        <v>2015</v>
      </c>
      <c r="E67" s="9" t="s">
        <v>73</v>
      </c>
      <c r="G67" s="11" t="s">
        <v>896</v>
      </c>
    </row>
    <row r="68" spans="1:7" ht="28.8" x14ac:dyDescent="0.3">
      <c r="A68" s="8" t="str">
        <f t="shared" ref="A68:A131" si="1">C68&amp;D68</f>
        <v>Mosheni2013</v>
      </c>
      <c r="B68" s="9" t="s">
        <v>898</v>
      </c>
      <c r="C68" s="9" t="s">
        <v>899</v>
      </c>
      <c r="D68" s="9">
        <v>2013</v>
      </c>
      <c r="E68" s="9" t="s">
        <v>73</v>
      </c>
      <c r="G68" s="11" t="s">
        <v>900</v>
      </c>
    </row>
    <row r="69" spans="1:7" ht="28.8" x14ac:dyDescent="0.3">
      <c r="A69" s="8" t="str">
        <f t="shared" si="1"/>
        <v>Fu2010</v>
      </c>
      <c r="B69" s="9" t="s">
        <v>903</v>
      </c>
      <c r="C69" s="9" t="s">
        <v>904</v>
      </c>
      <c r="D69" s="9">
        <v>2010</v>
      </c>
      <c r="E69" s="9" t="s">
        <v>73</v>
      </c>
      <c r="G69" s="11" t="s">
        <v>905</v>
      </c>
    </row>
    <row r="70" spans="1:7" ht="28.8" x14ac:dyDescent="0.3">
      <c r="A70" s="8" t="str">
        <f t="shared" si="1"/>
        <v>McDonagh2018</v>
      </c>
      <c r="B70" s="9" t="s">
        <v>906</v>
      </c>
      <c r="C70" s="9" t="s">
        <v>2143</v>
      </c>
      <c r="D70" s="9">
        <v>2018</v>
      </c>
      <c r="E70" s="9" t="s">
        <v>73</v>
      </c>
      <c r="G70" s="11" t="s">
        <v>907</v>
      </c>
    </row>
    <row r="71" spans="1:7" ht="28.8" x14ac:dyDescent="0.3">
      <c r="A71" s="8" t="str">
        <f t="shared" si="1"/>
        <v>Energinet2019</v>
      </c>
      <c r="B71" s="9" t="s">
        <v>927</v>
      </c>
      <c r="C71" s="9" t="s">
        <v>867</v>
      </c>
      <c r="D71" s="9">
        <v>2019</v>
      </c>
      <c r="E71" s="9" t="s">
        <v>99</v>
      </c>
      <c r="G71" s="11" t="s">
        <v>926</v>
      </c>
    </row>
    <row r="72" spans="1:7" ht="28.8" x14ac:dyDescent="0.3">
      <c r="A72" s="8" t="str">
        <f t="shared" si="1"/>
        <v>Baufumé2013</v>
      </c>
      <c r="B72" s="9" t="s">
        <v>935</v>
      </c>
      <c r="C72" s="9" t="s">
        <v>936</v>
      </c>
      <c r="D72" s="9">
        <v>2013</v>
      </c>
      <c r="E72" s="9" t="s">
        <v>73</v>
      </c>
      <c r="G72" s="11" t="s">
        <v>937</v>
      </c>
    </row>
    <row r="73" spans="1:7" x14ac:dyDescent="0.3">
      <c r="A73" s="8" t="str">
        <f t="shared" si="1"/>
        <v>Ridjan2015</v>
      </c>
      <c r="B73" s="9" t="s">
        <v>947</v>
      </c>
      <c r="C73" s="9" t="s">
        <v>2144</v>
      </c>
      <c r="D73" s="9">
        <v>2015</v>
      </c>
      <c r="E73" s="9" t="s">
        <v>948</v>
      </c>
      <c r="G73" s="11" t="s">
        <v>949</v>
      </c>
    </row>
    <row r="74" spans="1:7" ht="28.8" x14ac:dyDescent="0.3">
      <c r="A74" s="8" t="str">
        <f t="shared" si="1"/>
        <v>Flament2014</v>
      </c>
      <c r="B74" s="9" t="s">
        <v>991</v>
      </c>
      <c r="C74" s="9" t="s">
        <v>2145</v>
      </c>
      <c r="D74" s="9">
        <v>2014</v>
      </c>
      <c r="E74" s="9" t="s">
        <v>992</v>
      </c>
      <c r="G74" s="11" t="s">
        <v>993</v>
      </c>
    </row>
    <row r="75" spans="1:7" ht="28.8" x14ac:dyDescent="0.3">
      <c r="A75" s="8" t="str">
        <f t="shared" si="1"/>
        <v>National Grid ESO2015</v>
      </c>
      <c r="B75" s="9" t="s">
        <v>1034</v>
      </c>
      <c r="C75" s="9" t="s">
        <v>1037</v>
      </c>
      <c r="D75" s="9">
        <v>2015</v>
      </c>
      <c r="E75" s="9" t="s">
        <v>1036</v>
      </c>
      <c r="G75" s="11" t="s">
        <v>1035</v>
      </c>
    </row>
    <row r="76" spans="1:7" ht="28.8" x14ac:dyDescent="0.3">
      <c r="A76" s="8" t="str">
        <f t="shared" si="1"/>
        <v>Nyári2020</v>
      </c>
      <c r="B76" s="9" t="s">
        <v>997</v>
      </c>
      <c r="C76" s="9" t="s">
        <v>2146</v>
      </c>
      <c r="D76" s="9">
        <v>2020</v>
      </c>
      <c r="E76" s="9" t="s">
        <v>73</v>
      </c>
      <c r="G76" s="11" t="s">
        <v>998</v>
      </c>
    </row>
    <row r="77" spans="1:7" ht="28.8" x14ac:dyDescent="0.3">
      <c r="A77" s="8" t="str">
        <f t="shared" si="1"/>
        <v>Collodi2017</v>
      </c>
      <c r="B77" s="9" t="s">
        <v>999</v>
      </c>
      <c r="C77" s="9" t="s">
        <v>2147</v>
      </c>
      <c r="D77" s="9">
        <v>2017</v>
      </c>
      <c r="E77" s="9" t="s">
        <v>73</v>
      </c>
      <c r="G77" s="11" t="s">
        <v>1000</v>
      </c>
    </row>
    <row r="78" spans="1:7" ht="28.8" x14ac:dyDescent="0.3">
      <c r="A78" s="8" t="str">
        <f t="shared" si="1"/>
        <v>Frattini2016</v>
      </c>
      <c r="B78" s="9" t="s">
        <v>1019</v>
      </c>
      <c r="C78" s="9" t="s">
        <v>2148</v>
      </c>
      <c r="D78" s="9">
        <v>2016</v>
      </c>
      <c r="E78" s="9" t="s">
        <v>73</v>
      </c>
      <c r="G78" s="11" t="s">
        <v>1020</v>
      </c>
    </row>
    <row r="79" spans="1:7" x14ac:dyDescent="0.3">
      <c r="A79" s="8" t="str">
        <f t="shared" si="1"/>
        <v>NREL2020</v>
      </c>
      <c r="B79" s="9" t="s">
        <v>1041</v>
      </c>
      <c r="C79" s="9" t="s">
        <v>286</v>
      </c>
      <c r="D79" s="9">
        <v>2020</v>
      </c>
      <c r="E79" s="9" t="s">
        <v>1042</v>
      </c>
      <c r="G79" s="11" t="s">
        <v>1043</v>
      </c>
    </row>
    <row r="80" spans="1:7" x14ac:dyDescent="0.3">
      <c r="A80" s="8" t="str">
        <f t="shared" si="1"/>
        <v>Staffell&amp;Pfenninger 2020</v>
      </c>
      <c r="B80" s="9" t="s">
        <v>1044</v>
      </c>
      <c r="C80" s="9" t="s">
        <v>2149</v>
      </c>
      <c r="D80" s="9">
        <v>2020</v>
      </c>
      <c r="E80" s="9" t="s">
        <v>1045</v>
      </c>
      <c r="G80" s="11" t="s">
        <v>1046</v>
      </c>
    </row>
    <row r="81" spans="1:7" ht="28.8" x14ac:dyDescent="0.3">
      <c r="A81" s="8" t="str">
        <f t="shared" si="1"/>
        <v>Nguyen2019</v>
      </c>
      <c r="B81" s="9" t="s">
        <v>1072</v>
      </c>
      <c r="C81" s="9" t="s">
        <v>2150</v>
      </c>
      <c r="D81" s="9">
        <v>2019</v>
      </c>
      <c r="E81" s="9" t="s">
        <v>73</v>
      </c>
      <c r="G81" s="11" t="s">
        <v>1073</v>
      </c>
    </row>
    <row r="82" spans="1:7" ht="28.8" x14ac:dyDescent="0.3">
      <c r="A82" s="8" t="str">
        <f t="shared" si="1"/>
        <v>Connolly2014</v>
      </c>
      <c r="B82" s="9" t="s">
        <v>1076</v>
      </c>
      <c r="C82" s="9" t="s">
        <v>2151</v>
      </c>
      <c r="D82" s="9">
        <v>2014</v>
      </c>
      <c r="E82" s="9" t="s">
        <v>73</v>
      </c>
      <c r="G82" s="11" t="s">
        <v>1077</v>
      </c>
    </row>
    <row r="83" spans="1:7" x14ac:dyDescent="0.3">
      <c r="A83" s="8" t="str">
        <f t="shared" si="1"/>
        <v>DanskEnergi2020</v>
      </c>
      <c r="B83" s="9" t="s">
        <v>1100</v>
      </c>
      <c r="C83" s="9" t="s">
        <v>2152</v>
      </c>
      <c r="D83" s="9">
        <v>2020</v>
      </c>
      <c r="E83" s="9" t="s">
        <v>99</v>
      </c>
      <c r="G83" s="11" t="s">
        <v>1101</v>
      </c>
    </row>
    <row r="84" spans="1:7" x14ac:dyDescent="0.3">
      <c r="A84" s="8" t="str">
        <f t="shared" si="1"/>
        <v>IRENA2020</v>
      </c>
      <c r="B84" s="9" t="s">
        <v>1102</v>
      </c>
      <c r="C84" s="9" t="s">
        <v>1103</v>
      </c>
      <c r="D84" s="9">
        <v>2020</v>
      </c>
      <c r="E84" s="9" t="s">
        <v>99</v>
      </c>
      <c r="G84" s="11" t="s">
        <v>1104</v>
      </c>
    </row>
    <row r="85" spans="1:7" x14ac:dyDescent="0.3">
      <c r="A85" s="8" t="str">
        <f t="shared" si="1"/>
        <v>IRENA2017</v>
      </c>
      <c r="B85" s="9" t="s">
        <v>1105</v>
      </c>
      <c r="C85" s="9" t="s">
        <v>1103</v>
      </c>
      <c r="D85" s="9">
        <v>2017</v>
      </c>
      <c r="E85" s="9" t="s">
        <v>99</v>
      </c>
      <c r="G85" s="11" t="s">
        <v>1108</v>
      </c>
    </row>
    <row r="86" spans="1:7" x14ac:dyDescent="0.3">
      <c r="A86" s="8" t="str">
        <f t="shared" si="1"/>
        <v>IRENA2019</v>
      </c>
      <c r="B86" s="9" t="s">
        <v>1106</v>
      </c>
      <c r="C86" s="9" t="s">
        <v>1103</v>
      </c>
      <c r="D86" s="9">
        <v>2019</v>
      </c>
      <c r="E86" s="9" t="s">
        <v>99</v>
      </c>
      <c r="G86" s="11" t="s">
        <v>1107</v>
      </c>
    </row>
    <row r="87" spans="1:7" x14ac:dyDescent="0.3">
      <c r="A87" s="8" t="str">
        <f t="shared" si="1"/>
        <v>DEEDS?</v>
      </c>
      <c r="B87" s="9" t="s">
        <v>1111</v>
      </c>
      <c r="C87" s="9" t="s">
        <v>1110</v>
      </c>
      <c r="D87" s="9" t="s">
        <v>134</v>
      </c>
      <c r="E87" s="9" t="s">
        <v>360</v>
      </c>
      <c r="G87" s="11" t="s">
        <v>1109</v>
      </c>
    </row>
    <row r="88" spans="1:7" ht="28.8" x14ac:dyDescent="0.3">
      <c r="A88" s="8" t="str">
        <f t="shared" si="1"/>
        <v>Tremel2015</v>
      </c>
      <c r="B88" s="9" t="s">
        <v>1154</v>
      </c>
      <c r="C88" s="9" t="s">
        <v>2153</v>
      </c>
      <c r="D88" s="9">
        <v>2015</v>
      </c>
      <c r="E88" s="9" t="s">
        <v>73</v>
      </c>
      <c r="G88" s="11" t="s">
        <v>1155</v>
      </c>
    </row>
    <row r="89" spans="1:7" ht="28.8" x14ac:dyDescent="0.3">
      <c r="A89" s="8" t="str">
        <f t="shared" si="1"/>
        <v>Mignard2003</v>
      </c>
      <c r="B89" s="9" t="s">
        <v>1170</v>
      </c>
      <c r="C89" s="9" t="s">
        <v>2154</v>
      </c>
      <c r="D89" s="9">
        <v>2003</v>
      </c>
      <c r="E89" s="9" t="s">
        <v>73</v>
      </c>
      <c r="G89" s="11" t="s">
        <v>1171</v>
      </c>
    </row>
    <row r="90" spans="1:7" ht="28.8" x14ac:dyDescent="0.3">
      <c r="A90" s="8" t="str">
        <f t="shared" si="1"/>
        <v>Clausen2010</v>
      </c>
      <c r="B90" s="9" t="s">
        <v>1172</v>
      </c>
      <c r="C90" s="9" t="s">
        <v>2155</v>
      </c>
      <c r="D90" s="9">
        <v>2010</v>
      </c>
      <c r="E90" s="9" t="s">
        <v>73</v>
      </c>
      <c r="G90" s="11" t="s">
        <v>1173</v>
      </c>
    </row>
    <row r="91" spans="1:7" ht="28.8" x14ac:dyDescent="0.3">
      <c r="A91" s="8" t="str">
        <f t="shared" si="1"/>
        <v>Specht1998</v>
      </c>
      <c r="B91" s="9" t="s">
        <v>1174</v>
      </c>
      <c r="C91" s="9" t="s">
        <v>2156</v>
      </c>
      <c r="D91" s="9">
        <v>1998</v>
      </c>
      <c r="E91" s="9" t="s">
        <v>73</v>
      </c>
      <c r="G91" s="11" t="s">
        <v>1175</v>
      </c>
    </row>
    <row r="92" spans="1:7" x14ac:dyDescent="0.3">
      <c r="A92" s="8" t="str">
        <f t="shared" si="1"/>
        <v>Specht1999</v>
      </c>
      <c r="B92" s="9" t="s">
        <v>1184</v>
      </c>
      <c r="C92" s="9" t="s">
        <v>2156</v>
      </c>
      <c r="D92" s="9">
        <v>1999</v>
      </c>
      <c r="E92" s="9" t="s">
        <v>1185</v>
      </c>
      <c r="G92" s="11" t="s">
        <v>134</v>
      </c>
    </row>
    <row r="93" spans="1:7" ht="28.8" x14ac:dyDescent="0.3">
      <c r="A93" s="8" t="str">
        <f t="shared" si="1"/>
        <v>Matzen2015</v>
      </c>
      <c r="B93" s="9" t="s">
        <v>1176</v>
      </c>
      <c r="C93" s="9" t="s">
        <v>2157</v>
      </c>
      <c r="D93" s="9">
        <v>2015</v>
      </c>
      <c r="E93" s="9" t="s">
        <v>73</v>
      </c>
      <c r="G93" s="11" t="s">
        <v>1177</v>
      </c>
    </row>
    <row r="94" spans="1:7" ht="28.8" x14ac:dyDescent="0.3">
      <c r="A94" s="8" t="str">
        <f t="shared" si="1"/>
        <v>Varone2015</v>
      </c>
      <c r="B94" s="9" t="s">
        <v>1178</v>
      </c>
      <c r="C94" s="9" t="s">
        <v>2158</v>
      </c>
      <c r="D94" s="9">
        <v>2015</v>
      </c>
      <c r="E94" s="9" t="s">
        <v>73</v>
      </c>
      <c r="G94" s="11" t="s">
        <v>1179</v>
      </c>
    </row>
    <row r="95" spans="1:7" ht="28.8" x14ac:dyDescent="0.3">
      <c r="A95" s="8" t="str">
        <f t="shared" si="1"/>
        <v>Rivera-Tinoco2016</v>
      </c>
      <c r="B95" s="9" t="s">
        <v>1180</v>
      </c>
      <c r="C95" s="9" t="s">
        <v>2159</v>
      </c>
      <c r="D95" s="9">
        <v>2016</v>
      </c>
      <c r="E95" s="9" t="s">
        <v>73</v>
      </c>
      <c r="G95" s="11" t="s">
        <v>1181</v>
      </c>
    </row>
    <row r="96" spans="1:7" x14ac:dyDescent="0.3">
      <c r="A96" s="8" t="str">
        <f t="shared" si="1"/>
        <v>Bertau2016</v>
      </c>
      <c r="B96" s="9" t="s">
        <v>1182</v>
      </c>
      <c r="C96" s="9" t="s">
        <v>2160</v>
      </c>
      <c r="D96" s="9">
        <v>2016</v>
      </c>
      <c r="E96" s="9" t="s">
        <v>73</v>
      </c>
      <c r="G96" s="11" t="s">
        <v>1183</v>
      </c>
    </row>
    <row r="97" spans="1:7" ht="28.8" x14ac:dyDescent="0.3">
      <c r="A97" s="8" t="str">
        <f t="shared" si="1"/>
        <v>Hailey2016</v>
      </c>
      <c r="B97" s="9" t="s">
        <v>1199</v>
      </c>
      <c r="C97" s="9" t="s">
        <v>2161</v>
      </c>
      <c r="D97" s="9">
        <v>2016</v>
      </c>
      <c r="E97" s="9" t="s">
        <v>73</v>
      </c>
      <c r="G97" s="11" t="s">
        <v>1200</v>
      </c>
    </row>
    <row r="98" spans="1:7" ht="28.8" x14ac:dyDescent="0.3">
      <c r="A98" s="8" t="str">
        <f t="shared" si="1"/>
        <v>Lin2021</v>
      </c>
      <c r="B98" s="9" t="s">
        <v>1208</v>
      </c>
      <c r="C98" s="9" t="s">
        <v>2162</v>
      </c>
      <c r="D98" s="9">
        <v>2021</v>
      </c>
      <c r="E98" s="9" t="s">
        <v>73</v>
      </c>
      <c r="G98" s="11" t="s">
        <v>1209</v>
      </c>
    </row>
    <row r="99" spans="1:7" ht="28.8" x14ac:dyDescent="0.3">
      <c r="A99" s="8" t="str">
        <f t="shared" si="1"/>
        <v>Kettani2020</v>
      </c>
      <c r="B99" s="9" t="s">
        <v>1215</v>
      </c>
      <c r="C99" s="9" t="s">
        <v>2163</v>
      </c>
      <c r="D99" s="9">
        <v>2020</v>
      </c>
      <c r="E99" s="9" t="s">
        <v>73</v>
      </c>
      <c r="G99" s="11" t="s">
        <v>1216</v>
      </c>
    </row>
    <row r="100" spans="1:7" ht="28.8" x14ac:dyDescent="0.3">
      <c r="A100" s="8" t="str">
        <f t="shared" si="1"/>
        <v>IRENA2020</v>
      </c>
      <c r="B100" s="9" t="s">
        <v>1228</v>
      </c>
      <c r="C100" s="9" t="s">
        <v>1103</v>
      </c>
      <c r="D100" s="9">
        <v>2020</v>
      </c>
      <c r="E100" s="9" t="s">
        <v>99</v>
      </c>
      <c r="G100" s="11" t="s">
        <v>1227</v>
      </c>
    </row>
    <row r="101" spans="1:7" ht="43.2" x14ac:dyDescent="0.3">
      <c r="A101" s="8" t="str">
        <f t="shared" si="1"/>
        <v>Battaglia2021</v>
      </c>
      <c r="B101" s="9" t="s">
        <v>1233</v>
      </c>
      <c r="C101" s="9" t="s">
        <v>2164</v>
      </c>
      <c r="D101" s="9">
        <v>2021</v>
      </c>
      <c r="E101" s="9" t="s">
        <v>73</v>
      </c>
      <c r="G101" s="11" t="s">
        <v>1234</v>
      </c>
    </row>
    <row r="102" spans="1:7" ht="28.8" x14ac:dyDescent="0.3">
      <c r="A102" s="8" t="str">
        <f t="shared" si="1"/>
        <v>Katla2020</v>
      </c>
      <c r="B102" s="9" t="s">
        <v>1235</v>
      </c>
      <c r="C102" s="9" t="s">
        <v>2165</v>
      </c>
      <c r="D102" s="9">
        <v>2020</v>
      </c>
      <c r="E102" s="9" t="s">
        <v>73</v>
      </c>
      <c r="G102" s="11" t="s">
        <v>1236</v>
      </c>
    </row>
    <row r="103" spans="1:7" x14ac:dyDescent="0.3">
      <c r="A103" s="8" t="str">
        <f t="shared" si="1"/>
        <v>Giddey2017</v>
      </c>
      <c r="B103" s="9" t="s">
        <v>1238</v>
      </c>
      <c r="C103" s="9" t="s">
        <v>2166</v>
      </c>
      <c r="D103" s="9">
        <v>2017</v>
      </c>
      <c r="E103" s="9" t="s">
        <v>73</v>
      </c>
      <c r="G103" s="11" t="s">
        <v>1239</v>
      </c>
    </row>
    <row r="104" spans="1:7" x14ac:dyDescent="0.3">
      <c r="A104" s="8" t="str">
        <f t="shared" si="1"/>
        <v>Engineering toolbox2021</v>
      </c>
      <c r="B104" s="9" t="s">
        <v>1240</v>
      </c>
      <c r="C104" s="9" t="s">
        <v>1240</v>
      </c>
      <c r="D104" s="9">
        <v>2021</v>
      </c>
      <c r="E104" s="9" t="s">
        <v>1045</v>
      </c>
      <c r="G104" s="11" t="s">
        <v>1241</v>
      </c>
    </row>
    <row r="105" spans="1:7" x14ac:dyDescent="0.3">
      <c r="A105" s="8" t="str">
        <f t="shared" si="1"/>
        <v>DTU 2021</v>
      </c>
      <c r="B105" s="9" t="s">
        <v>1246</v>
      </c>
      <c r="C105" s="9" t="s">
        <v>1247</v>
      </c>
      <c r="D105" s="9">
        <v>2021</v>
      </c>
      <c r="E105" s="9" t="s">
        <v>99</v>
      </c>
    </row>
    <row r="106" spans="1:7" x14ac:dyDescent="0.3">
      <c r="A106" s="8" t="str">
        <f t="shared" si="1"/>
        <v>Ship&amp;Bunker2021</v>
      </c>
      <c r="B106" s="9" t="s">
        <v>1250</v>
      </c>
      <c r="C106" s="9" t="s">
        <v>1250</v>
      </c>
      <c r="D106" s="9">
        <v>2021</v>
      </c>
      <c r="E106" s="9" t="s">
        <v>1045</v>
      </c>
      <c r="G106" s="11" t="s">
        <v>1251</v>
      </c>
    </row>
    <row r="107" spans="1:7" ht="28.8" x14ac:dyDescent="0.3">
      <c r="A107" s="8" t="str">
        <f t="shared" si="1"/>
        <v>Lester2020</v>
      </c>
      <c r="B107" s="9" t="s">
        <v>1260</v>
      </c>
      <c r="C107" s="9" t="s">
        <v>2167</v>
      </c>
      <c r="D107" s="9">
        <v>2020</v>
      </c>
      <c r="E107" s="9" t="s">
        <v>73</v>
      </c>
      <c r="G107" s="11" t="s">
        <v>1261</v>
      </c>
    </row>
    <row r="108" spans="1:7" x14ac:dyDescent="0.3">
      <c r="A108" s="8" t="str">
        <f t="shared" si="1"/>
        <v>Fasihi2019</v>
      </c>
      <c r="B108" s="9" t="s">
        <v>1272</v>
      </c>
      <c r="C108" s="9" t="s">
        <v>2168</v>
      </c>
      <c r="D108" s="9">
        <v>2019</v>
      </c>
      <c r="E108" s="9" t="s">
        <v>73</v>
      </c>
      <c r="G108" s="11" t="s">
        <v>1273</v>
      </c>
    </row>
    <row r="109" spans="1:7" ht="28.8" x14ac:dyDescent="0.3">
      <c r="A109" s="8" t="str">
        <f t="shared" si="1"/>
        <v>Bos2020</v>
      </c>
      <c r="B109" s="9" t="s">
        <v>1534</v>
      </c>
      <c r="C109" s="9" t="s">
        <v>2169</v>
      </c>
      <c r="D109" s="9">
        <v>2020</v>
      </c>
      <c r="E109" s="9" t="s">
        <v>73</v>
      </c>
      <c r="G109" s="11" t="s">
        <v>1535</v>
      </c>
    </row>
    <row r="110" spans="1:7" ht="43.2" x14ac:dyDescent="0.3">
      <c r="A110" s="8" t="str">
        <f t="shared" si="1"/>
        <v>Butera2021</v>
      </c>
      <c r="B110" s="9" t="s">
        <v>1589</v>
      </c>
      <c r="C110" s="9" t="s">
        <v>2170</v>
      </c>
      <c r="D110" s="9">
        <v>2021</v>
      </c>
      <c r="E110" s="9" t="s">
        <v>73</v>
      </c>
      <c r="G110" s="11" t="s">
        <v>2205</v>
      </c>
    </row>
    <row r="111" spans="1:7" ht="28.8" x14ac:dyDescent="0.3">
      <c r="A111" s="8" t="str">
        <f t="shared" si="1"/>
        <v>EaEnergyAnalyses2013</v>
      </c>
      <c r="B111" s="9" t="s">
        <v>1628</v>
      </c>
      <c r="C111" s="9" t="s">
        <v>2171</v>
      </c>
      <c r="D111" s="9">
        <v>2013</v>
      </c>
      <c r="E111" s="9" t="s">
        <v>99</v>
      </c>
      <c r="G111" s="11" t="s">
        <v>1629</v>
      </c>
    </row>
    <row r="112" spans="1:7" x14ac:dyDescent="0.3">
      <c r="A112" s="8" t="str">
        <f t="shared" si="1"/>
        <v>Turton2008</v>
      </c>
      <c r="B112" s="9" t="s">
        <v>1657</v>
      </c>
      <c r="C112" s="9" t="s">
        <v>2172</v>
      </c>
      <c r="D112" s="9">
        <v>2008</v>
      </c>
      <c r="E112" s="9" t="s">
        <v>1658</v>
      </c>
    </row>
    <row r="113" spans="1:7" ht="28.8" x14ac:dyDescent="0.3">
      <c r="A113" s="8" t="str">
        <f t="shared" si="1"/>
        <v>Ecoinvent2020</v>
      </c>
      <c r="B113" s="9" t="s">
        <v>1684</v>
      </c>
      <c r="C113" s="9" t="s">
        <v>1676</v>
      </c>
      <c r="D113" s="9">
        <v>2020</v>
      </c>
      <c r="E113" s="9" t="s">
        <v>1685</v>
      </c>
    </row>
    <row r="114" spans="1:7" ht="43.2" x14ac:dyDescent="0.3">
      <c r="A114" s="8" t="str">
        <f t="shared" si="1"/>
        <v>Deutz2021</v>
      </c>
      <c r="B114" s="9" t="s">
        <v>1701</v>
      </c>
      <c r="C114" s="9" t="s">
        <v>2173</v>
      </c>
      <c r="D114" s="9">
        <v>2021</v>
      </c>
      <c r="E114" s="9" t="s">
        <v>73</v>
      </c>
      <c r="G114" s="11" t="s">
        <v>1700</v>
      </c>
    </row>
    <row r="115" spans="1:7" ht="28.8" x14ac:dyDescent="0.3">
      <c r="A115" s="8" t="str">
        <f t="shared" si="1"/>
        <v>Ecoinvent2020</v>
      </c>
      <c r="B115" s="9" t="s">
        <v>1707</v>
      </c>
      <c r="C115" s="9" t="s">
        <v>1676</v>
      </c>
      <c r="D115" s="9">
        <v>2020</v>
      </c>
      <c r="E115" s="9" t="s">
        <v>1685</v>
      </c>
    </row>
    <row r="116" spans="1:7" ht="28.8" x14ac:dyDescent="0.3">
      <c r="A116" s="8" t="str">
        <f t="shared" si="1"/>
        <v>Ecoinvent2020</v>
      </c>
      <c r="B116" s="9" t="s">
        <v>1709</v>
      </c>
      <c r="C116" s="9" t="s">
        <v>1676</v>
      </c>
      <c r="D116" s="9">
        <v>2020</v>
      </c>
      <c r="E116" s="9" t="s">
        <v>1685</v>
      </c>
    </row>
    <row r="117" spans="1:7" x14ac:dyDescent="0.3">
      <c r="A117" s="8" t="str">
        <f t="shared" si="1"/>
        <v>IEA2020</v>
      </c>
      <c r="B117" s="9" t="s">
        <v>1714</v>
      </c>
      <c r="C117" s="9" t="s">
        <v>572</v>
      </c>
      <c r="D117" s="9">
        <v>2020</v>
      </c>
      <c r="E117" s="9" t="s">
        <v>99</v>
      </c>
      <c r="G117" s="11" t="s">
        <v>1715</v>
      </c>
    </row>
    <row r="118" spans="1:7" x14ac:dyDescent="0.3">
      <c r="A118" s="8" t="str">
        <f t="shared" si="1"/>
        <v>Mustafa2017</v>
      </c>
      <c r="B118" s="13" t="s">
        <v>1717</v>
      </c>
      <c r="C118" s="13" t="s">
        <v>2174</v>
      </c>
      <c r="D118" s="9">
        <v>2017</v>
      </c>
      <c r="E118" s="9" t="s">
        <v>73</v>
      </c>
      <c r="G118" s="74" t="s">
        <v>1718</v>
      </c>
    </row>
    <row r="119" spans="1:7" ht="28.8" x14ac:dyDescent="0.3">
      <c r="A119" s="8" t="str">
        <f t="shared" si="1"/>
        <v>Ecoinvent2020</v>
      </c>
      <c r="B119" s="9" t="s">
        <v>1722</v>
      </c>
      <c r="C119" s="9" t="s">
        <v>1676</v>
      </c>
      <c r="D119" s="9">
        <v>2020</v>
      </c>
      <c r="E119" s="9" t="s">
        <v>1685</v>
      </c>
    </row>
    <row r="120" spans="1:7" ht="28.8" x14ac:dyDescent="0.3">
      <c r="A120" s="8" t="str">
        <f t="shared" si="1"/>
        <v>Spath2004</v>
      </c>
      <c r="B120" s="9" t="s">
        <v>1726</v>
      </c>
      <c r="C120" s="9" t="s">
        <v>2175</v>
      </c>
      <c r="D120" s="9">
        <v>2004</v>
      </c>
      <c r="E120" s="9" t="s">
        <v>99</v>
      </c>
      <c r="G120" s="11" t="s">
        <v>1884</v>
      </c>
    </row>
    <row r="121" spans="1:7" ht="28.8" x14ac:dyDescent="0.3">
      <c r="A121" s="8" t="str">
        <f t="shared" si="1"/>
        <v>Ecoinvent2020</v>
      </c>
      <c r="B121" s="9" t="s">
        <v>1728</v>
      </c>
      <c r="C121" s="9" t="s">
        <v>1676</v>
      </c>
      <c r="D121" s="9">
        <v>2020</v>
      </c>
      <c r="E121" s="9" t="s">
        <v>1685</v>
      </c>
    </row>
    <row r="122" spans="1:7" ht="43.2" x14ac:dyDescent="0.3">
      <c r="A122" s="8" t="str">
        <f t="shared" si="1"/>
        <v>Ecoinvent2020</v>
      </c>
      <c r="B122" s="9" t="s">
        <v>1729</v>
      </c>
      <c r="C122" s="9" t="s">
        <v>1676</v>
      </c>
      <c r="D122" s="9">
        <v>2020</v>
      </c>
      <c r="E122" s="9" t="s">
        <v>1685</v>
      </c>
    </row>
    <row r="123" spans="1:7" ht="28.8" x14ac:dyDescent="0.3">
      <c r="A123" s="8" t="str">
        <f t="shared" si="1"/>
        <v>Ecoinvent2020</v>
      </c>
      <c r="B123" s="9" t="s">
        <v>1733</v>
      </c>
      <c r="C123" s="9" t="s">
        <v>1676</v>
      </c>
      <c r="D123" s="9">
        <v>2020</v>
      </c>
      <c r="E123" s="9" t="s">
        <v>1685</v>
      </c>
    </row>
    <row r="124" spans="1:7" ht="28.8" x14ac:dyDescent="0.3">
      <c r="A124" s="8" t="str">
        <f t="shared" si="1"/>
        <v>Ueckerdt2021</v>
      </c>
      <c r="B124" s="9" t="s">
        <v>1737</v>
      </c>
      <c r="C124" s="9" t="s">
        <v>2176</v>
      </c>
      <c r="D124" s="9">
        <v>2021</v>
      </c>
      <c r="E124" s="9" t="s">
        <v>1738</v>
      </c>
      <c r="G124" s="11" t="s">
        <v>1739</v>
      </c>
    </row>
    <row r="125" spans="1:7" ht="28.8" x14ac:dyDescent="0.3">
      <c r="A125" s="8" t="str">
        <f t="shared" si="1"/>
        <v>Ecoinvent2020</v>
      </c>
      <c r="B125" s="9" t="s">
        <v>1744</v>
      </c>
      <c r="C125" s="9" t="s">
        <v>1676</v>
      </c>
      <c r="D125" s="9">
        <v>2020</v>
      </c>
      <c r="E125" s="9" t="s">
        <v>1685</v>
      </c>
    </row>
    <row r="126" spans="1:7" x14ac:dyDescent="0.3">
      <c r="A126" s="8" t="str">
        <f t="shared" si="1"/>
        <v>CleanEnergyInstitute2020</v>
      </c>
      <c r="B126" s="9" t="s">
        <v>1742</v>
      </c>
      <c r="C126" s="9" t="s">
        <v>2177</v>
      </c>
      <c r="D126" s="9">
        <v>2020</v>
      </c>
      <c r="E126" s="9" t="s">
        <v>1045</v>
      </c>
      <c r="G126" s="11" t="s">
        <v>1743</v>
      </c>
    </row>
    <row r="127" spans="1:7" x14ac:dyDescent="0.3">
      <c r="A127" s="8" t="str">
        <f t="shared" si="1"/>
        <v>IEA2021</v>
      </c>
      <c r="B127" s="9" t="s">
        <v>1872</v>
      </c>
      <c r="C127" s="9" t="s">
        <v>572</v>
      </c>
      <c r="D127" s="9">
        <v>2021</v>
      </c>
      <c r="E127" s="9" t="s">
        <v>99</v>
      </c>
      <c r="G127" s="11" t="s">
        <v>1873</v>
      </c>
    </row>
    <row r="128" spans="1:7" ht="28.8" x14ac:dyDescent="0.3">
      <c r="A128" s="8" t="str">
        <f t="shared" si="1"/>
        <v>Elgowainy2013</v>
      </c>
      <c r="B128" s="9" t="s">
        <v>1887</v>
      </c>
      <c r="C128" s="9" t="s">
        <v>2178</v>
      </c>
      <c r="D128" s="9">
        <v>2013</v>
      </c>
      <c r="E128" s="9" t="s">
        <v>1888</v>
      </c>
      <c r="G128" s="11" t="s">
        <v>1889</v>
      </c>
    </row>
    <row r="129" spans="1:7" x14ac:dyDescent="0.3">
      <c r="A129" s="8" t="str">
        <f t="shared" si="1"/>
        <v>DEA2020</v>
      </c>
      <c r="B129" s="9" t="s">
        <v>1973</v>
      </c>
      <c r="C129" s="9" t="s">
        <v>2135</v>
      </c>
      <c r="D129" s="9">
        <v>2020</v>
      </c>
      <c r="E129" s="9" t="s">
        <v>1974</v>
      </c>
      <c r="G129" s="11" t="s">
        <v>1975</v>
      </c>
    </row>
    <row r="130" spans="1:7" ht="28.8" x14ac:dyDescent="0.3">
      <c r="A130" s="8" t="str">
        <f t="shared" si="1"/>
        <v>Bünger2016</v>
      </c>
      <c r="B130" s="9" t="s">
        <v>2018</v>
      </c>
      <c r="C130" s="9" t="s">
        <v>2179</v>
      </c>
      <c r="D130" s="9">
        <v>2016</v>
      </c>
      <c r="E130" s="9" t="s">
        <v>1738</v>
      </c>
      <c r="G130" s="11" t="s">
        <v>2019</v>
      </c>
    </row>
    <row r="131" spans="1:7" x14ac:dyDescent="0.3">
      <c r="A131" s="8" t="str">
        <f t="shared" si="1"/>
        <v>Papadias2021</v>
      </c>
      <c r="B131" s="8" t="s">
        <v>2026</v>
      </c>
      <c r="C131" s="9" t="s">
        <v>2180</v>
      </c>
      <c r="D131" s="9">
        <v>2021</v>
      </c>
      <c r="E131" s="9" t="s">
        <v>1738</v>
      </c>
      <c r="G131" s="11" t="s">
        <v>2027</v>
      </c>
    </row>
    <row r="132" spans="1:7" x14ac:dyDescent="0.3">
      <c r="A132" s="8" t="str">
        <f t="shared" ref="A132:A180" si="2">C132&amp;D132</f>
        <v>DEA2022</v>
      </c>
      <c r="B132" s="9" t="s">
        <v>2051</v>
      </c>
      <c r="C132" s="9" t="s">
        <v>2135</v>
      </c>
      <c r="D132" s="9">
        <v>2022</v>
      </c>
      <c r="E132" s="9" t="s">
        <v>834</v>
      </c>
      <c r="G132" s="11" t="s">
        <v>645</v>
      </c>
    </row>
    <row r="133" spans="1:7" x14ac:dyDescent="0.3">
      <c r="A133" s="8" t="str">
        <f t="shared" si="2"/>
        <v>DEA2022</v>
      </c>
      <c r="B133" s="9" t="s">
        <v>2071</v>
      </c>
      <c r="C133" s="9" t="s">
        <v>2135</v>
      </c>
      <c r="D133" s="9">
        <v>2022</v>
      </c>
      <c r="E133" s="9" t="s">
        <v>834</v>
      </c>
      <c r="G133" s="11" t="s">
        <v>2067</v>
      </c>
    </row>
    <row r="134" spans="1:7" x14ac:dyDescent="0.3">
      <c r="A134" s="8" t="str">
        <f t="shared" si="2"/>
        <v>DanishEnergyAgency2021</v>
      </c>
      <c r="B134" s="9" t="s">
        <v>2195</v>
      </c>
      <c r="C134" s="9" t="s">
        <v>2197</v>
      </c>
      <c r="D134" s="9">
        <v>2021</v>
      </c>
      <c r="E134" s="9" t="s">
        <v>834</v>
      </c>
      <c r="G134" s="11" t="s">
        <v>2196</v>
      </c>
    </row>
    <row r="135" spans="1:7" ht="28.8" x14ac:dyDescent="0.3">
      <c r="A135" s="8" t="str">
        <f t="shared" si="2"/>
        <v>Peres-Fortes2016</v>
      </c>
      <c r="B135" s="9" t="s">
        <v>2075</v>
      </c>
      <c r="C135" s="9" t="s">
        <v>2181</v>
      </c>
      <c r="D135" s="9">
        <v>2016</v>
      </c>
      <c r="E135" s="9" t="s">
        <v>2076</v>
      </c>
      <c r="G135" s="11" t="s">
        <v>2077</v>
      </c>
    </row>
    <row r="136" spans="1:7" x14ac:dyDescent="0.3">
      <c r="A136" s="8" t="str">
        <f t="shared" si="2"/>
        <v>NordicEnergyResearch2020</v>
      </c>
      <c r="B136" s="9" t="s">
        <v>2085</v>
      </c>
      <c r="C136" s="9" t="s">
        <v>2183</v>
      </c>
      <c r="D136" s="9">
        <v>2020</v>
      </c>
      <c r="E136" s="9" t="s">
        <v>99</v>
      </c>
      <c r="G136" s="11" t="s">
        <v>2086</v>
      </c>
    </row>
    <row r="137" spans="1:7" ht="28.8" x14ac:dyDescent="0.3">
      <c r="A137" s="8" t="str">
        <f t="shared" si="2"/>
        <v>Campion2022</v>
      </c>
      <c r="B137" s="9" t="s">
        <v>2185</v>
      </c>
      <c r="C137" s="9" t="s">
        <v>2186</v>
      </c>
      <c r="D137" s="9">
        <v>2022</v>
      </c>
      <c r="E137" s="9" t="s">
        <v>1738</v>
      </c>
      <c r="G137" s="11" t="s">
        <v>2187</v>
      </c>
    </row>
    <row r="138" spans="1:7" x14ac:dyDescent="0.3">
      <c r="A138" s="8" t="str">
        <f t="shared" si="2"/>
        <v>DanskFjernvarme2021</v>
      </c>
      <c r="B138" s="13" t="s">
        <v>2208</v>
      </c>
      <c r="C138" s="9" t="s">
        <v>2209</v>
      </c>
      <c r="D138" s="9">
        <v>2021</v>
      </c>
      <c r="E138" s="9" t="s">
        <v>99</v>
      </c>
      <c r="G138" s="11" t="s">
        <v>2212</v>
      </c>
    </row>
    <row r="139" spans="1:7" ht="28.8" x14ac:dyDescent="0.3">
      <c r="A139" s="8" t="str">
        <f t="shared" si="2"/>
        <v>Terlouw2022</v>
      </c>
      <c r="B139" s="9" t="s">
        <v>2297</v>
      </c>
      <c r="C139" s="9" t="s">
        <v>2298</v>
      </c>
      <c r="D139" s="9">
        <v>2022</v>
      </c>
      <c r="E139" s="9" t="s">
        <v>1738</v>
      </c>
    </row>
    <row r="140" spans="1:7" ht="28.8" x14ac:dyDescent="0.3">
      <c r="A140" s="8" t="str">
        <f t="shared" si="2"/>
        <v>Ecoinventcsp2021</v>
      </c>
      <c r="B140" s="9" t="s">
        <v>2302</v>
      </c>
      <c r="C140" s="9" t="s">
        <v>2303</v>
      </c>
      <c r="D140" s="9">
        <v>2021</v>
      </c>
      <c r="E140" s="9" t="s">
        <v>1685</v>
      </c>
    </row>
    <row r="141" spans="1:7" x14ac:dyDescent="0.3">
      <c r="A141" s="8" t="str">
        <f t="shared" si="2"/>
        <v/>
      </c>
    </row>
    <row r="142" spans="1:7" x14ac:dyDescent="0.3">
      <c r="A142" s="8" t="str">
        <f t="shared" si="2"/>
        <v/>
      </c>
    </row>
    <row r="143" spans="1:7" x14ac:dyDescent="0.3">
      <c r="A143" s="8" t="str">
        <f t="shared" si="2"/>
        <v/>
      </c>
    </row>
    <row r="144" spans="1:7" x14ac:dyDescent="0.3">
      <c r="A144" s="8" t="str">
        <f t="shared" si="2"/>
        <v/>
      </c>
    </row>
    <row r="145" spans="1:1" x14ac:dyDescent="0.3">
      <c r="A145" s="8" t="str">
        <f t="shared" si="2"/>
        <v/>
      </c>
    </row>
    <row r="146" spans="1:1" x14ac:dyDescent="0.3">
      <c r="A146" s="8" t="str">
        <f t="shared" si="2"/>
        <v/>
      </c>
    </row>
    <row r="147" spans="1:1" x14ac:dyDescent="0.3">
      <c r="A147" s="8" t="str">
        <f t="shared" si="2"/>
        <v/>
      </c>
    </row>
    <row r="148" spans="1:1" x14ac:dyDescent="0.3">
      <c r="A148" s="8" t="str">
        <f t="shared" si="2"/>
        <v/>
      </c>
    </row>
    <row r="149" spans="1:1" x14ac:dyDescent="0.3">
      <c r="A149" s="8" t="str">
        <f t="shared" si="2"/>
        <v/>
      </c>
    </row>
    <row r="150" spans="1:1" x14ac:dyDescent="0.3">
      <c r="A150" s="8" t="str">
        <f t="shared" si="2"/>
        <v/>
      </c>
    </row>
    <row r="151" spans="1:1" x14ac:dyDescent="0.3">
      <c r="A151" s="8" t="str">
        <f t="shared" si="2"/>
        <v/>
      </c>
    </row>
    <row r="152" spans="1:1" x14ac:dyDescent="0.3">
      <c r="A152" s="8" t="str">
        <f t="shared" si="2"/>
        <v/>
      </c>
    </row>
    <row r="153" spans="1:1" x14ac:dyDescent="0.3">
      <c r="A153" s="8" t="str">
        <f t="shared" si="2"/>
        <v/>
      </c>
    </row>
    <row r="154" spans="1:1" x14ac:dyDescent="0.3">
      <c r="A154" s="8" t="str">
        <f t="shared" si="2"/>
        <v/>
      </c>
    </row>
    <row r="155" spans="1:1" x14ac:dyDescent="0.3">
      <c r="A155" s="8" t="str">
        <f t="shared" si="2"/>
        <v/>
      </c>
    </row>
    <row r="156" spans="1:1" x14ac:dyDescent="0.3">
      <c r="A156" s="8" t="str">
        <f t="shared" si="2"/>
        <v/>
      </c>
    </row>
    <row r="157" spans="1:1" x14ac:dyDescent="0.3">
      <c r="A157" s="8" t="str">
        <f t="shared" si="2"/>
        <v/>
      </c>
    </row>
    <row r="158" spans="1:1" x14ac:dyDescent="0.3">
      <c r="A158" s="8" t="str">
        <f t="shared" si="2"/>
        <v/>
      </c>
    </row>
    <row r="159" spans="1:1" x14ac:dyDescent="0.3">
      <c r="A159" s="8" t="str">
        <f t="shared" si="2"/>
        <v/>
      </c>
    </row>
    <row r="160" spans="1:1" x14ac:dyDescent="0.3">
      <c r="A160" s="8" t="str">
        <f t="shared" si="2"/>
        <v/>
      </c>
    </row>
    <row r="161" spans="1:1" x14ac:dyDescent="0.3">
      <c r="A161" s="8" t="str">
        <f t="shared" si="2"/>
        <v/>
      </c>
    </row>
    <row r="162" spans="1:1" x14ac:dyDescent="0.3">
      <c r="A162" s="8" t="str">
        <f t="shared" si="2"/>
        <v/>
      </c>
    </row>
    <row r="163" spans="1:1" x14ac:dyDescent="0.3">
      <c r="A163" s="8" t="str">
        <f t="shared" si="2"/>
        <v/>
      </c>
    </row>
    <row r="164" spans="1:1" x14ac:dyDescent="0.3">
      <c r="A164" s="8" t="str">
        <f t="shared" si="2"/>
        <v/>
      </c>
    </row>
    <row r="165" spans="1:1" x14ac:dyDescent="0.3">
      <c r="A165" s="8" t="str">
        <f t="shared" si="2"/>
        <v/>
      </c>
    </row>
    <row r="166" spans="1:1" x14ac:dyDescent="0.3">
      <c r="A166" s="8" t="str">
        <f t="shared" si="2"/>
        <v/>
      </c>
    </row>
    <row r="167" spans="1:1" x14ac:dyDescent="0.3">
      <c r="A167" s="8" t="str">
        <f t="shared" si="2"/>
        <v/>
      </c>
    </row>
    <row r="168" spans="1:1" x14ac:dyDescent="0.3">
      <c r="A168" s="8" t="str">
        <f t="shared" si="2"/>
        <v/>
      </c>
    </row>
    <row r="169" spans="1:1" x14ac:dyDescent="0.3">
      <c r="A169" s="8" t="str">
        <f t="shared" si="2"/>
        <v/>
      </c>
    </row>
    <row r="170" spans="1:1" x14ac:dyDescent="0.3">
      <c r="A170" s="8" t="str">
        <f t="shared" si="2"/>
        <v/>
      </c>
    </row>
    <row r="171" spans="1:1" x14ac:dyDescent="0.3">
      <c r="A171" s="8" t="str">
        <f t="shared" si="2"/>
        <v/>
      </c>
    </row>
    <row r="172" spans="1:1" x14ac:dyDescent="0.3">
      <c r="A172" s="8" t="str">
        <f t="shared" si="2"/>
        <v/>
      </c>
    </row>
    <row r="173" spans="1:1" x14ac:dyDescent="0.3">
      <c r="A173" s="8" t="str">
        <f t="shared" si="2"/>
        <v/>
      </c>
    </row>
    <row r="174" spans="1:1" x14ac:dyDescent="0.3">
      <c r="A174" s="8" t="str">
        <f t="shared" si="2"/>
        <v/>
      </c>
    </row>
    <row r="175" spans="1:1" x14ac:dyDescent="0.3">
      <c r="A175" s="8" t="str">
        <f t="shared" si="2"/>
        <v/>
      </c>
    </row>
    <row r="176" spans="1:1" x14ac:dyDescent="0.3">
      <c r="A176" s="8" t="str">
        <f t="shared" si="2"/>
        <v/>
      </c>
    </row>
    <row r="177" spans="1:1" x14ac:dyDescent="0.3">
      <c r="A177" s="8" t="str">
        <f t="shared" si="2"/>
        <v/>
      </c>
    </row>
    <row r="178" spans="1:1" x14ac:dyDescent="0.3">
      <c r="A178" s="8" t="str">
        <f t="shared" si="2"/>
        <v/>
      </c>
    </row>
    <row r="179" spans="1:1" x14ac:dyDescent="0.3">
      <c r="A179" s="8" t="str">
        <f t="shared" si="2"/>
        <v/>
      </c>
    </row>
    <row r="180" spans="1:1" x14ac:dyDescent="0.3">
      <c r="A180" s="8" t="str">
        <f t="shared" si="2"/>
        <v/>
      </c>
    </row>
  </sheetData>
  <hyperlinks>
    <hyperlink ref="G10" r:id="rId1" location="!" xr:uid="{00000000-0004-0000-0000-000000000000}"/>
    <hyperlink ref="G9" r:id="rId2" xr:uid="{00000000-0004-0000-0000-000001000000}"/>
    <hyperlink ref="G8" r:id="rId3" xr:uid="{00000000-0004-0000-0000-000002000000}"/>
    <hyperlink ref="G11" r:id="rId4" xr:uid="{00000000-0004-0000-0000-000003000000}"/>
    <hyperlink ref="G12" r:id="rId5" xr:uid="{00000000-0004-0000-0000-000004000000}"/>
    <hyperlink ref="G7" r:id="rId6" xr:uid="{00000000-0004-0000-0000-000005000000}"/>
    <hyperlink ref="G13" r:id="rId7" xr:uid="{00000000-0004-0000-0000-000006000000}"/>
    <hyperlink ref="G14" r:id="rId8" xr:uid="{00000000-0004-0000-0000-000007000000}"/>
    <hyperlink ref="G15" r:id="rId9" xr:uid="{00000000-0004-0000-0000-000008000000}"/>
    <hyperlink ref="G16" r:id="rId10" location="bib0100 " xr:uid="{00000000-0004-0000-0000-000009000000}"/>
    <hyperlink ref="G17" r:id="rId11" xr:uid="{00000000-0004-0000-0000-00000A000000}"/>
    <hyperlink ref="G18" r:id="rId12" location="bib31 " xr:uid="{00000000-0004-0000-0000-00000B000000}"/>
    <hyperlink ref="G19" r:id="rId13" xr:uid="{00000000-0004-0000-0000-00000C000000}"/>
    <hyperlink ref="G20" r:id="rId14" xr:uid="{00000000-0004-0000-0000-00000D000000}"/>
    <hyperlink ref="G21" r:id="rId15" xr:uid="{00000000-0004-0000-0000-00000E000000}"/>
    <hyperlink ref="G22" r:id="rId16" xr:uid="{00000000-0004-0000-0000-00000F000000}"/>
    <hyperlink ref="G23" r:id="rId17" xr:uid="{00000000-0004-0000-0000-000010000000}"/>
    <hyperlink ref="G24" r:id="rId18" xr:uid="{00000000-0004-0000-0000-000011000000}"/>
    <hyperlink ref="G25" r:id="rId19" xr:uid="{00000000-0004-0000-0000-000012000000}"/>
    <hyperlink ref="G2" r:id="rId20" location="bib39 " xr:uid="{00000000-0004-0000-0000-000013000000}"/>
    <hyperlink ref="G4" r:id="rId21" location="tab3 " xr:uid="{00000000-0004-0000-0000-000014000000}"/>
    <hyperlink ref="G5" r:id="rId22" xr:uid="{00000000-0004-0000-0000-000015000000}"/>
    <hyperlink ref="G6" r:id="rId23" location="v=onepage&amp;q&amp;f=false" xr:uid="{00000000-0004-0000-0000-000016000000}"/>
    <hyperlink ref="G26" r:id="rId24" location="bib27 " xr:uid="{00000000-0004-0000-0000-000017000000}"/>
    <hyperlink ref="G27" r:id="rId25" location="bib16 " xr:uid="{00000000-0004-0000-0000-000018000000}"/>
    <hyperlink ref="G28" r:id="rId26" xr:uid="{00000000-0004-0000-0000-000019000000}"/>
    <hyperlink ref="G29" r:id="rId27" xr:uid="{00000000-0004-0000-0000-00001A000000}"/>
    <hyperlink ref="G30" r:id="rId28" xr:uid="{00000000-0004-0000-0000-00001B000000}"/>
    <hyperlink ref="G31" r:id="rId29" xr:uid="{00000000-0004-0000-0000-00001C000000}"/>
    <hyperlink ref="G32" r:id="rId30" xr:uid="{00000000-0004-0000-0000-00001D000000}"/>
    <hyperlink ref="G3"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location=" " xr:uid="{00000000-0004-0000-0000-000025000000}"/>
    <hyperlink ref="G40" r:id="rId39" xr:uid="{00000000-0004-0000-0000-000026000000}"/>
    <hyperlink ref="G41" r:id="rId40" xr:uid="{00000000-0004-0000-0000-000027000000}"/>
    <hyperlink ref="G43" r:id="rId41" xr:uid="{00000000-0004-0000-0000-000028000000}"/>
    <hyperlink ref="G44" r:id="rId42" xr:uid="{00000000-0004-0000-0000-000029000000}"/>
    <hyperlink ref="G45" r:id="rId43" xr:uid="{00000000-0004-0000-0000-00002A000000}"/>
    <hyperlink ref="G46" r:id="rId44" xr:uid="{00000000-0004-0000-0000-00002B000000}"/>
    <hyperlink ref="G47" r:id="rId45" xr:uid="{00000000-0004-0000-0000-00002C000000}"/>
    <hyperlink ref="G48" r:id="rId46" xr:uid="{00000000-0004-0000-0000-00002D000000}"/>
    <hyperlink ref="G49" r:id="rId47" location="appsec1 " xr:uid="{00000000-0004-0000-0000-00002E000000}"/>
    <hyperlink ref="G50" r:id="rId48" xr:uid="{00000000-0004-0000-0000-00002F000000}"/>
    <hyperlink ref="G51" r:id="rId49" xr:uid="{00000000-0004-0000-0000-000030000000}"/>
    <hyperlink ref="G52" r:id="rId50" xr:uid="{00000000-0004-0000-0000-000031000000}"/>
    <hyperlink ref="G53"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2" r:id="rId59" location="bib83 " xr:uid="{00000000-0004-0000-0000-00003A000000}"/>
    <hyperlink ref="G63" r:id="rId60" xr:uid="{00000000-0004-0000-0000-00003B000000}"/>
    <hyperlink ref="G64" r:id="rId61" xr:uid="{00000000-0004-0000-0000-00003C000000}"/>
    <hyperlink ref="G65" r:id="rId62" xr:uid="{00000000-0004-0000-0000-00003D000000}"/>
    <hyperlink ref="G66" r:id="rId63" xr:uid="{00000000-0004-0000-0000-00003E000000}"/>
    <hyperlink ref="G67" r:id="rId64" xr:uid="{00000000-0004-0000-0000-00003F000000}"/>
    <hyperlink ref="G68" r:id="rId65" xr:uid="{00000000-0004-0000-0000-000040000000}"/>
    <hyperlink ref="G69" r:id="rId66" location="!divAbstract " xr:uid="{00000000-0004-0000-0000-000041000000}"/>
    <hyperlink ref="G70" r:id="rId67" xr:uid="{00000000-0004-0000-0000-000042000000}"/>
    <hyperlink ref="G71" r:id="rId68" xr:uid="{00000000-0004-0000-0000-000043000000}"/>
    <hyperlink ref="G72" r:id="rId69" xr:uid="{00000000-0004-0000-0000-000044000000}"/>
    <hyperlink ref="G73" r:id="rId70" xr:uid="{00000000-0004-0000-0000-000045000000}"/>
    <hyperlink ref="G74" r:id="rId71" xr:uid="{00000000-0004-0000-0000-000046000000}"/>
    <hyperlink ref="G76" r:id="rId72" location="bib0260 " xr:uid="{00000000-0004-0000-0000-000047000000}"/>
    <hyperlink ref="G77" r:id="rId73" xr:uid="{00000000-0004-0000-0000-000048000000}"/>
    <hyperlink ref="G78" r:id="rId74" xr:uid="{00000000-0004-0000-0000-000049000000}"/>
    <hyperlink ref="G75" r:id="rId75" xr:uid="{00000000-0004-0000-0000-00004A000000}"/>
    <hyperlink ref="G79" r:id="rId76" xr:uid="{00000000-0004-0000-0000-00004B000000}"/>
    <hyperlink ref="G80" r:id="rId77" xr:uid="{00000000-0004-0000-0000-00004C000000}"/>
    <hyperlink ref="G81" r:id="rId78" xr:uid="{00000000-0004-0000-0000-00004D000000}"/>
    <hyperlink ref="G82" r:id="rId79" xr:uid="{00000000-0004-0000-0000-00004E000000}"/>
    <hyperlink ref="G83" r:id="rId80" xr:uid="{00000000-0004-0000-0000-00004F000000}"/>
    <hyperlink ref="G84" r:id="rId81" xr:uid="{00000000-0004-0000-0000-000050000000}"/>
    <hyperlink ref="G86" r:id="rId82" xr:uid="{00000000-0004-0000-0000-000051000000}"/>
    <hyperlink ref="G85" r:id="rId83" xr:uid="{00000000-0004-0000-0000-000052000000}"/>
    <hyperlink ref="G87" r:id="rId84" xr:uid="{00000000-0004-0000-0000-000053000000}"/>
    <hyperlink ref="G88" r:id="rId85" xr:uid="{00000000-0004-0000-0000-000054000000}"/>
    <hyperlink ref="G89" r:id="rId86" xr:uid="{00000000-0004-0000-0000-000055000000}"/>
    <hyperlink ref="G90" r:id="rId87" xr:uid="{00000000-0004-0000-0000-000056000000}"/>
    <hyperlink ref="G91" r:id="rId88" xr:uid="{00000000-0004-0000-0000-000057000000}"/>
    <hyperlink ref="G93" r:id="rId89" xr:uid="{00000000-0004-0000-0000-000058000000}"/>
    <hyperlink ref="G94" r:id="rId90" xr:uid="{00000000-0004-0000-0000-000059000000}"/>
    <hyperlink ref="G95" r:id="rId91" xr:uid="{00000000-0004-0000-0000-00005A000000}"/>
    <hyperlink ref="G96" r:id="rId92" xr:uid="{00000000-0004-0000-0000-00005B000000}"/>
    <hyperlink ref="G61" r:id="rId93" xr:uid="{00000000-0004-0000-0000-00005C000000}"/>
    <hyperlink ref="G97" r:id="rId94" xr:uid="{00000000-0004-0000-0000-00005D000000}"/>
    <hyperlink ref="G98" r:id="rId95" xr:uid="{00000000-0004-0000-0000-00005E000000}"/>
    <hyperlink ref="G99" r:id="rId96" xr:uid="{00000000-0004-0000-0000-00005F000000}"/>
    <hyperlink ref="G100" r:id="rId97" xr:uid="{00000000-0004-0000-0000-000060000000}"/>
    <hyperlink ref="G101" r:id="rId98" xr:uid="{00000000-0004-0000-0000-000061000000}"/>
    <hyperlink ref="G102" r:id="rId99" xr:uid="{00000000-0004-0000-0000-000062000000}"/>
    <hyperlink ref="G103" r:id="rId100" xr:uid="{00000000-0004-0000-0000-000063000000}"/>
    <hyperlink ref="G104" r:id="rId101" xr:uid="{00000000-0004-0000-0000-000064000000}"/>
    <hyperlink ref="G106" r:id="rId102" location="_VLSFO " xr:uid="{00000000-0004-0000-0000-000065000000}"/>
    <hyperlink ref="G107" r:id="rId103" location="bib29 " xr:uid="{00000000-0004-0000-0000-000066000000}"/>
    <hyperlink ref="G108" r:id="rId104" xr:uid="{00000000-0004-0000-0000-000067000000}"/>
    <hyperlink ref="G109" r:id="rId105" xr:uid="{00000000-0004-0000-0000-000068000000}"/>
    <hyperlink ref="G110" r:id="rId106" xr:uid="{00000000-0004-0000-0000-000069000000}"/>
    <hyperlink ref="G111" r:id="rId107" xr:uid="{00000000-0004-0000-0000-00006A000000}"/>
    <hyperlink ref="G114" r:id="rId108" xr:uid="{00000000-0004-0000-0000-00006B000000}"/>
    <hyperlink ref="G117" r:id="rId109" xr:uid="{00000000-0004-0000-0000-00006C000000}"/>
    <hyperlink ref="G118" r:id="rId110" tooltip="Persistent link using digital object identifier" xr:uid="{00000000-0004-0000-0000-00006D000000}"/>
    <hyperlink ref="G124" r:id="rId111" xr:uid="{00000000-0004-0000-0000-00006E000000}"/>
    <hyperlink ref="G126" r:id="rId112" xr:uid="{00000000-0004-0000-0000-00006F000000}"/>
    <hyperlink ref="G127" r:id="rId113" xr:uid="{00000000-0004-0000-0000-000070000000}"/>
    <hyperlink ref="G120" r:id="rId114" xr:uid="{00000000-0004-0000-0000-000071000000}"/>
    <hyperlink ref="G128" r:id="rId115" xr:uid="{00000000-0004-0000-0000-000072000000}"/>
    <hyperlink ref="G129" r:id="rId116" xr:uid="{00000000-0004-0000-0000-000073000000}"/>
    <hyperlink ref="G130" r:id="rId117" xr:uid="{00000000-0004-0000-0000-000074000000}"/>
    <hyperlink ref="G131" r:id="rId118" xr:uid="{00000000-0004-0000-0000-000075000000}"/>
    <hyperlink ref="G132" r:id="rId119" xr:uid="{00000000-0004-0000-0000-000076000000}"/>
    <hyperlink ref="G133" r:id="rId120" xr:uid="{00000000-0004-0000-0000-000077000000}"/>
    <hyperlink ref="G135" r:id="rId121" xr:uid="{00000000-0004-0000-0000-000078000000}"/>
    <hyperlink ref="G136" r:id="rId122" xr:uid="{00000000-0004-0000-0000-000079000000}"/>
    <hyperlink ref="G137" r:id="rId123" xr:uid="{00000000-0004-0000-0000-00007A000000}"/>
    <hyperlink ref="G138" r:id="rId124" xr:uid="{00000000-0004-0000-0000-00007B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J336"/>
  <sheetViews>
    <sheetView topLeftCell="E221" zoomScale="85" zoomScaleNormal="85" workbookViewId="0">
      <selection activeCell="G230" sqref="G230"/>
    </sheetView>
  </sheetViews>
  <sheetFormatPr defaultRowHeight="14.4" x14ac:dyDescent="0.3"/>
  <cols>
    <col min="1" max="1" width="37" customWidth="1"/>
    <col min="2" max="2" width="118.88671875" customWidth="1"/>
    <col min="3" max="3" width="11.88671875" style="5" customWidth="1"/>
    <col min="4" max="4" width="30.77734375" style="5" customWidth="1"/>
    <col min="5" max="5" width="26.21875" style="5" customWidth="1"/>
    <col min="6" max="8" width="12" customWidth="1"/>
    <col min="9" max="9" width="10.77734375" customWidth="1"/>
    <col min="10" max="10" width="21.21875" customWidth="1"/>
  </cols>
  <sheetData>
    <row r="1" spans="1:10" s="29" customFormat="1" x14ac:dyDescent="0.3">
      <c r="A1" s="204" t="s">
        <v>698</v>
      </c>
      <c r="B1" s="204"/>
      <c r="C1" s="47"/>
      <c r="D1" s="47"/>
      <c r="E1" s="91"/>
      <c r="J1" s="31"/>
    </row>
    <row r="3" spans="1:10" s="33" customFormat="1" x14ac:dyDescent="0.3">
      <c r="A3" s="33" t="s">
        <v>148</v>
      </c>
      <c r="B3" s="32"/>
      <c r="C3" s="48"/>
      <c r="D3" s="48"/>
      <c r="E3" s="92"/>
      <c r="F3" s="32"/>
      <c r="G3" s="48"/>
      <c r="H3" s="48"/>
    </row>
    <row r="4" spans="1:10" x14ac:dyDescent="0.3">
      <c r="B4" s="13"/>
      <c r="D4" s="49"/>
      <c r="E4" s="14"/>
      <c r="F4" s="13"/>
      <c r="G4" s="5"/>
      <c r="H4" s="5"/>
    </row>
    <row r="5" spans="1:10" s="66" customFormat="1" x14ac:dyDescent="0.3">
      <c r="A5" s="66" t="s">
        <v>1928</v>
      </c>
      <c r="B5" s="68"/>
      <c r="C5" s="70"/>
      <c r="D5" s="70"/>
      <c r="E5" s="115"/>
      <c r="F5" s="68"/>
      <c r="G5" s="70"/>
      <c r="H5" s="70"/>
    </row>
    <row r="6" spans="1:10" s="17" customFormat="1" x14ac:dyDescent="0.3">
      <c r="A6" s="17" t="s">
        <v>85</v>
      </c>
      <c r="B6" s="17" t="s">
        <v>52</v>
      </c>
      <c r="C6" s="49" t="s">
        <v>184</v>
      </c>
      <c r="D6" s="95" t="s">
        <v>106</v>
      </c>
      <c r="E6" s="49" t="s">
        <v>183</v>
      </c>
      <c r="F6" s="17">
        <v>2030</v>
      </c>
      <c r="G6" s="17">
        <v>2040</v>
      </c>
      <c r="H6" s="17" t="s">
        <v>2203</v>
      </c>
      <c r="I6" s="49">
        <v>2050</v>
      </c>
      <c r="J6" s="15" t="s">
        <v>2204</v>
      </c>
    </row>
    <row r="7" spans="1:10" x14ac:dyDescent="0.3">
      <c r="A7" t="s">
        <v>218</v>
      </c>
      <c r="B7" s="13" t="s">
        <v>540</v>
      </c>
      <c r="C7" s="5">
        <v>20000</v>
      </c>
      <c r="D7" s="5">
        <v>20000</v>
      </c>
      <c r="E7" s="5">
        <v>20000</v>
      </c>
      <c r="F7" s="5">
        <v>20000</v>
      </c>
      <c r="G7" s="5">
        <v>20000</v>
      </c>
      <c r="H7" s="5">
        <v>20000</v>
      </c>
      <c r="I7" s="5">
        <v>20000</v>
      </c>
      <c r="J7" s="5">
        <v>20000</v>
      </c>
    </row>
    <row r="8" spans="1:10" x14ac:dyDescent="0.3">
      <c r="A8" t="s">
        <v>107</v>
      </c>
      <c r="B8" s="13" t="s">
        <v>765</v>
      </c>
      <c r="C8" s="113">
        <v>1</v>
      </c>
      <c r="D8" s="80">
        <v>0.4</v>
      </c>
      <c r="E8" s="81">
        <v>0.2</v>
      </c>
      <c r="F8" s="81">
        <v>0.1</v>
      </c>
      <c r="G8" s="81">
        <v>0.1</v>
      </c>
      <c r="H8" s="81"/>
      <c r="I8" s="81">
        <v>0.1</v>
      </c>
    </row>
    <row r="9" spans="1:10" x14ac:dyDescent="0.3">
      <c r="A9" t="s">
        <v>417</v>
      </c>
      <c r="B9" s="13" t="s">
        <v>765</v>
      </c>
      <c r="C9" s="113">
        <v>1</v>
      </c>
      <c r="D9" s="113">
        <v>1</v>
      </c>
      <c r="E9" s="113">
        <v>1</v>
      </c>
      <c r="F9" s="113">
        <v>1</v>
      </c>
      <c r="G9" s="113">
        <v>1</v>
      </c>
      <c r="H9" s="113"/>
      <c r="I9" s="113">
        <v>1</v>
      </c>
    </row>
    <row r="10" spans="1:10" x14ac:dyDescent="0.3">
      <c r="A10" t="s">
        <v>354</v>
      </c>
      <c r="B10" s="13" t="s">
        <v>420</v>
      </c>
      <c r="C10" s="113">
        <v>1</v>
      </c>
      <c r="D10" s="113">
        <v>1</v>
      </c>
      <c r="E10" s="113">
        <v>1</v>
      </c>
      <c r="F10" s="113">
        <v>1</v>
      </c>
      <c r="G10" s="113">
        <v>1</v>
      </c>
      <c r="H10" s="113"/>
      <c r="I10" s="113">
        <v>1</v>
      </c>
    </row>
    <row r="11" spans="1:10" x14ac:dyDescent="0.3">
      <c r="A11" t="s">
        <v>355</v>
      </c>
      <c r="B11" s="13" t="s">
        <v>421</v>
      </c>
      <c r="C11" s="113">
        <v>1</v>
      </c>
      <c r="D11" s="113">
        <v>1</v>
      </c>
      <c r="E11" s="113">
        <v>1</v>
      </c>
      <c r="F11" s="113">
        <v>1</v>
      </c>
      <c r="G11" s="113">
        <v>1</v>
      </c>
      <c r="H11" s="113"/>
      <c r="I11" s="113">
        <v>1</v>
      </c>
    </row>
    <row r="12" spans="1:10" x14ac:dyDescent="0.3">
      <c r="A12" t="s">
        <v>757</v>
      </c>
      <c r="B12" s="13" t="s">
        <v>541</v>
      </c>
      <c r="C12" s="5">
        <f>$C$103</f>
        <v>0.68</v>
      </c>
      <c r="D12" s="5">
        <f>$C$103</f>
        <v>0.68</v>
      </c>
      <c r="E12" s="5">
        <f>$C$103</f>
        <v>0.68</v>
      </c>
      <c r="F12" s="5">
        <f>$C$103</f>
        <v>0.68</v>
      </c>
      <c r="G12" s="5">
        <f>$C$103</f>
        <v>0.68</v>
      </c>
      <c r="H12" s="5"/>
      <c r="I12" s="5">
        <f>$C$103</f>
        <v>0.68</v>
      </c>
    </row>
    <row r="13" spans="1:10" x14ac:dyDescent="0.3">
      <c r="A13" t="s">
        <v>111</v>
      </c>
      <c r="B13" s="13" t="s">
        <v>541</v>
      </c>
      <c r="C13" s="5">
        <f>$C$97</f>
        <v>0.316</v>
      </c>
      <c r="D13" s="5">
        <f>$C$97</f>
        <v>0.316</v>
      </c>
      <c r="E13" s="5">
        <f>$C$97</f>
        <v>0.316</v>
      </c>
      <c r="F13" s="5">
        <f>$C$97</f>
        <v>0.316</v>
      </c>
      <c r="G13" s="5">
        <f>$C$97</f>
        <v>0.316</v>
      </c>
      <c r="H13" s="5"/>
      <c r="I13" s="5">
        <f>$C$97</f>
        <v>0.316</v>
      </c>
    </row>
    <row r="14" spans="1:10" x14ac:dyDescent="0.3">
      <c r="A14" t="s">
        <v>385</v>
      </c>
      <c r="B14" s="13" t="s">
        <v>542</v>
      </c>
      <c r="C14" s="5">
        <f>$C$79</f>
        <v>5.0251256281407031</v>
      </c>
      <c r="D14" s="5">
        <f>$C$79</f>
        <v>5.0251256281407031</v>
      </c>
      <c r="E14" s="5">
        <f>$C$79</f>
        <v>5.0251256281407031</v>
      </c>
      <c r="F14" s="5">
        <f>$C$79</f>
        <v>5.0251256281407031</v>
      </c>
      <c r="G14" s="5">
        <f>$C$79</f>
        <v>5.0251256281407031</v>
      </c>
      <c r="H14" s="5"/>
      <c r="I14" s="5">
        <f>$C$79</f>
        <v>5.0251256281407031</v>
      </c>
    </row>
    <row r="15" spans="1:10" x14ac:dyDescent="0.3">
      <c r="A15" t="s">
        <v>1779</v>
      </c>
      <c r="B15" s="13" t="s">
        <v>543</v>
      </c>
      <c r="C15" s="5">
        <f>$C$113</f>
        <v>4167.5719007116822</v>
      </c>
      <c r="D15" s="5">
        <f>$C$113</f>
        <v>4167.5719007116822</v>
      </c>
      <c r="E15" s="5">
        <f>$C$113</f>
        <v>4167.5719007116822</v>
      </c>
      <c r="F15" s="5">
        <f>$C$113</f>
        <v>4167.5719007116822</v>
      </c>
      <c r="G15" s="5">
        <f>$C$113</f>
        <v>4167.5719007116822</v>
      </c>
      <c r="H15" s="5"/>
      <c r="I15" s="5">
        <f>$C$113</f>
        <v>4167.5719007116822</v>
      </c>
    </row>
    <row r="16" spans="1:10" x14ac:dyDescent="0.3">
      <c r="A16" t="s">
        <v>1750</v>
      </c>
      <c r="B16" s="13" t="s">
        <v>544</v>
      </c>
      <c r="C16" s="5">
        <f>$C$130</f>
        <v>617.88115461308803</v>
      </c>
      <c r="D16" s="5">
        <f>$C$130</f>
        <v>617.88115461308803</v>
      </c>
      <c r="E16" s="5">
        <f>$C$130</f>
        <v>617.88115461308803</v>
      </c>
      <c r="F16" s="5">
        <f>$C$130</f>
        <v>617.88115461308803</v>
      </c>
      <c r="G16" s="5">
        <f>$C$130</f>
        <v>617.88115461308803</v>
      </c>
      <c r="H16" s="5"/>
      <c r="I16" s="5">
        <f>$C$130</f>
        <v>617.88115461308803</v>
      </c>
    </row>
    <row r="17" spans="1:10" x14ac:dyDescent="0.3">
      <c r="A17" t="s">
        <v>1752</v>
      </c>
      <c r="B17" s="13" t="s">
        <v>750</v>
      </c>
      <c r="C17" s="5">
        <f>$C$137/1000</f>
        <v>2.7037493490713421E-2</v>
      </c>
      <c r="D17" s="5">
        <f>$C$137/1000</f>
        <v>2.7037493490713421E-2</v>
      </c>
      <c r="E17" s="5">
        <f>$C$137/1000</f>
        <v>2.7037493490713421E-2</v>
      </c>
      <c r="F17" s="5">
        <f>$C$137/1000</f>
        <v>2.7037493490713421E-2</v>
      </c>
      <c r="G17" s="5">
        <f>$C$137/1000</f>
        <v>2.7037493490713421E-2</v>
      </c>
      <c r="H17" s="5"/>
      <c r="I17" s="5">
        <f>$C$137/1000</f>
        <v>2.7037493490713421E-2</v>
      </c>
    </row>
    <row r="18" spans="1:10" x14ac:dyDescent="0.3">
      <c r="A18" t="s">
        <v>545</v>
      </c>
      <c r="B18" s="13" t="s">
        <v>152</v>
      </c>
      <c r="C18" s="5">
        <v>0</v>
      </c>
      <c r="D18" s="5">
        <v>0</v>
      </c>
      <c r="E18" s="14">
        <v>0</v>
      </c>
      <c r="F18" s="14">
        <v>0</v>
      </c>
      <c r="G18" s="14">
        <v>0</v>
      </c>
      <c r="H18" s="14"/>
      <c r="I18" s="14">
        <v>0</v>
      </c>
    </row>
    <row r="19" spans="1:10" x14ac:dyDescent="0.3">
      <c r="A19" t="s">
        <v>110</v>
      </c>
      <c r="B19" s="13" t="s">
        <v>201</v>
      </c>
      <c r="C19" s="5">
        <f>C143</f>
        <v>20</v>
      </c>
      <c r="D19" s="5">
        <f>$C$145</f>
        <v>25</v>
      </c>
      <c r="E19" s="5">
        <f>$C$145</f>
        <v>25</v>
      </c>
      <c r="F19" s="5">
        <f>$C$145</f>
        <v>25</v>
      </c>
      <c r="G19" s="5">
        <f>$C$145</f>
        <v>25</v>
      </c>
      <c r="H19" s="5"/>
      <c r="I19" s="5">
        <f>$C$145</f>
        <v>25</v>
      </c>
    </row>
    <row r="20" spans="1:10" x14ac:dyDescent="0.3">
      <c r="A20" t="s">
        <v>103</v>
      </c>
      <c r="B20" s="13" t="s">
        <v>51</v>
      </c>
      <c r="C20" s="5">
        <f>Annuities!AF9</f>
        <v>0.10185220882315059</v>
      </c>
      <c r="D20" s="114">
        <f>Annuities!AG9</f>
        <v>9.3678779051968114E-2</v>
      </c>
      <c r="E20" s="114">
        <f>Annuities!AH9</f>
        <v>9.3678779051968114E-2</v>
      </c>
      <c r="F20" s="114">
        <f>Annuities!AI9</f>
        <v>9.3678779051968114E-2</v>
      </c>
      <c r="G20" s="114">
        <f>Annuities!AJ9</f>
        <v>9.3678779051968114E-2</v>
      </c>
      <c r="H20" s="114"/>
      <c r="I20" s="114">
        <f>Annuities!AK9</f>
        <v>9.3678779051968114E-2</v>
      </c>
    </row>
    <row r="21" spans="1:10" x14ac:dyDescent="0.3">
      <c r="A21" t="s">
        <v>1647</v>
      </c>
      <c r="B21" s="13" t="s">
        <v>1688</v>
      </c>
      <c r="C21" s="5">
        <f>$C$156</f>
        <v>18.474666666666668</v>
      </c>
      <c r="D21" s="5">
        <f>$C$156</f>
        <v>18.474666666666668</v>
      </c>
      <c r="E21" s="5">
        <f>$C$156</f>
        <v>18.474666666666668</v>
      </c>
      <c r="F21" s="5">
        <f>$C$157</f>
        <v>12.624355555555564</v>
      </c>
      <c r="G21" s="5">
        <f>$C$158</f>
        <v>6.7740444444444572</v>
      </c>
      <c r="H21" s="5"/>
      <c r="I21" s="5">
        <f>$C$159</f>
        <v>0.92373333333333341</v>
      </c>
    </row>
    <row r="22" spans="1:10" x14ac:dyDescent="0.3">
      <c r="A22" t="s">
        <v>1648</v>
      </c>
      <c r="B22" s="13" t="s">
        <v>1689</v>
      </c>
      <c r="C22" s="5">
        <v>0</v>
      </c>
      <c r="D22" s="5">
        <v>0</v>
      </c>
      <c r="E22" s="5">
        <v>0</v>
      </c>
      <c r="F22" s="5">
        <v>0</v>
      </c>
      <c r="G22" s="5">
        <v>0</v>
      </c>
      <c r="H22" s="5"/>
      <c r="I22" s="5">
        <v>0</v>
      </c>
    </row>
    <row r="23" spans="1:10" x14ac:dyDescent="0.3">
      <c r="A23" t="s">
        <v>2050</v>
      </c>
      <c r="B23" s="13" t="s">
        <v>2068</v>
      </c>
      <c r="C23" s="5">
        <f t="shared" ref="C23:J23" si="0">$C$161</f>
        <v>16</v>
      </c>
      <c r="D23" s="5">
        <f t="shared" si="0"/>
        <v>16</v>
      </c>
      <c r="E23" s="5">
        <f t="shared" si="0"/>
        <v>16</v>
      </c>
      <c r="F23" s="5">
        <f t="shared" si="0"/>
        <v>16</v>
      </c>
      <c r="G23" s="5">
        <f t="shared" si="0"/>
        <v>16</v>
      </c>
      <c r="H23" s="5">
        <f t="shared" si="0"/>
        <v>16</v>
      </c>
      <c r="I23" s="5">
        <f t="shared" si="0"/>
        <v>16</v>
      </c>
      <c r="J23" s="5">
        <f t="shared" si="0"/>
        <v>16</v>
      </c>
    </row>
    <row r="24" spans="1:10" x14ac:dyDescent="0.3">
      <c r="B24" s="13"/>
      <c r="D24" s="114"/>
      <c r="E24" s="114"/>
      <c r="F24" s="13"/>
      <c r="G24" s="5"/>
      <c r="H24" s="5"/>
    </row>
    <row r="25" spans="1:10" s="66" customFormat="1" x14ac:dyDescent="0.3">
      <c r="A25" s="66" t="s">
        <v>1691</v>
      </c>
      <c r="C25" s="70"/>
      <c r="D25" s="70"/>
      <c r="E25" s="115"/>
      <c r="F25" s="68"/>
      <c r="G25" s="70"/>
      <c r="H25" s="70"/>
    </row>
    <row r="26" spans="1:10" s="17" customFormat="1" x14ac:dyDescent="0.3">
      <c r="A26" s="17" t="s">
        <v>85</v>
      </c>
      <c r="B26" s="17" t="s">
        <v>52</v>
      </c>
      <c r="C26" s="49" t="s">
        <v>184</v>
      </c>
      <c r="D26" s="95" t="s">
        <v>106</v>
      </c>
      <c r="E26" s="49" t="s">
        <v>183</v>
      </c>
      <c r="F26" s="17">
        <v>2030</v>
      </c>
      <c r="G26" s="17">
        <v>2040</v>
      </c>
      <c r="H26" s="17" t="s">
        <v>2203</v>
      </c>
      <c r="I26" s="49">
        <v>2050</v>
      </c>
      <c r="J26" s="15" t="s">
        <v>2204</v>
      </c>
    </row>
    <row r="27" spans="1:10" x14ac:dyDescent="0.3">
      <c r="A27" t="s">
        <v>218</v>
      </c>
      <c r="B27" s="13" t="s">
        <v>553</v>
      </c>
      <c r="C27" s="5" t="s">
        <v>422</v>
      </c>
      <c r="D27" s="5" t="s">
        <v>422</v>
      </c>
      <c r="E27" s="5" t="s">
        <v>422</v>
      </c>
      <c r="F27" s="5" t="s">
        <v>422</v>
      </c>
      <c r="G27" s="5" t="s">
        <v>422</v>
      </c>
      <c r="H27" s="5"/>
      <c r="I27" s="5" t="s">
        <v>422</v>
      </c>
    </row>
    <row r="28" spans="1:10" x14ac:dyDescent="0.3">
      <c r="A28" t="s">
        <v>107</v>
      </c>
      <c r="B28" s="13" t="s">
        <v>202</v>
      </c>
      <c r="C28" s="113">
        <v>0</v>
      </c>
      <c r="D28" s="113">
        <v>0</v>
      </c>
      <c r="E28" s="113">
        <v>0</v>
      </c>
      <c r="F28" s="113">
        <v>0</v>
      </c>
      <c r="G28" s="113">
        <v>0</v>
      </c>
      <c r="H28" s="113"/>
      <c r="I28" s="113">
        <v>0</v>
      </c>
    </row>
    <row r="29" spans="1:10" x14ac:dyDescent="0.3">
      <c r="A29" t="s">
        <v>417</v>
      </c>
      <c r="B29" s="13" t="s">
        <v>202</v>
      </c>
      <c r="C29" s="113">
        <v>1</v>
      </c>
      <c r="D29" s="113">
        <v>1</v>
      </c>
      <c r="E29" s="113">
        <v>1</v>
      </c>
      <c r="F29" s="113">
        <v>1</v>
      </c>
      <c r="G29" s="113">
        <v>1</v>
      </c>
      <c r="H29" s="113"/>
      <c r="I29" s="113">
        <v>1</v>
      </c>
    </row>
    <row r="30" spans="1:10" x14ac:dyDescent="0.3">
      <c r="A30" t="s">
        <v>354</v>
      </c>
      <c r="B30" s="13" t="s">
        <v>420</v>
      </c>
      <c r="C30" s="113">
        <v>1</v>
      </c>
      <c r="D30" s="113">
        <v>1</v>
      </c>
      <c r="E30" s="113">
        <v>1</v>
      </c>
      <c r="F30" s="113">
        <v>1</v>
      </c>
      <c r="G30" s="113">
        <v>1</v>
      </c>
      <c r="H30" s="113"/>
      <c r="I30" s="113">
        <v>1</v>
      </c>
    </row>
    <row r="31" spans="1:10" x14ac:dyDescent="0.3">
      <c r="A31" t="s">
        <v>355</v>
      </c>
      <c r="B31" s="13" t="s">
        <v>421</v>
      </c>
      <c r="C31" s="113">
        <v>1</v>
      </c>
      <c r="D31" s="113">
        <v>1</v>
      </c>
      <c r="E31" s="113">
        <v>1</v>
      </c>
      <c r="F31" s="113">
        <v>1</v>
      </c>
      <c r="G31" s="113">
        <v>1</v>
      </c>
      <c r="H31" s="113"/>
      <c r="I31" s="113">
        <v>1</v>
      </c>
    </row>
    <row r="32" spans="1:10" x14ac:dyDescent="0.3">
      <c r="A32" t="s">
        <v>111</v>
      </c>
      <c r="B32" s="13" t="s">
        <v>554</v>
      </c>
      <c r="C32" s="5">
        <f>$C$193</f>
        <v>0.5</v>
      </c>
      <c r="D32" s="5">
        <f>$C$192</f>
        <v>0.5</v>
      </c>
      <c r="E32" s="5">
        <f>$C$191</f>
        <v>0.2</v>
      </c>
      <c r="F32" s="5">
        <f>$C$194</f>
        <v>0.47</v>
      </c>
      <c r="G32" s="5">
        <f>$C$195</f>
        <v>0.45</v>
      </c>
      <c r="H32" s="5"/>
      <c r="I32" s="5">
        <f>$C$196</f>
        <v>0.43</v>
      </c>
    </row>
    <row r="33" spans="1:10" x14ac:dyDescent="0.3">
      <c r="A33" t="s">
        <v>766</v>
      </c>
      <c r="B33" s="13" t="s">
        <v>555</v>
      </c>
      <c r="C33" s="5">
        <f>$C$84</f>
        <v>1.46</v>
      </c>
      <c r="D33" s="5">
        <f>$C$84</f>
        <v>1.46</v>
      </c>
      <c r="E33" s="5">
        <f>$C$84</f>
        <v>1.46</v>
      </c>
      <c r="F33" s="5">
        <f>$C$84</f>
        <v>1.46</v>
      </c>
      <c r="G33" s="5">
        <f>$C$84</f>
        <v>1.46</v>
      </c>
      <c r="H33" s="5"/>
      <c r="I33" s="5">
        <f>$C$84</f>
        <v>1.46</v>
      </c>
    </row>
    <row r="34" spans="1:10" x14ac:dyDescent="0.3">
      <c r="A34" t="s">
        <v>2083</v>
      </c>
      <c r="B34" s="13" t="s">
        <v>556</v>
      </c>
      <c r="C34" s="5">
        <f>$C$233</f>
        <v>7000</v>
      </c>
      <c r="D34" s="5">
        <f>$C$233</f>
        <v>7000</v>
      </c>
      <c r="E34" s="5">
        <f>$C$233</f>
        <v>7000</v>
      </c>
      <c r="F34" s="5">
        <f>$C$234</f>
        <v>6000</v>
      </c>
      <c r="G34" s="5">
        <f>$C$235</f>
        <v>5000</v>
      </c>
      <c r="H34" s="5"/>
      <c r="I34" s="5">
        <f>$C$236</f>
        <v>4000</v>
      </c>
    </row>
    <row r="35" spans="1:10" x14ac:dyDescent="0.3">
      <c r="A35" t="s">
        <v>1757</v>
      </c>
      <c r="B35" s="13" t="s">
        <v>557</v>
      </c>
      <c r="C35" s="5">
        <f>$C$245</f>
        <v>350</v>
      </c>
      <c r="D35" s="5">
        <f>$C$245</f>
        <v>350</v>
      </c>
      <c r="E35" s="5">
        <f>$C$245</f>
        <v>350</v>
      </c>
      <c r="F35" s="5">
        <f>$C$246</f>
        <v>300</v>
      </c>
      <c r="G35" s="5">
        <f>$C$247</f>
        <v>250</v>
      </c>
      <c r="H35" s="5"/>
      <c r="I35" s="5">
        <f>$C$248</f>
        <v>200</v>
      </c>
    </row>
    <row r="36" spans="1:10" x14ac:dyDescent="0.3">
      <c r="A36" t="s">
        <v>1792</v>
      </c>
      <c r="B36" s="13" t="s">
        <v>752</v>
      </c>
      <c r="C36" s="5">
        <v>0</v>
      </c>
      <c r="D36" s="5">
        <v>0</v>
      </c>
      <c r="E36" s="5">
        <v>0</v>
      </c>
      <c r="F36" s="5">
        <v>0</v>
      </c>
      <c r="G36" s="5">
        <v>0</v>
      </c>
      <c r="H36" s="5"/>
      <c r="I36" s="5">
        <v>0</v>
      </c>
    </row>
    <row r="37" spans="1:10" x14ac:dyDescent="0.3">
      <c r="A37" t="s">
        <v>2084</v>
      </c>
      <c r="B37" s="13" t="s">
        <v>152</v>
      </c>
      <c r="C37" s="5">
        <v>0</v>
      </c>
      <c r="D37" s="5">
        <v>0</v>
      </c>
      <c r="E37" s="14">
        <v>0</v>
      </c>
      <c r="F37" s="14">
        <v>0</v>
      </c>
      <c r="G37" s="14">
        <v>0</v>
      </c>
      <c r="H37" s="14"/>
      <c r="I37" s="14">
        <v>0</v>
      </c>
    </row>
    <row r="38" spans="1:10" x14ac:dyDescent="0.3">
      <c r="A38" t="s">
        <v>613</v>
      </c>
      <c r="B38" s="13" t="s">
        <v>752</v>
      </c>
      <c r="C38" s="5">
        <v>0</v>
      </c>
      <c r="D38" s="5">
        <v>0</v>
      </c>
      <c r="E38" s="5">
        <v>0</v>
      </c>
      <c r="F38" s="5">
        <v>0</v>
      </c>
      <c r="G38" s="5">
        <v>0</v>
      </c>
      <c r="H38" s="5"/>
      <c r="I38" s="5">
        <v>0</v>
      </c>
    </row>
    <row r="39" spans="1:10" x14ac:dyDescent="0.3">
      <c r="A39" t="s">
        <v>110</v>
      </c>
      <c r="B39" s="13" t="s">
        <v>201</v>
      </c>
      <c r="C39" s="5">
        <v>20</v>
      </c>
      <c r="D39" s="5">
        <v>20</v>
      </c>
      <c r="E39" s="5">
        <v>20</v>
      </c>
      <c r="F39" s="5">
        <v>20</v>
      </c>
      <c r="G39" s="5">
        <v>20</v>
      </c>
      <c r="H39" s="5"/>
      <c r="I39" s="5">
        <v>20</v>
      </c>
    </row>
    <row r="40" spans="1:10" x14ac:dyDescent="0.3">
      <c r="A40" t="s">
        <v>103</v>
      </c>
      <c r="B40" s="13" t="s">
        <v>51</v>
      </c>
      <c r="C40" s="5">
        <f>Annuities!AF7</f>
        <v>0.10185220882315059</v>
      </c>
      <c r="D40" s="114">
        <f>Annuities!AG7</f>
        <v>0.10185220882315059</v>
      </c>
      <c r="E40" s="114">
        <f>Annuities!AH7</f>
        <v>0.10185220882315059</v>
      </c>
      <c r="F40" s="114">
        <f>Annuities!AI7</f>
        <v>0.10185220882315059</v>
      </c>
      <c r="G40" s="114">
        <f>Annuities!AJ7</f>
        <v>0.10185220882315059</v>
      </c>
      <c r="H40" s="114"/>
      <c r="I40" s="114">
        <f>Annuities!AK7</f>
        <v>0.10185220882315059</v>
      </c>
    </row>
    <row r="41" spans="1:10" x14ac:dyDescent="0.3">
      <c r="A41" t="s">
        <v>1642</v>
      </c>
      <c r="B41" s="13" t="s">
        <v>1692</v>
      </c>
      <c r="C41" s="5">
        <v>0</v>
      </c>
      <c r="D41" s="5">
        <v>0</v>
      </c>
      <c r="E41" s="5">
        <v>0</v>
      </c>
      <c r="F41" s="5">
        <v>0</v>
      </c>
      <c r="G41" s="5">
        <v>0</v>
      </c>
      <c r="H41" s="5"/>
      <c r="I41" s="5">
        <v>0</v>
      </c>
    </row>
    <row r="42" spans="1:10" x14ac:dyDescent="0.3">
      <c r="A42" t="s">
        <v>1651</v>
      </c>
      <c r="B42" s="13" t="s">
        <v>1693</v>
      </c>
      <c r="C42" s="162">
        <f>D42</f>
        <v>5.6800000000000002E-3</v>
      </c>
      <c r="D42" s="162">
        <f>$C$260</f>
        <v>5.6800000000000002E-3</v>
      </c>
      <c r="E42" s="162">
        <f>D42</f>
        <v>5.6800000000000002E-3</v>
      </c>
      <c r="F42" s="162">
        <f>$C$261</f>
        <v>3.8813333333333404E-3</v>
      </c>
      <c r="G42" s="162">
        <f>$C$262</f>
        <v>2.0826666666666702E-3</v>
      </c>
      <c r="H42" s="162"/>
      <c r="I42" s="162">
        <f>$C$263</f>
        <v>2.8400000000000002E-4</v>
      </c>
    </row>
    <row r="43" spans="1:10" x14ac:dyDescent="0.3">
      <c r="A43" t="s">
        <v>2050</v>
      </c>
      <c r="B43" s="13" t="s">
        <v>2251</v>
      </c>
      <c r="C43" s="141">
        <f>$C$266</f>
        <v>800</v>
      </c>
      <c r="D43" s="141">
        <f>$C$267</f>
        <v>800</v>
      </c>
      <c r="E43" s="141">
        <f>$C$268</f>
        <v>160</v>
      </c>
      <c r="F43" s="141">
        <f>$C$269</f>
        <v>800</v>
      </c>
      <c r="G43" s="141">
        <f>$C$270</f>
        <v>400</v>
      </c>
      <c r="H43" s="141">
        <f>$C$271</f>
        <v>400</v>
      </c>
      <c r="I43" s="141">
        <f>$C$272</f>
        <v>160</v>
      </c>
      <c r="J43" s="141">
        <f>$C$273</f>
        <v>16</v>
      </c>
    </row>
    <row r="44" spans="1:10" x14ac:dyDescent="0.3">
      <c r="B44" s="13"/>
    </row>
    <row r="45" spans="1:10" s="66" customFormat="1" x14ac:dyDescent="0.3">
      <c r="A45" s="66" t="s">
        <v>1690</v>
      </c>
      <c r="B45" s="68"/>
      <c r="C45" s="70"/>
      <c r="D45" s="70"/>
      <c r="E45" s="115"/>
      <c r="F45" s="68"/>
      <c r="G45" s="70"/>
      <c r="H45" s="70"/>
    </row>
    <row r="46" spans="1:10" s="17" customFormat="1" x14ac:dyDescent="0.3">
      <c r="A46" s="17" t="s">
        <v>85</v>
      </c>
      <c r="B46" s="17" t="s">
        <v>52</v>
      </c>
      <c r="C46" s="49" t="s">
        <v>184</v>
      </c>
      <c r="D46" s="95" t="s">
        <v>106</v>
      </c>
      <c r="E46" s="49" t="s">
        <v>183</v>
      </c>
      <c r="F46" s="17">
        <v>2030</v>
      </c>
      <c r="G46" s="17">
        <v>2040</v>
      </c>
      <c r="H46" s="17" t="s">
        <v>2203</v>
      </c>
      <c r="I46" s="49">
        <v>2050</v>
      </c>
      <c r="J46" s="15" t="s">
        <v>2204</v>
      </c>
    </row>
    <row r="47" spans="1:10" x14ac:dyDescent="0.3">
      <c r="A47" t="s">
        <v>218</v>
      </c>
      <c r="B47" s="13" t="s">
        <v>553</v>
      </c>
      <c r="C47" s="5" t="s">
        <v>422</v>
      </c>
      <c r="D47" s="5" t="s">
        <v>422</v>
      </c>
      <c r="E47" s="5" t="s">
        <v>422</v>
      </c>
      <c r="F47" s="5" t="s">
        <v>422</v>
      </c>
      <c r="G47" s="5" t="s">
        <v>422</v>
      </c>
      <c r="H47" s="5" t="s">
        <v>422</v>
      </c>
      <c r="I47" s="5" t="s">
        <v>422</v>
      </c>
      <c r="J47" s="5" t="s">
        <v>422</v>
      </c>
    </row>
    <row r="48" spans="1:10" x14ac:dyDescent="0.3">
      <c r="A48" t="s">
        <v>107</v>
      </c>
      <c r="B48" s="13" t="s">
        <v>202</v>
      </c>
      <c r="C48" s="113">
        <v>0</v>
      </c>
      <c r="D48" s="113">
        <v>0</v>
      </c>
      <c r="E48" s="113">
        <v>0</v>
      </c>
      <c r="F48" s="113">
        <v>0</v>
      </c>
      <c r="G48" s="113">
        <v>0</v>
      </c>
      <c r="H48" s="113"/>
      <c r="I48" s="113">
        <v>0</v>
      </c>
    </row>
    <row r="49" spans="1:10" x14ac:dyDescent="0.3">
      <c r="A49" t="s">
        <v>417</v>
      </c>
      <c r="B49" s="13" t="s">
        <v>202</v>
      </c>
      <c r="C49" s="113">
        <v>1</v>
      </c>
      <c r="D49" s="113">
        <v>1</v>
      </c>
      <c r="E49" s="113">
        <v>1</v>
      </c>
      <c r="F49" s="113">
        <v>1</v>
      </c>
      <c r="G49" s="113">
        <v>1</v>
      </c>
      <c r="H49" s="113"/>
      <c r="I49" s="113">
        <v>1</v>
      </c>
    </row>
    <row r="50" spans="1:10" x14ac:dyDescent="0.3">
      <c r="A50" t="s">
        <v>354</v>
      </c>
      <c r="B50" s="13" t="s">
        <v>420</v>
      </c>
      <c r="C50" s="113">
        <v>1</v>
      </c>
      <c r="D50" s="113">
        <v>1</v>
      </c>
      <c r="E50" s="113">
        <v>1</v>
      </c>
      <c r="F50" s="113">
        <v>1</v>
      </c>
      <c r="G50" s="113">
        <v>1</v>
      </c>
      <c r="H50" s="113"/>
      <c r="I50" s="113">
        <v>1</v>
      </c>
    </row>
    <row r="51" spans="1:10" x14ac:dyDescent="0.3">
      <c r="A51" t="s">
        <v>355</v>
      </c>
      <c r="B51" s="13" t="s">
        <v>421</v>
      </c>
      <c r="C51" s="113">
        <v>1</v>
      </c>
      <c r="D51" s="113">
        <v>1</v>
      </c>
      <c r="E51" s="113">
        <v>1</v>
      </c>
      <c r="F51" s="113">
        <v>1</v>
      </c>
      <c r="G51" s="113">
        <v>1</v>
      </c>
      <c r="H51" s="113"/>
      <c r="I51" s="113">
        <v>1</v>
      </c>
    </row>
    <row r="52" spans="1:10" x14ac:dyDescent="0.3">
      <c r="A52" t="s">
        <v>111</v>
      </c>
      <c r="B52" s="13" t="s">
        <v>554</v>
      </c>
      <c r="C52" s="5">
        <f>$C$185</f>
        <v>0.14500000000000002</v>
      </c>
      <c r="D52" s="5">
        <f>$C$184</f>
        <v>0.13</v>
      </c>
      <c r="E52" s="5">
        <f>$C$183</f>
        <v>0.11499999999999999</v>
      </c>
      <c r="F52" s="5">
        <f>$C$186</f>
        <v>0.11000000000000001</v>
      </c>
      <c r="G52" s="5">
        <f>$C$187</f>
        <v>9.8000000000000004E-2</v>
      </c>
      <c r="H52" s="5"/>
      <c r="I52" s="5">
        <f>$C$189</f>
        <v>9.5000000000000001E-2</v>
      </c>
    </row>
    <row r="53" spans="1:10" x14ac:dyDescent="0.3">
      <c r="A53" t="s">
        <v>766</v>
      </c>
      <c r="B53" s="13" t="s">
        <v>555</v>
      </c>
      <c r="C53" s="5">
        <f>$C$84</f>
        <v>1.46</v>
      </c>
      <c r="D53" s="5">
        <f>$C$84</f>
        <v>1.46</v>
      </c>
      <c r="E53" s="5">
        <f>$C$84</f>
        <v>1.46</v>
      </c>
      <c r="F53" s="5">
        <f>$C$84</f>
        <v>1.46</v>
      </c>
      <c r="G53" s="5">
        <f>$C$84</f>
        <v>1.46</v>
      </c>
      <c r="H53" s="5"/>
      <c r="I53" s="5">
        <f>$C$84</f>
        <v>1.46</v>
      </c>
    </row>
    <row r="54" spans="1:10" x14ac:dyDescent="0.3">
      <c r="A54" t="s">
        <v>1788</v>
      </c>
      <c r="B54" s="13" t="s">
        <v>556</v>
      </c>
      <c r="C54" s="5">
        <f>$C$229</f>
        <v>2700</v>
      </c>
      <c r="D54" s="5">
        <f>$C$229</f>
        <v>2700</v>
      </c>
      <c r="E54" s="5">
        <f>$C$229</f>
        <v>2700</v>
      </c>
      <c r="F54" s="5">
        <f>$C$230</f>
        <v>2300</v>
      </c>
      <c r="G54" s="5">
        <f>$C$231</f>
        <v>2000</v>
      </c>
      <c r="H54" s="5"/>
      <c r="I54" s="5">
        <f>$C$232</f>
        <v>1600</v>
      </c>
    </row>
    <row r="55" spans="1:10" x14ac:dyDescent="0.3">
      <c r="A55" t="s">
        <v>1758</v>
      </c>
      <c r="B55" s="13" t="s">
        <v>557</v>
      </c>
      <c r="C55" s="5">
        <f>$C$241</f>
        <v>81</v>
      </c>
      <c r="D55" s="5">
        <f>$C$241</f>
        <v>81</v>
      </c>
      <c r="E55" s="5">
        <f>$C$241</f>
        <v>81</v>
      </c>
      <c r="F55" s="5">
        <f>$C$242</f>
        <v>69</v>
      </c>
      <c r="G55" s="5">
        <f>$C$243</f>
        <v>60</v>
      </c>
      <c r="H55" s="5"/>
      <c r="I55" s="5">
        <f>$C$244</f>
        <v>48</v>
      </c>
    </row>
    <row r="56" spans="1:10" x14ac:dyDescent="0.3">
      <c r="A56" t="s">
        <v>1986</v>
      </c>
      <c r="B56" s="13" t="s">
        <v>752</v>
      </c>
      <c r="C56" s="5">
        <f>$C$252</f>
        <v>2.5000000000000001E-3</v>
      </c>
      <c r="D56" s="5">
        <f>$C$252</f>
        <v>2.5000000000000001E-3</v>
      </c>
      <c r="E56" s="5">
        <f>$C$252</f>
        <v>2.5000000000000001E-3</v>
      </c>
      <c r="F56" s="5">
        <f>$C$253</f>
        <v>2.5000000000000001E-3</v>
      </c>
      <c r="G56" s="5">
        <f>$C$254</f>
        <v>2.5000000000000001E-3</v>
      </c>
      <c r="H56" s="5"/>
      <c r="I56" s="5">
        <f>$C$255</f>
        <v>2.5000000000000001E-3</v>
      </c>
    </row>
    <row r="57" spans="1:10" x14ac:dyDescent="0.3">
      <c r="A57" t="s">
        <v>571</v>
      </c>
      <c r="B57" s="13" t="s">
        <v>152</v>
      </c>
      <c r="C57" s="5">
        <v>0</v>
      </c>
      <c r="D57" s="5">
        <v>0</v>
      </c>
      <c r="E57" s="14">
        <v>0</v>
      </c>
      <c r="F57" s="14">
        <v>0</v>
      </c>
      <c r="G57" s="14">
        <v>0</v>
      </c>
      <c r="H57" s="14"/>
      <c r="I57" s="14">
        <v>0</v>
      </c>
    </row>
    <row r="58" spans="1:10" x14ac:dyDescent="0.3">
      <c r="A58" t="s">
        <v>613</v>
      </c>
      <c r="B58" s="13" t="s">
        <v>752</v>
      </c>
      <c r="C58" s="5">
        <v>0</v>
      </c>
      <c r="D58" s="5">
        <v>0</v>
      </c>
      <c r="E58" s="5">
        <v>0</v>
      </c>
      <c r="F58" s="5">
        <v>0</v>
      </c>
      <c r="G58" s="5">
        <v>0</v>
      </c>
      <c r="H58" s="5"/>
      <c r="I58" s="5">
        <v>0</v>
      </c>
    </row>
    <row r="59" spans="1:10" x14ac:dyDescent="0.3">
      <c r="A59" t="s">
        <v>110</v>
      </c>
      <c r="B59" s="13" t="s">
        <v>201</v>
      </c>
      <c r="C59" s="5">
        <v>20</v>
      </c>
      <c r="D59" s="5">
        <v>20</v>
      </c>
      <c r="E59" s="5">
        <v>20</v>
      </c>
      <c r="F59" s="5">
        <v>20</v>
      </c>
      <c r="G59" s="5">
        <v>20</v>
      </c>
      <c r="H59" s="5"/>
      <c r="I59" s="5">
        <v>20</v>
      </c>
    </row>
    <row r="60" spans="1:10" x14ac:dyDescent="0.3">
      <c r="A60" t="s">
        <v>103</v>
      </c>
      <c r="B60" s="13" t="s">
        <v>51</v>
      </c>
      <c r="C60" s="5">
        <f>Annuities!AF8</f>
        <v>0.10185220882315059</v>
      </c>
      <c r="D60" s="5">
        <f>Annuities!AG8</f>
        <v>0.10185220882315059</v>
      </c>
      <c r="E60" s="5">
        <f>Annuities!AH8</f>
        <v>0.10185220882315059</v>
      </c>
      <c r="F60" s="5">
        <f>Annuities!AI8</f>
        <v>0.10185220882315059</v>
      </c>
      <c r="G60" s="5">
        <f>Annuities!AJ8</f>
        <v>0.10185220882315059</v>
      </c>
      <c r="H60" s="5"/>
      <c r="I60" s="5">
        <f>Annuities!AK8</f>
        <v>0.10185220882315059</v>
      </c>
    </row>
    <row r="61" spans="1:10" x14ac:dyDescent="0.3">
      <c r="A61" t="s">
        <v>1642</v>
      </c>
      <c r="B61" s="13" t="s">
        <v>1692</v>
      </c>
      <c r="C61" s="5">
        <v>0</v>
      </c>
      <c r="D61" s="5">
        <v>0</v>
      </c>
      <c r="E61" s="5">
        <v>0</v>
      </c>
      <c r="F61" s="5">
        <v>0</v>
      </c>
      <c r="G61" s="5">
        <v>0</v>
      </c>
      <c r="H61" s="5"/>
      <c r="I61" s="5">
        <v>0</v>
      </c>
    </row>
    <row r="62" spans="1:10" x14ac:dyDescent="0.3">
      <c r="A62" t="s">
        <v>1651</v>
      </c>
      <c r="B62" s="13" t="s">
        <v>1693</v>
      </c>
      <c r="C62" s="171">
        <f>D62</f>
        <v>2.8400000000000002E-4</v>
      </c>
      <c r="D62" s="171">
        <f>$C$260*$C$264</f>
        <v>2.8400000000000002E-4</v>
      </c>
      <c r="E62" s="171">
        <f>D62</f>
        <v>2.8400000000000002E-4</v>
      </c>
      <c r="F62" s="171">
        <f>$C$261*$C$264</f>
        <v>1.9406666666666703E-4</v>
      </c>
      <c r="G62" s="171">
        <f>$C$262*$C$264</f>
        <v>1.0413333333333351E-4</v>
      </c>
      <c r="H62" s="171"/>
      <c r="I62" s="171">
        <f>$C$263*$C$264</f>
        <v>1.4200000000000001E-5</v>
      </c>
    </row>
    <row r="63" spans="1:10" x14ac:dyDescent="0.3">
      <c r="A63" t="s">
        <v>2050</v>
      </c>
      <c r="B63" s="13" t="s">
        <v>2242</v>
      </c>
      <c r="C63" s="171">
        <f>$C$276</f>
        <v>5.2000000000000005E-2</v>
      </c>
      <c r="D63" s="171">
        <f>(C63+E63)/2</f>
        <v>4.5999999999999999E-2</v>
      </c>
      <c r="E63" s="171">
        <f>$C$275</f>
        <v>0.04</v>
      </c>
      <c r="F63" s="171">
        <f t="shared" ref="F63:J63" si="1">$C$275</f>
        <v>0.04</v>
      </c>
      <c r="G63" s="171">
        <f t="shared" si="1"/>
        <v>0.04</v>
      </c>
      <c r="H63" s="171">
        <f t="shared" si="1"/>
        <v>0.04</v>
      </c>
      <c r="I63" s="171">
        <f t="shared" si="1"/>
        <v>0.04</v>
      </c>
      <c r="J63" s="171">
        <f t="shared" si="1"/>
        <v>0.04</v>
      </c>
    </row>
    <row r="65" spans="1:9" s="26" customFormat="1" x14ac:dyDescent="0.3">
      <c r="A65" s="75" t="s">
        <v>203</v>
      </c>
      <c r="B65" s="27"/>
      <c r="C65" s="50"/>
      <c r="D65" s="57"/>
      <c r="E65" s="94"/>
      <c r="F65" s="27"/>
      <c r="G65" s="27"/>
      <c r="H65" s="27"/>
      <c r="I65" s="27"/>
    </row>
    <row r="66" spans="1:9" x14ac:dyDescent="0.3">
      <c r="B66" s="13"/>
      <c r="D66"/>
    </row>
    <row r="67" spans="1:9" s="66" customFormat="1" x14ac:dyDescent="0.3">
      <c r="A67" s="66" t="s">
        <v>1244</v>
      </c>
      <c r="B67" s="68"/>
      <c r="C67" s="70"/>
      <c r="D67" s="70"/>
      <c r="E67" s="115"/>
      <c r="F67" s="110"/>
      <c r="G67" s="110"/>
      <c r="H67" s="110"/>
      <c r="I67" s="110"/>
    </row>
    <row r="68" spans="1:9" x14ac:dyDescent="0.3">
      <c r="A68" s="17" t="s">
        <v>85</v>
      </c>
      <c r="B68" s="17" t="s">
        <v>82</v>
      </c>
      <c r="C68" s="49" t="s">
        <v>49</v>
      </c>
      <c r="D68" s="49" t="s">
        <v>52</v>
      </c>
      <c r="E68" s="95" t="s">
        <v>58</v>
      </c>
      <c r="F68" s="35" t="s">
        <v>93</v>
      </c>
      <c r="G68" s="35" t="s">
        <v>80</v>
      </c>
      <c r="H68" s="35"/>
      <c r="I68" s="35" t="s">
        <v>59</v>
      </c>
    </row>
    <row r="69" spans="1:9" x14ac:dyDescent="0.3">
      <c r="F69" s="16"/>
      <c r="G69" s="16"/>
      <c r="H69" s="16"/>
      <c r="I69" s="16"/>
    </row>
    <row r="70" spans="1:9" x14ac:dyDescent="0.3">
      <c r="A70" s="203" t="s">
        <v>819</v>
      </c>
      <c r="B70" t="s">
        <v>401</v>
      </c>
      <c r="C70" s="5">
        <v>80</v>
      </c>
      <c r="D70" s="16" t="s">
        <v>189</v>
      </c>
      <c r="E70" s="5" t="str">
        <f>Sources!A45</f>
        <v>Belotti2017</v>
      </c>
      <c r="F70" s="16"/>
      <c r="G70" s="16"/>
      <c r="H70" s="16"/>
      <c r="I70" s="16"/>
    </row>
    <row r="71" spans="1:9" x14ac:dyDescent="0.3">
      <c r="A71" s="203"/>
      <c r="B71" s="16" t="s">
        <v>402</v>
      </c>
      <c r="C71" s="5">
        <v>240</v>
      </c>
      <c r="D71" s="16" t="s">
        <v>403</v>
      </c>
      <c r="E71" s="5" t="str">
        <f>Sources!A45</f>
        <v>Belotti2017</v>
      </c>
      <c r="F71" s="16"/>
      <c r="G71" s="16"/>
      <c r="H71" s="16"/>
      <c r="I71" s="16"/>
    </row>
    <row r="72" spans="1:9" x14ac:dyDescent="0.3">
      <c r="A72" s="203"/>
      <c r="B72" t="s">
        <v>404</v>
      </c>
      <c r="C72" s="5">
        <v>0.85</v>
      </c>
      <c r="D72" s="16" t="s">
        <v>51</v>
      </c>
      <c r="F72" s="16"/>
      <c r="G72" s="16"/>
      <c r="H72" s="16"/>
      <c r="I72" s="16"/>
    </row>
    <row r="73" spans="1:9" x14ac:dyDescent="0.3">
      <c r="A73" s="8"/>
      <c r="D73" s="16"/>
      <c r="F73" s="16"/>
      <c r="G73" s="16"/>
      <c r="H73" s="16"/>
      <c r="I73" s="16"/>
    </row>
    <row r="74" spans="1:9" x14ac:dyDescent="0.3">
      <c r="A74" s="203" t="s">
        <v>107</v>
      </c>
      <c r="B74" t="s">
        <v>820</v>
      </c>
      <c r="D74" s="16"/>
      <c r="E74" s="5" t="str">
        <f>Sources!A55</f>
        <v>Hank2018</v>
      </c>
      <c r="F74" s="16"/>
      <c r="G74" s="16"/>
      <c r="H74" s="16"/>
      <c r="I74" s="16"/>
    </row>
    <row r="75" spans="1:9" x14ac:dyDescent="0.3">
      <c r="A75" s="203"/>
      <c r="B75" t="s">
        <v>821</v>
      </c>
      <c r="C75" s="5">
        <v>20</v>
      </c>
      <c r="D75" s="16" t="s">
        <v>170</v>
      </c>
      <c r="E75" s="5" t="str">
        <f>Sources!A55</f>
        <v>Hank2018</v>
      </c>
      <c r="F75" s="16"/>
      <c r="G75" s="16"/>
      <c r="H75" s="16"/>
      <c r="I75" s="16"/>
    </row>
    <row r="76" spans="1:9" x14ac:dyDescent="0.3">
      <c r="F76" s="16"/>
      <c r="G76" s="16"/>
      <c r="H76" s="16"/>
      <c r="I76" s="16"/>
    </row>
    <row r="77" spans="1:9" x14ac:dyDescent="0.3">
      <c r="A77" s="203" t="s">
        <v>1259</v>
      </c>
      <c r="B77" t="s">
        <v>1202</v>
      </c>
      <c r="C77" s="5">
        <f>1/0.195</f>
        <v>5.1282051282051277</v>
      </c>
      <c r="D77" s="16" t="s">
        <v>1203</v>
      </c>
      <c r="E77" s="5" t="s">
        <v>324</v>
      </c>
      <c r="F77" s="16"/>
      <c r="G77" s="16"/>
      <c r="H77" s="16"/>
      <c r="I77" s="16"/>
    </row>
    <row r="78" spans="1:9" s="60" customFormat="1" x14ac:dyDescent="0.3">
      <c r="A78" s="203"/>
      <c r="B78" s="60" t="s">
        <v>1204</v>
      </c>
      <c r="C78" s="61">
        <f>1/0.192</f>
        <v>5.208333333333333</v>
      </c>
      <c r="D78" s="118" t="s">
        <v>1203</v>
      </c>
      <c r="E78" s="61" t="str">
        <f>Sources!A63</f>
        <v>DEA2020</v>
      </c>
      <c r="F78" s="118"/>
      <c r="G78" s="118"/>
      <c r="H78" s="118"/>
      <c r="I78" s="118"/>
    </row>
    <row r="79" spans="1:9" s="60" customFormat="1" x14ac:dyDescent="0.3">
      <c r="A79" s="203"/>
      <c r="B79" s="45" t="s">
        <v>1205</v>
      </c>
      <c r="C79" s="53">
        <f>1/0.199</f>
        <v>5.0251256281407031</v>
      </c>
      <c r="D79" s="16" t="s">
        <v>1203</v>
      </c>
      <c r="E79" s="53" t="str">
        <f>Sources!A57</f>
        <v>Peres-Fortes2016</v>
      </c>
      <c r="F79" s="118"/>
      <c r="G79" s="118"/>
      <c r="H79" s="118"/>
      <c r="I79" s="118"/>
    </row>
    <row r="80" spans="1:9" s="60" customFormat="1" x14ac:dyDescent="0.3">
      <c r="A80" s="203"/>
      <c r="B80" s="60" t="s">
        <v>2072</v>
      </c>
      <c r="C80" s="60">
        <f>1/0.14</f>
        <v>7.1428571428571423</v>
      </c>
      <c r="D80" s="60" t="s">
        <v>2070</v>
      </c>
      <c r="E80" s="60" t="str">
        <f>Sources!A133</f>
        <v>DEA2022</v>
      </c>
      <c r="F80" s="118"/>
      <c r="G80" s="118"/>
      <c r="H80" s="118"/>
      <c r="I80" s="118"/>
    </row>
    <row r="81" spans="1:9" s="45" customFormat="1" x14ac:dyDescent="0.3">
      <c r="A81" s="8"/>
      <c r="C81" s="53"/>
      <c r="D81" s="16"/>
      <c r="E81" s="53"/>
      <c r="F81" s="116"/>
      <c r="G81" s="116"/>
      <c r="H81" s="116"/>
      <c r="I81" s="116"/>
    </row>
    <row r="82" spans="1:9" s="60" customFormat="1" x14ac:dyDescent="0.3">
      <c r="A82" s="205" t="s">
        <v>1274</v>
      </c>
      <c r="B82" s="60" t="s">
        <v>405</v>
      </c>
      <c r="C82" s="61">
        <v>96</v>
      </c>
      <c r="D82" s="118" t="s">
        <v>202</v>
      </c>
      <c r="E82" s="61" t="str">
        <f>Sources!A45</f>
        <v>Belotti2017</v>
      </c>
      <c r="F82" s="118"/>
      <c r="G82" s="118"/>
      <c r="H82" s="118"/>
      <c r="I82" s="118"/>
    </row>
    <row r="83" spans="1:9" s="60" customFormat="1" x14ac:dyDescent="0.3">
      <c r="A83" s="205"/>
      <c r="B83" s="60" t="s">
        <v>767</v>
      </c>
      <c r="C83" s="61">
        <v>90</v>
      </c>
      <c r="D83" s="118" t="s">
        <v>202</v>
      </c>
      <c r="E83" s="61" t="str">
        <f>Sources!A55</f>
        <v>Hank2018</v>
      </c>
      <c r="F83" s="118"/>
      <c r="G83" s="118"/>
      <c r="H83" s="118"/>
      <c r="I83" s="118"/>
    </row>
    <row r="84" spans="1:9" s="45" customFormat="1" x14ac:dyDescent="0.3">
      <c r="A84" s="205"/>
      <c r="B84" s="45" t="s">
        <v>740</v>
      </c>
      <c r="C84" s="53">
        <v>1.46</v>
      </c>
      <c r="D84" s="116" t="s">
        <v>741</v>
      </c>
      <c r="E84" s="53" t="str">
        <f>Sources!A57</f>
        <v>Peres-Fortes2016</v>
      </c>
      <c r="F84" s="116"/>
      <c r="G84" s="116"/>
      <c r="H84" s="116"/>
      <c r="I84" s="116"/>
    </row>
    <row r="85" spans="1:9" s="60" customFormat="1" x14ac:dyDescent="0.3">
      <c r="A85" s="205"/>
      <c r="B85"/>
      <c r="C85" s="5">
        <v>1.37</v>
      </c>
      <c r="D85" s="16" t="s">
        <v>741</v>
      </c>
      <c r="E85" s="5" t="str">
        <f>Sources!A63</f>
        <v>DEA2020</v>
      </c>
      <c r="F85" s="118"/>
      <c r="G85" s="118"/>
      <c r="H85" s="118"/>
      <c r="I85" s="118"/>
    </row>
    <row r="86" spans="1:9" s="60" customFormat="1" x14ac:dyDescent="0.3">
      <c r="A86" s="205"/>
      <c r="B86" t="s">
        <v>2073</v>
      </c>
      <c r="C86" s="5">
        <v>1.4</v>
      </c>
      <c r="D86" s="16" t="s">
        <v>741</v>
      </c>
      <c r="E86" s="5" t="str">
        <f>Sources!A133</f>
        <v>DEA2022</v>
      </c>
      <c r="F86" s="118"/>
      <c r="G86" s="118"/>
      <c r="H86" s="118"/>
      <c r="I86" s="118"/>
    </row>
    <row r="87" spans="1:9" s="60" customFormat="1" x14ac:dyDescent="0.3">
      <c r="A87" s="205"/>
      <c r="B87" s="60" t="s">
        <v>768</v>
      </c>
      <c r="C87" s="61">
        <v>1.4322916666666701</v>
      </c>
      <c r="D87" s="118" t="s">
        <v>741</v>
      </c>
      <c r="E87" s="61" t="s">
        <v>324</v>
      </c>
      <c r="F87" s="118"/>
      <c r="G87" s="118"/>
      <c r="H87" s="118"/>
      <c r="I87" s="118"/>
    </row>
    <row r="88" spans="1:9" s="60" customFormat="1" x14ac:dyDescent="0.3">
      <c r="A88" s="205"/>
      <c r="B88" s="60" t="s">
        <v>928</v>
      </c>
      <c r="C88" s="61">
        <v>1.4627659574468099</v>
      </c>
      <c r="D88" s="118" t="s">
        <v>741</v>
      </c>
      <c r="E88" s="61" t="s">
        <v>324</v>
      </c>
      <c r="F88" s="118"/>
      <c r="G88" s="118"/>
      <c r="H88" s="118"/>
      <c r="I88" s="118"/>
    </row>
    <row r="89" spans="1:9" s="60" customFormat="1" x14ac:dyDescent="0.3">
      <c r="A89" s="205"/>
      <c r="B89" s="60" t="s">
        <v>769</v>
      </c>
      <c r="C89" s="61">
        <v>1.5277777777777799</v>
      </c>
      <c r="D89" s="118" t="s">
        <v>741</v>
      </c>
      <c r="E89" s="61" t="s">
        <v>324</v>
      </c>
      <c r="F89" s="118"/>
      <c r="G89" s="118"/>
      <c r="H89" s="118"/>
      <c r="I89" s="118"/>
    </row>
    <row r="90" spans="1:9" x14ac:dyDescent="0.3">
      <c r="D90" s="16"/>
      <c r="F90" s="16"/>
      <c r="G90" s="16"/>
      <c r="H90" s="16"/>
      <c r="I90" s="16"/>
    </row>
    <row r="91" spans="1:9" x14ac:dyDescent="0.3">
      <c r="A91" s="13"/>
      <c r="D91" s="16"/>
      <c r="F91" s="16"/>
      <c r="G91" s="16"/>
      <c r="H91" s="16"/>
      <c r="I91" s="16"/>
    </row>
    <row r="92" spans="1:9" x14ac:dyDescent="0.3">
      <c r="A92" s="203" t="s">
        <v>824</v>
      </c>
      <c r="B92" t="s">
        <v>2080</v>
      </c>
      <c r="C92" s="5">
        <v>26.39</v>
      </c>
      <c r="D92" s="16" t="s">
        <v>825</v>
      </c>
      <c r="E92" s="5" t="str">
        <f>Sources!A57</f>
        <v>Peres-Fortes2016</v>
      </c>
      <c r="F92" s="16"/>
      <c r="G92" s="16"/>
      <c r="H92" s="16"/>
      <c r="I92" s="16"/>
    </row>
    <row r="93" spans="1:9" x14ac:dyDescent="0.3">
      <c r="A93" s="203"/>
      <c r="B93" t="s">
        <v>2081</v>
      </c>
      <c r="C93" s="5">
        <v>90</v>
      </c>
      <c r="D93" s="16" t="s">
        <v>825</v>
      </c>
      <c r="E93" s="5" t="str">
        <f>Sources!A57</f>
        <v>Peres-Fortes2016</v>
      </c>
      <c r="F93" s="16"/>
      <c r="G93" s="16"/>
      <c r="H93" s="16"/>
      <c r="I93" s="16"/>
    </row>
    <row r="94" spans="1:9" x14ac:dyDescent="0.3">
      <c r="A94" s="203"/>
      <c r="B94" t="s">
        <v>2082</v>
      </c>
      <c r="C94" s="5">
        <v>1.99</v>
      </c>
      <c r="D94" s="16" t="s">
        <v>2074</v>
      </c>
      <c r="E94" s="5" t="str">
        <f>Sources!A135</f>
        <v>Peres-Fortes2016</v>
      </c>
      <c r="F94" s="16" t="s">
        <v>2078</v>
      </c>
      <c r="G94" s="16"/>
      <c r="H94" s="16"/>
      <c r="I94" s="16"/>
    </row>
    <row r="95" spans="1:9" x14ac:dyDescent="0.3">
      <c r="A95" s="13"/>
      <c r="D95" s="16"/>
      <c r="F95" s="16"/>
      <c r="G95" s="16"/>
      <c r="H95" s="16"/>
      <c r="I95" s="16"/>
    </row>
    <row r="96" spans="1:9" x14ac:dyDescent="0.3">
      <c r="A96" s="203" t="s">
        <v>111</v>
      </c>
      <c r="B96" t="s">
        <v>913</v>
      </c>
      <c r="C96" s="5">
        <v>0.16900000000000001</v>
      </c>
      <c r="D96" s="16" t="s">
        <v>822</v>
      </c>
      <c r="E96" s="5" t="str">
        <f>Sources!A57</f>
        <v>Peres-Fortes2016</v>
      </c>
      <c r="F96" s="16"/>
      <c r="G96" s="16"/>
      <c r="H96" s="16"/>
      <c r="I96" s="16"/>
    </row>
    <row r="97" spans="1:9" s="45" customFormat="1" x14ac:dyDescent="0.3">
      <c r="A97" s="203"/>
      <c r="B97" s="45" t="s">
        <v>914</v>
      </c>
      <c r="C97" s="53">
        <v>0.316</v>
      </c>
      <c r="D97" s="116" t="s">
        <v>822</v>
      </c>
      <c r="E97" s="53" t="str">
        <f>Sources!A57</f>
        <v>Peres-Fortes2016</v>
      </c>
      <c r="F97" s="116"/>
      <c r="G97" s="116"/>
      <c r="H97" s="116"/>
      <c r="I97" s="116"/>
    </row>
    <row r="98" spans="1:9" s="60" customFormat="1" x14ac:dyDescent="0.3">
      <c r="A98" s="203"/>
      <c r="B98" s="60" t="s">
        <v>2079</v>
      </c>
      <c r="C98" s="61">
        <v>0.17699999999999999</v>
      </c>
      <c r="D98" s="118" t="s">
        <v>2065</v>
      </c>
      <c r="E98" s="61" t="str">
        <f>Sources!A135</f>
        <v>Peres-Fortes2016</v>
      </c>
      <c r="F98" s="118"/>
      <c r="G98" s="118"/>
      <c r="H98" s="118"/>
      <c r="I98" s="118"/>
    </row>
    <row r="99" spans="1:9" x14ac:dyDescent="0.3">
      <c r="A99" s="203"/>
      <c r="B99" t="s">
        <v>823</v>
      </c>
      <c r="C99" s="5">
        <v>0.14699999999999999</v>
      </c>
      <c r="D99" s="16" t="s">
        <v>822</v>
      </c>
      <c r="E99" s="5" t="str">
        <f>Sources!A57</f>
        <v>Peres-Fortes2016</v>
      </c>
      <c r="F99" s="16"/>
      <c r="G99" s="16"/>
      <c r="H99" s="16"/>
      <c r="I99" s="16"/>
    </row>
    <row r="100" spans="1:9" x14ac:dyDescent="0.3">
      <c r="A100" s="8"/>
      <c r="D100" s="16"/>
      <c r="F100" s="16"/>
      <c r="G100" s="16"/>
      <c r="H100" s="16"/>
      <c r="I100" s="16"/>
    </row>
    <row r="101" spans="1:9" x14ac:dyDescent="0.3">
      <c r="A101" s="203" t="s">
        <v>909</v>
      </c>
      <c r="B101" t="s">
        <v>910</v>
      </c>
      <c r="C101" s="5">
        <v>0.86199999999999999</v>
      </c>
      <c r="D101" s="16" t="s">
        <v>911</v>
      </c>
      <c r="E101" s="5" t="str">
        <f>Sources!A57</f>
        <v>Peres-Fortes2016</v>
      </c>
      <c r="F101" s="16"/>
      <c r="G101" s="16"/>
      <c r="H101" s="16"/>
      <c r="I101" s="16"/>
    </row>
    <row r="102" spans="1:9" x14ac:dyDescent="0.3">
      <c r="A102" s="203"/>
      <c r="B102" t="s">
        <v>912</v>
      </c>
      <c r="C102" s="5">
        <v>0.439</v>
      </c>
      <c r="D102" s="16" t="s">
        <v>911</v>
      </c>
      <c r="E102" s="5" t="str">
        <f>Sources!A57</f>
        <v>Peres-Fortes2016</v>
      </c>
      <c r="F102" s="16"/>
      <c r="G102" s="16"/>
      <c r="H102" s="16"/>
      <c r="I102" s="16"/>
    </row>
    <row r="103" spans="1:9" x14ac:dyDescent="0.3">
      <c r="A103" s="203"/>
      <c r="B103" s="45" t="s">
        <v>915</v>
      </c>
      <c r="C103" s="53">
        <v>0.68</v>
      </c>
      <c r="D103" s="116" t="s">
        <v>911</v>
      </c>
      <c r="E103" s="53" t="str">
        <f>Sources!A57</f>
        <v>Peres-Fortes2016</v>
      </c>
      <c r="F103" s="16"/>
      <c r="G103" s="16"/>
      <c r="H103" s="16"/>
      <c r="I103" s="16"/>
    </row>
    <row r="104" spans="1:9" s="60" customFormat="1" x14ac:dyDescent="0.3">
      <c r="A104" s="203"/>
      <c r="B104" s="60" t="s">
        <v>2066</v>
      </c>
      <c r="C104" s="60">
        <f>(32.84/(58.74/19.9))/3.6</f>
        <v>3.0904361971777701</v>
      </c>
      <c r="D104" s="60" t="s">
        <v>2065</v>
      </c>
      <c r="E104" s="60" t="str">
        <f>Sources!A133</f>
        <v>DEA2022</v>
      </c>
      <c r="F104" s="118"/>
      <c r="G104" s="118"/>
      <c r="H104" s="118"/>
      <c r="I104" s="118"/>
    </row>
    <row r="105" spans="1:9" x14ac:dyDescent="0.3">
      <c r="F105" s="16"/>
      <c r="G105" s="16"/>
      <c r="H105" s="16"/>
      <c r="I105" s="16"/>
    </row>
    <row r="106" spans="1:9" x14ac:dyDescent="0.3">
      <c r="A106" s="203" t="s">
        <v>714</v>
      </c>
      <c r="B106" s="10" t="s">
        <v>713</v>
      </c>
      <c r="D106" s="16" t="s">
        <v>558</v>
      </c>
      <c r="E106" s="5" t="str">
        <f>Sources!A45</f>
        <v>Belotti2017</v>
      </c>
      <c r="F106" s="16"/>
      <c r="G106" s="16"/>
      <c r="H106" s="16"/>
      <c r="I106" s="16"/>
    </row>
    <row r="107" spans="1:9" s="60" customFormat="1" x14ac:dyDescent="0.3">
      <c r="A107" s="203"/>
      <c r="B107" s="60" t="s">
        <v>733</v>
      </c>
      <c r="C107" s="61">
        <f>810*((365*24)/1000)*(CEPCI_ref/CEPCI2014)</f>
        <v>7482.3416073598337</v>
      </c>
      <c r="D107" s="118" t="s">
        <v>732</v>
      </c>
      <c r="E107" s="61" t="str">
        <f>Sources!A55</f>
        <v>Hank2018</v>
      </c>
      <c r="F107" s="61" t="str">
        <f>Sources!A56</f>
        <v>ADI Analytics2015</v>
      </c>
      <c r="G107" s="118"/>
      <c r="H107" s="118"/>
      <c r="I107" s="118"/>
    </row>
    <row r="108" spans="1:9" x14ac:dyDescent="0.3">
      <c r="A108" s="203"/>
      <c r="B108" t="s">
        <v>1324</v>
      </c>
      <c r="C108" s="5">
        <f>(200*(365*24/1000)*DE2014_)*(CEPCI_ref/CEPCI2014)</f>
        <v>1390.8693479663198</v>
      </c>
      <c r="D108" s="16" t="s">
        <v>732</v>
      </c>
      <c r="E108" s="5" t="str">
        <f>Sources!A56</f>
        <v>ADI Analytics2015</v>
      </c>
      <c r="F108" s="16"/>
      <c r="G108" s="16"/>
      <c r="H108" s="16"/>
      <c r="I108" s="16"/>
    </row>
    <row r="109" spans="1:9" x14ac:dyDescent="0.3">
      <c r="A109" s="203"/>
      <c r="B109" t="s">
        <v>1325</v>
      </c>
      <c r="C109" s="5">
        <f>((700*(365*24/1000))*DE2014_)*(CEPCI_ref/CEPCI2014)</f>
        <v>4868.0427178821192</v>
      </c>
      <c r="D109" s="16" t="s">
        <v>732</v>
      </c>
      <c r="E109" s="5" t="str">
        <f>Sources!A56</f>
        <v>ADI Analytics2015</v>
      </c>
      <c r="F109" s="16"/>
      <c r="G109" s="16"/>
      <c r="H109" s="16"/>
      <c r="I109" s="16"/>
    </row>
    <row r="110" spans="1:9" x14ac:dyDescent="0.3">
      <c r="A110" s="203"/>
      <c r="B110" t="s">
        <v>1326</v>
      </c>
      <c r="C110" s="5">
        <f>530*DE2014_*(365*24/1000)*(CEPCI_ref/CEPCI2014)</f>
        <v>3685.8037721107471</v>
      </c>
      <c r="D110" s="16" t="s">
        <v>732</v>
      </c>
      <c r="E110" s="5" t="str">
        <f>Sources!A56</f>
        <v>ADI Analytics2015</v>
      </c>
      <c r="F110" s="16"/>
      <c r="G110" s="16"/>
      <c r="H110" s="16"/>
      <c r="I110" s="16"/>
    </row>
    <row r="111" spans="1:9" s="45" customFormat="1" x14ac:dyDescent="0.3">
      <c r="A111" s="203"/>
      <c r="B111" s="45" t="s">
        <v>1327</v>
      </c>
      <c r="C111" s="53">
        <f>700*DE2014_*(365*24/1000)*(CEPCI_ref/CEPCI2014)</f>
        <v>4868.0427178821192</v>
      </c>
      <c r="D111" s="116" t="s">
        <v>732</v>
      </c>
      <c r="E111" s="53" t="str">
        <f>Sources!A56</f>
        <v>ADI Analytics2015</v>
      </c>
      <c r="F111" s="116"/>
      <c r="G111" s="116"/>
      <c r="H111" s="116"/>
      <c r="I111" s="116"/>
    </row>
    <row r="112" spans="1:9" s="60" customFormat="1" x14ac:dyDescent="0.3">
      <c r="A112" s="203"/>
      <c r="B112" s="60" t="s">
        <v>1303</v>
      </c>
      <c r="C112" s="61">
        <f>1100*DE2014_*(365*24/1000)*(CEPCI_ref/CEPCI2014)</f>
        <v>7649.7814138147587</v>
      </c>
      <c r="D112" s="118" t="s">
        <v>732</v>
      </c>
      <c r="E112" s="61" t="str">
        <f>Sources!A56</f>
        <v>ADI Analytics2015</v>
      </c>
      <c r="F112" s="118"/>
      <c r="G112" s="118"/>
      <c r="H112" s="118"/>
      <c r="I112" s="118"/>
    </row>
    <row r="113" spans="1:9" s="45" customFormat="1" x14ac:dyDescent="0.3">
      <c r="A113" s="203"/>
      <c r="B113" s="45" t="s">
        <v>1304</v>
      </c>
      <c r="C113" s="53">
        <f>451.16*(365*24/1000)*(CEPCI_ref/CEPCI2014)</f>
        <v>4167.5719007116822</v>
      </c>
      <c r="D113" s="116" t="s">
        <v>732</v>
      </c>
      <c r="E113" s="53" t="str">
        <f>Sources!A57</f>
        <v>Peres-Fortes2016</v>
      </c>
      <c r="F113" s="116"/>
      <c r="G113" s="116"/>
      <c r="H113" s="116"/>
      <c r="I113" s="116"/>
    </row>
    <row r="114" spans="1:9" s="60" customFormat="1" x14ac:dyDescent="0.3">
      <c r="A114" s="203"/>
      <c r="B114" s="60" t="s">
        <v>1317</v>
      </c>
      <c r="C114" s="61">
        <f>846*(365*24/1000)*(CEPCI_ref/CEPCI2014)</f>
        <v>7814.8901232424932</v>
      </c>
      <c r="D114" s="118" t="s">
        <v>732</v>
      </c>
      <c r="E114" s="61" t="str">
        <f>Sources!A57</f>
        <v>Peres-Fortes2016</v>
      </c>
      <c r="F114" s="118"/>
      <c r="G114" s="118"/>
      <c r="H114" s="118"/>
      <c r="I114" s="118"/>
    </row>
    <row r="115" spans="1:9" x14ac:dyDescent="0.3">
      <c r="A115" s="203"/>
      <c r="B115" s="10" t="s">
        <v>1496</v>
      </c>
      <c r="C115" s="5">
        <v>1514</v>
      </c>
      <c r="D115" s="16" t="s">
        <v>718</v>
      </c>
      <c r="E115" s="5" t="str">
        <f>Sources!A55</f>
        <v>Hank2018</v>
      </c>
      <c r="F115" s="16"/>
      <c r="G115" s="16"/>
      <c r="H115" s="16"/>
      <c r="I115" s="16"/>
    </row>
    <row r="116" spans="1:9" x14ac:dyDescent="0.3">
      <c r="A116" s="203"/>
      <c r="B116" s="10" t="s">
        <v>719</v>
      </c>
      <c r="C116" s="5">
        <v>2745</v>
      </c>
      <c r="D116" s="16" t="s">
        <v>718</v>
      </c>
      <c r="E116" s="5" t="str">
        <f>Sources!A55</f>
        <v>Hank2018</v>
      </c>
      <c r="F116" s="16"/>
      <c r="G116" s="16"/>
      <c r="H116" s="16"/>
      <c r="I116" s="16"/>
    </row>
    <row r="117" spans="1:9" x14ac:dyDescent="0.3">
      <c r="A117" s="203"/>
      <c r="B117" s="10" t="s">
        <v>720</v>
      </c>
      <c r="C117" s="5">
        <v>3830</v>
      </c>
      <c r="D117" s="16" t="s">
        <v>718</v>
      </c>
      <c r="E117" s="5" t="str">
        <f>Sources!A55</f>
        <v>Hank2018</v>
      </c>
      <c r="F117" s="16"/>
      <c r="G117" s="16"/>
      <c r="H117" s="16"/>
      <c r="I117" s="16"/>
    </row>
    <row r="118" spans="1:9" x14ac:dyDescent="0.3">
      <c r="A118" s="203"/>
      <c r="B118" s="10" t="s">
        <v>721</v>
      </c>
      <c r="C118" s="5">
        <v>4144</v>
      </c>
      <c r="D118" s="16" t="s">
        <v>718</v>
      </c>
      <c r="E118" s="5" t="str">
        <f>Sources!A55</f>
        <v>Hank2018</v>
      </c>
      <c r="F118" s="16"/>
      <c r="G118" s="16"/>
      <c r="H118" s="16"/>
      <c r="I118" s="16"/>
    </row>
    <row r="119" spans="1:9" x14ac:dyDescent="0.3">
      <c r="A119" s="203"/>
      <c r="B119" s="10" t="s">
        <v>722</v>
      </c>
      <c r="C119" s="5" t="s">
        <v>725</v>
      </c>
      <c r="D119" s="16" t="s">
        <v>718</v>
      </c>
      <c r="E119" s="5" t="str">
        <f>Sources!A55</f>
        <v>Hank2018</v>
      </c>
      <c r="F119" s="16"/>
      <c r="G119" s="16"/>
      <c r="H119" s="16"/>
      <c r="I119" s="16"/>
    </row>
    <row r="120" spans="1:9" x14ac:dyDescent="0.3">
      <c r="A120" s="203"/>
      <c r="B120" s="10" t="s">
        <v>723</v>
      </c>
      <c r="C120" s="5">
        <v>850</v>
      </c>
      <c r="D120" s="16" t="s">
        <v>718</v>
      </c>
      <c r="E120" s="5" t="str">
        <f>Sources!A55</f>
        <v>Hank2018</v>
      </c>
      <c r="F120" s="16"/>
      <c r="G120" s="16"/>
      <c r="H120" s="16"/>
      <c r="I120" s="16"/>
    </row>
    <row r="121" spans="1:9" x14ac:dyDescent="0.3">
      <c r="A121" s="203"/>
      <c r="B121" s="10" t="s">
        <v>724</v>
      </c>
      <c r="C121" s="5">
        <v>497</v>
      </c>
      <c r="D121" s="16" t="s">
        <v>718</v>
      </c>
      <c r="E121" s="5" t="str">
        <f>Sources!A55</f>
        <v>Hank2018</v>
      </c>
      <c r="F121" s="16"/>
      <c r="G121" s="16"/>
      <c r="H121" s="16"/>
      <c r="I121" s="16"/>
    </row>
    <row r="122" spans="1:9" x14ac:dyDescent="0.3">
      <c r="A122" s="203"/>
      <c r="B122" s="10" t="s">
        <v>1495</v>
      </c>
      <c r="C122" s="5">
        <f>0.15*10^3*'Fuel production cost'!C4*(CEPCI_ref/CEPCI2019)</f>
        <v>2985</v>
      </c>
      <c r="D122" s="16" t="s">
        <v>732</v>
      </c>
      <c r="E122" s="5" t="str">
        <f>Sources!A107</f>
        <v>Lester2020</v>
      </c>
      <c r="F122" s="16"/>
      <c r="G122" s="16"/>
      <c r="H122" s="16"/>
      <c r="I122" s="16"/>
    </row>
    <row r="123" spans="1:9" x14ac:dyDescent="0.3">
      <c r="A123" s="203"/>
      <c r="C123"/>
      <c r="D123"/>
      <c r="F123" s="16"/>
      <c r="G123" s="16"/>
      <c r="H123" s="16"/>
      <c r="I123" s="16"/>
    </row>
    <row r="124" spans="1:9" x14ac:dyDescent="0.3">
      <c r="A124" s="8"/>
      <c r="B124" s="10"/>
      <c r="F124" s="16"/>
      <c r="G124" s="16"/>
      <c r="H124" s="16"/>
      <c r="I124" s="16"/>
    </row>
    <row r="125" spans="1:9" s="60" customFormat="1" x14ac:dyDescent="0.3">
      <c r="A125" s="203" t="s">
        <v>1734</v>
      </c>
      <c r="B125" s="119" t="s">
        <v>712</v>
      </c>
      <c r="C125" s="148">
        <v>0.1</v>
      </c>
      <c r="D125" s="118" t="s">
        <v>318</v>
      </c>
      <c r="E125" s="61" t="str">
        <f>Sources!A55</f>
        <v>Hank2018</v>
      </c>
      <c r="F125" s="118"/>
      <c r="G125" s="118"/>
      <c r="H125" s="118"/>
      <c r="I125" s="118"/>
    </row>
    <row r="126" spans="1:9" s="45" customFormat="1" x14ac:dyDescent="0.3">
      <c r="A126" s="203"/>
      <c r="B126" s="117" t="s">
        <v>1071</v>
      </c>
      <c r="C126" s="149">
        <v>0.06</v>
      </c>
      <c r="D126" s="116" t="s">
        <v>1070</v>
      </c>
      <c r="E126" s="53" t="str">
        <f>Sources!A81</f>
        <v>Nguyen2019</v>
      </c>
      <c r="F126" s="116"/>
      <c r="G126" s="116"/>
      <c r="H126" s="116"/>
      <c r="I126" s="116"/>
    </row>
    <row r="127" spans="1:9" s="60" customFormat="1" x14ac:dyDescent="0.3">
      <c r="A127" s="203"/>
      <c r="B127" s="119" t="s">
        <v>1002</v>
      </c>
      <c r="C127" s="148">
        <v>0.02</v>
      </c>
      <c r="D127" s="118" t="s">
        <v>318</v>
      </c>
      <c r="E127" s="61" t="str">
        <f>Sources!A76</f>
        <v>Nyári2020</v>
      </c>
      <c r="F127" s="118"/>
      <c r="G127" s="118"/>
      <c r="H127" s="118"/>
      <c r="I127" s="118"/>
    </row>
    <row r="128" spans="1:9" s="45" customFormat="1" x14ac:dyDescent="0.3">
      <c r="A128" s="203"/>
      <c r="B128" s="119" t="s">
        <v>1497</v>
      </c>
      <c r="C128" s="61">
        <f>5.32*'Fuel production cost'!C4*(CEPCI_ref/CEPCI2015)</f>
        <v>115.50792025862069</v>
      </c>
      <c r="D128" s="118" t="s">
        <v>1001</v>
      </c>
      <c r="E128" s="61" t="str">
        <f>Sources!A63</f>
        <v>DEA2020</v>
      </c>
      <c r="F128" s="116"/>
      <c r="G128" s="116"/>
      <c r="H128" s="116"/>
      <c r="I128" s="116"/>
    </row>
    <row r="129" spans="1:9" s="45" customFormat="1" x14ac:dyDescent="0.3">
      <c r="A129" s="203"/>
      <c r="B129" s="119" t="s">
        <v>1759</v>
      </c>
      <c r="C129" s="61">
        <v>1.2</v>
      </c>
      <c r="D129" s="118" t="s">
        <v>318</v>
      </c>
      <c r="E129" s="61" t="str">
        <f>Sources!A63</f>
        <v>DEA2020</v>
      </c>
      <c r="F129" s="116"/>
      <c r="G129" s="116"/>
      <c r="H129" s="116"/>
      <c r="I129" s="116"/>
    </row>
    <row r="130" spans="1:9" s="45" customFormat="1" x14ac:dyDescent="0.3">
      <c r="A130" s="203"/>
      <c r="B130" s="119" t="s">
        <v>1852</v>
      </c>
      <c r="C130" s="61">
        <v>617.88115461308803</v>
      </c>
      <c r="D130" s="118" t="s">
        <v>1853</v>
      </c>
      <c r="E130" s="61" t="str">
        <f>Sources!A57 &amp;" , "&amp;Sources!A112</f>
        <v>Peres-Fortes2016 , Turton2008</v>
      </c>
      <c r="F130" s="116"/>
      <c r="G130" s="116"/>
      <c r="H130" s="116"/>
      <c r="I130" s="116"/>
    </row>
    <row r="131" spans="1:9" x14ac:dyDescent="0.3">
      <c r="A131" s="203"/>
      <c r="B131" s="10" t="s">
        <v>1318</v>
      </c>
      <c r="C131" s="5">
        <f>43*(CEPCI_ref/CEPCI2014)</f>
        <v>45.343690331539669</v>
      </c>
      <c r="D131" s="16" t="s">
        <v>739</v>
      </c>
      <c r="E131" s="5" t="str">
        <f>Sources!A57</f>
        <v>Peres-Fortes2016</v>
      </c>
      <c r="F131" s="16"/>
      <c r="G131" s="16"/>
      <c r="H131" s="16"/>
      <c r="I131" s="16"/>
    </row>
    <row r="132" spans="1:9" x14ac:dyDescent="0.3">
      <c r="A132" s="203"/>
      <c r="B132" s="119" t="s">
        <v>1319</v>
      </c>
      <c r="C132" s="61">
        <f>24.5*(CEPCI_ref/CEPCI2014)</f>
        <v>25.835358444714462</v>
      </c>
      <c r="D132" s="118" t="s">
        <v>739</v>
      </c>
      <c r="E132" s="61" t="str">
        <f>Sources!A57</f>
        <v>Peres-Fortes2016</v>
      </c>
      <c r="F132" s="16"/>
      <c r="G132" s="16"/>
      <c r="H132" s="16"/>
      <c r="I132" s="16"/>
    </row>
    <row r="133" spans="1:9" s="60" customFormat="1" x14ac:dyDescent="0.3">
      <c r="A133" s="203"/>
      <c r="B133" s="60" t="s">
        <v>1760</v>
      </c>
      <c r="C133" s="60">
        <f>5.32*'Fuel production cost'!C4*(CEPCI_ref/CEPCI2019)/DE2019_</f>
        <v>118.56157319999998</v>
      </c>
      <c r="D133" s="60" t="s">
        <v>1001</v>
      </c>
      <c r="E133" s="60" t="str">
        <f>Sources!A107</f>
        <v>Lester2020</v>
      </c>
      <c r="F133" s="118"/>
      <c r="G133" s="118"/>
      <c r="H133" s="118"/>
      <c r="I133" s="118"/>
    </row>
    <row r="134" spans="1:9" x14ac:dyDescent="0.3">
      <c r="D134" s="16"/>
      <c r="F134" s="16"/>
      <c r="G134" s="16"/>
      <c r="H134" s="16"/>
      <c r="I134" s="16"/>
    </row>
    <row r="135" spans="1:9" x14ac:dyDescent="0.3">
      <c r="A135" s="203" t="s">
        <v>1735</v>
      </c>
      <c r="B135" s="10" t="s">
        <v>1320</v>
      </c>
      <c r="C135" s="5">
        <f>358*(CEPCI_ref/CEPCI2014)</f>
        <v>377.51258462072559</v>
      </c>
      <c r="D135" s="16" t="s">
        <v>739</v>
      </c>
      <c r="E135" s="5" t="str">
        <f>Sources!A57</f>
        <v>Peres-Fortes2016</v>
      </c>
      <c r="F135" s="16"/>
      <c r="G135" s="16"/>
      <c r="H135" s="16"/>
      <c r="I135" s="16"/>
    </row>
    <row r="136" spans="1:9" x14ac:dyDescent="0.3">
      <c r="A136" s="203"/>
      <c r="B136" s="10" t="s">
        <v>1321</v>
      </c>
      <c r="C136" s="5">
        <f>641*(CEPCI_ref/CEPCI2014)</f>
        <v>675.93733726783546</v>
      </c>
      <c r="D136" s="16" t="s">
        <v>739</v>
      </c>
      <c r="E136" s="5" t="str">
        <f>Sources!A57</f>
        <v>Peres-Fortes2016</v>
      </c>
      <c r="F136" s="16"/>
      <c r="G136" s="16"/>
      <c r="H136" s="16"/>
      <c r="I136" s="16"/>
    </row>
    <row r="137" spans="1:9" s="45" customFormat="1" x14ac:dyDescent="0.3">
      <c r="A137" s="203"/>
      <c r="B137" s="117" t="s">
        <v>1322</v>
      </c>
      <c r="C137" s="53">
        <f>C136*0.04</f>
        <v>27.03749349071342</v>
      </c>
      <c r="D137" s="116" t="s">
        <v>739</v>
      </c>
      <c r="E137" s="53" t="str">
        <f>Sources!A57</f>
        <v>Peres-Fortes2016</v>
      </c>
      <c r="F137" s="116"/>
      <c r="G137" s="116"/>
      <c r="H137" s="116"/>
      <c r="I137" s="116"/>
    </row>
    <row r="138" spans="1:9" x14ac:dyDescent="0.3">
      <c r="D138" s="16"/>
      <c r="F138" s="16"/>
      <c r="G138" s="16"/>
      <c r="H138" s="16"/>
      <c r="I138" s="16"/>
    </row>
    <row r="139" spans="1:9" x14ac:dyDescent="0.3">
      <c r="A139" s="13" t="s">
        <v>715</v>
      </c>
      <c r="C139" s="78">
        <v>7.0000000000000007E-2</v>
      </c>
      <c r="D139" s="16" t="s">
        <v>318</v>
      </c>
      <c r="F139" s="16"/>
      <c r="G139" s="16"/>
      <c r="H139" s="16"/>
      <c r="I139" s="16"/>
    </row>
    <row r="140" spans="1:9" x14ac:dyDescent="0.3">
      <c r="D140" s="16"/>
      <c r="F140" s="16"/>
      <c r="G140" s="16"/>
      <c r="H140" s="16"/>
      <c r="I140" s="16"/>
    </row>
    <row r="141" spans="1:9" x14ac:dyDescent="0.3">
      <c r="A141" s="13" t="s">
        <v>704</v>
      </c>
      <c r="C141" s="5">
        <v>10</v>
      </c>
      <c r="D141" s="16" t="s">
        <v>132</v>
      </c>
      <c r="E141" s="5" t="str">
        <f>Sources!A55</f>
        <v>Hank2018</v>
      </c>
      <c r="F141" s="16"/>
      <c r="G141" s="16"/>
      <c r="H141" s="16"/>
      <c r="I141" s="16"/>
    </row>
    <row r="142" spans="1:9" x14ac:dyDescent="0.3">
      <c r="D142" s="16"/>
      <c r="F142" s="16"/>
      <c r="G142" s="16"/>
      <c r="H142" s="16"/>
      <c r="I142" s="16"/>
    </row>
    <row r="143" spans="1:9" x14ac:dyDescent="0.3">
      <c r="A143" s="203" t="s">
        <v>110</v>
      </c>
      <c r="B143" t="s">
        <v>746</v>
      </c>
      <c r="C143" s="5">
        <v>20</v>
      </c>
      <c r="D143" s="16" t="s">
        <v>132</v>
      </c>
      <c r="E143" s="5" t="str">
        <f>Sources!A57</f>
        <v>Peres-Fortes2016</v>
      </c>
      <c r="F143" s="16"/>
      <c r="G143" s="16"/>
      <c r="H143" s="16"/>
      <c r="I143" s="16"/>
    </row>
    <row r="144" spans="1:9" x14ac:dyDescent="0.3">
      <c r="A144" s="203"/>
      <c r="B144" t="s">
        <v>865</v>
      </c>
      <c r="C144" s="5">
        <v>20</v>
      </c>
      <c r="D144" s="16" t="s">
        <v>132</v>
      </c>
      <c r="E144" s="5" t="str">
        <f>Sources!A63</f>
        <v>DEA2020</v>
      </c>
      <c r="F144" s="16"/>
      <c r="G144" s="16"/>
      <c r="H144" s="16"/>
      <c r="I144" s="16"/>
    </row>
    <row r="145" spans="1:9" s="45" customFormat="1" x14ac:dyDescent="0.3">
      <c r="A145" s="203"/>
      <c r="B145" s="45" t="s">
        <v>1069</v>
      </c>
      <c r="C145" s="53">
        <v>25</v>
      </c>
      <c r="D145" s="116" t="s">
        <v>132</v>
      </c>
      <c r="E145" s="53" t="str">
        <f>Sources!A81</f>
        <v>Nguyen2019</v>
      </c>
      <c r="F145" s="116"/>
      <c r="G145" s="116"/>
      <c r="H145" s="116"/>
      <c r="I145" s="116"/>
    </row>
    <row r="146" spans="1:9" x14ac:dyDescent="0.3">
      <c r="A146" s="203"/>
      <c r="B146" t="s">
        <v>747</v>
      </c>
      <c r="C146" s="5">
        <v>10</v>
      </c>
      <c r="D146" s="16" t="s">
        <v>132</v>
      </c>
      <c r="E146" s="5" t="str">
        <f>Sources!A55</f>
        <v>Hank2018</v>
      </c>
      <c r="F146" s="16"/>
      <c r="G146" s="16"/>
      <c r="H146" s="16"/>
      <c r="I146" s="16"/>
    </row>
    <row r="147" spans="1:9" x14ac:dyDescent="0.3">
      <c r="A147" s="203"/>
      <c r="B147" t="s">
        <v>748</v>
      </c>
      <c r="C147" s="5">
        <v>15</v>
      </c>
      <c r="D147" s="16" t="s">
        <v>132</v>
      </c>
      <c r="E147" s="5" t="str">
        <f>Sources!A55</f>
        <v>Hank2018</v>
      </c>
      <c r="F147" s="16"/>
      <c r="G147" s="16"/>
      <c r="H147" s="16"/>
      <c r="I147" s="16"/>
    </row>
    <row r="148" spans="1:9" x14ac:dyDescent="0.3">
      <c r="A148" s="203"/>
      <c r="B148" t="s">
        <v>749</v>
      </c>
      <c r="C148" s="5">
        <v>20</v>
      </c>
      <c r="D148" s="16" t="s">
        <v>132</v>
      </c>
      <c r="E148" s="5" t="str">
        <f>Sources!A55</f>
        <v>Hank2018</v>
      </c>
      <c r="F148" s="16"/>
      <c r="G148" s="16"/>
      <c r="H148" s="16"/>
      <c r="I148" s="16"/>
    </row>
    <row r="149" spans="1:9" x14ac:dyDescent="0.3">
      <c r="D149" s="16"/>
      <c r="F149" s="16"/>
      <c r="G149" s="16"/>
      <c r="H149" s="16"/>
      <c r="I149" s="16"/>
    </row>
    <row r="150" spans="1:9" x14ac:dyDescent="0.3">
      <c r="A150" s="13" t="s">
        <v>707</v>
      </c>
      <c r="C150" s="112">
        <v>2.5000000000000001E-2</v>
      </c>
      <c r="D150" s="16" t="s">
        <v>708</v>
      </c>
      <c r="E150" s="5" t="str">
        <f>Sources!A55</f>
        <v>Hank2018</v>
      </c>
      <c r="F150" s="16"/>
      <c r="G150" s="16"/>
      <c r="H150" s="16"/>
      <c r="I150" s="16"/>
    </row>
    <row r="151" spans="1:9" x14ac:dyDescent="0.3">
      <c r="A151" s="13"/>
      <c r="C151" s="112"/>
      <c r="D151" s="16"/>
      <c r="F151" s="16"/>
      <c r="G151" s="16"/>
      <c r="H151" s="16"/>
      <c r="I151" s="16"/>
    </row>
    <row r="152" spans="1:9" x14ac:dyDescent="0.3">
      <c r="A152" s="203" t="s">
        <v>605</v>
      </c>
      <c r="B152" t="s">
        <v>742</v>
      </c>
      <c r="C152" s="5">
        <v>0.09</v>
      </c>
      <c r="D152" s="16" t="s">
        <v>741</v>
      </c>
      <c r="E152" s="5" t="str">
        <f>Sources!A57</f>
        <v>Peres-Fortes2016</v>
      </c>
      <c r="F152" s="16"/>
      <c r="G152" s="16"/>
      <c r="H152" s="16"/>
      <c r="I152" s="16"/>
    </row>
    <row r="153" spans="1:9" x14ac:dyDescent="0.3">
      <c r="A153" s="203"/>
      <c r="B153" t="s">
        <v>743</v>
      </c>
      <c r="C153" s="5">
        <v>0.13600000000000001</v>
      </c>
      <c r="D153" s="16" t="s">
        <v>741</v>
      </c>
      <c r="E153" s="5" t="str">
        <f>Sources!A57</f>
        <v>Peres-Fortes2016</v>
      </c>
      <c r="F153" s="16"/>
      <c r="G153" s="16"/>
      <c r="H153" s="16"/>
      <c r="I153" s="16"/>
    </row>
    <row r="154" spans="1:9" x14ac:dyDescent="0.3">
      <c r="A154" s="203"/>
      <c r="B154" t="s">
        <v>744</v>
      </c>
      <c r="C154" s="5">
        <v>0.69499999999999995</v>
      </c>
      <c r="D154" s="16" t="s">
        <v>741</v>
      </c>
      <c r="E154" s="5" t="str">
        <f>Sources!A57</f>
        <v>Peres-Fortes2016</v>
      </c>
      <c r="F154" s="16"/>
      <c r="G154" s="16"/>
      <c r="H154" s="16"/>
      <c r="I154" s="16"/>
    </row>
    <row r="155" spans="1:9" x14ac:dyDescent="0.3">
      <c r="A155" s="203"/>
      <c r="B155" t="s">
        <v>745</v>
      </c>
      <c r="C155" s="5">
        <v>7.2999999999999995E-2</v>
      </c>
      <c r="D155" s="16" t="s">
        <v>741</v>
      </c>
      <c r="E155" s="5" t="str">
        <f>Sources!A57</f>
        <v>Peres-Fortes2016</v>
      </c>
      <c r="F155" s="16"/>
      <c r="G155" s="16"/>
      <c r="H155" s="16"/>
      <c r="I155" s="16"/>
    </row>
    <row r="156" spans="1:9" x14ac:dyDescent="0.3">
      <c r="A156" s="203"/>
      <c r="B156" t="s">
        <v>1686</v>
      </c>
      <c r="C156" s="5">
        <f>(51960000/(2700*1000/24))/25</f>
        <v>18.474666666666668</v>
      </c>
      <c r="D156" s="16" t="s">
        <v>1682</v>
      </c>
      <c r="E156" s="5" t="str">
        <f>Sources!A113</f>
        <v>Ecoinvent2020</v>
      </c>
      <c r="F156" s="16"/>
      <c r="G156" s="16"/>
      <c r="H156" s="16"/>
      <c r="I156" s="16"/>
    </row>
    <row r="157" spans="1:9" x14ac:dyDescent="0.3">
      <c r="A157" s="203"/>
      <c r="B157" s="16" t="s">
        <v>1687</v>
      </c>
      <c r="C157" s="36">
        <v>12.624355555555564</v>
      </c>
      <c r="D157" s="16" t="s">
        <v>1682</v>
      </c>
      <c r="E157" s="5" t="s">
        <v>529</v>
      </c>
      <c r="F157" s="16"/>
      <c r="G157" s="16"/>
      <c r="H157" s="16"/>
      <c r="I157" s="16"/>
    </row>
    <row r="158" spans="1:9" x14ac:dyDescent="0.3">
      <c r="A158" s="203"/>
      <c r="B158" s="16">
        <v>2040</v>
      </c>
      <c r="C158" s="36">
        <v>6.7740444444444572</v>
      </c>
      <c r="D158" s="16" t="s">
        <v>1682</v>
      </c>
      <c r="E158" s="5" t="s">
        <v>529</v>
      </c>
      <c r="F158" s="16"/>
      <c r="G158" s="16"/>
      <c r="H158" s="16"/>
      <c r="I158" s="16"/>
    </row>
    <row r="159" spans="1:9" x14ac:dyDescent="0.3">
      <c r="A159" s="203"/>
      <c r="B159" s="16">
        <v>2050</v>
      </c>
      <c r="C159" s="5">
        <f>C156*0.05</f>
        <v>0.92373333333333341</v>
      </c>
      <c r="D159" s="16" t="s">
        <v>1682</v>
      </c>
      <c r="E159" s="5" t="s">
        <v>529</v>
      </c>
      <c r="F159" s="16"/>
      <c r="G159" s="16"/>
      <c r="H159" s="16"/>
      <c r="I159" s="16"/>
    </row>
    <row r="160" spans="1:9" x14ac:dyDescent="0.3">
      <c r="A160" s="8"/>
      <c r="B160" s="16"/>
      <c r="D160" s="16"/>
      <c r="F160" s="16"/>
      <c r="G160" s="16"/>
      <c r="H160" s="16"/>
      <c r="I160" s="16"/>
    </row>
    <row r="161" spans="1:9" x14ac:dyDescent="0.3">
      <c r="A161" s="8" t="s">
        <v>2050</v>
      </c>
      <c r="B161" s="16" t="s">
        <v>2240</v>
      </c>
      <c r="C161" s="5">
        <f>(0.8*10000/(4000/8000))/1000</f>
        <v>16</v>
      </c>
      <c r="D161" s="16" t="s">
        <v>2069</v>
      </c>
      <c r="E161" s="5" t="str">
        <f>Sources!A133</f>
        <v>DEA2022</v>
      </c>
      <c r="F161" s="16"/>
      <c r="G161" s="16"/>
      <c r="H161" s="16"/>
      <c r="I161" s="16"/>
    </row>
    <row r="162" spans="1:9" x14ac:dyDescent="0.3">
      <c r="A162" s="8"/>
      <c r="B162" s="16" t="s">
        <v>2288</v>
      </c>
      <c r="C162" s="5">
        <v>1</v>
      </c>
      <c r="D162" s="16" t="s">
        <v>2069</v>
      </c>
      <c r="E162" s="5" t="str">
        <f>Sources!A133</f>
        <v>DEA2022</v>
      </c>
      <c r="F162" s="16"/>
      <c r="G162" s="16"/>
      <c r="H162" s="16"/>
      <c r="I162" s="16"/>
    </row>
    <row r="163" spans="1:9" x14ac:dyDescent="0.3">
      <c r="B163" s="16"/>
      <c r="D163" s="16"/>
      <c r="F163" s="16"/>
      <c r="G163" s="16"/>
      <c r="H163" s="16"/>
      <c r="I163" s="16"/>
    </row>
    <row r="164" spans="1:9" s="26" customFormat="1" x14ac:dyDescent="0.3">
      <c r="A164" s="75" t="s">
        <v>395</v>
      </c>
      <c r="B164" s="27"/>
      <c r="C164" s="50"/>
      <c r="D164" s="111"/>
      <c r="E164" s="94"/>
      <c r="F164" s="75"/>
      <c r="G164" s="75"/>
      <c r="H164" s="75"/>
      <c r="I164" s="75"/>
    </row>
    <row r="165" spans="1:9" x14ac:dyDescent="0.3">
      <c r="D165" s="16"/>
      <c r="F165" s="16"/>
      <c r="G165" s="16"/>
      <c r="H165" s="16"/>
      <c r="I165" s="16"/>
    </row>
    <row r="166" spans="1:9" x14ac:dyDescent="0.3">
      <c r="A166" s="17" t="s">
        <v>85</v>
      </c>
      <c r="B166" s="17" t="s">
        <v>82</v>
      </c>
      <c r="C166" s="49" t="s">
        <v>49</v>
      </c>
      <c r="D166" s="35" t="s">
        <v>52</v>
      </c>
      <c r="E166" s="95" t="s">
        <v>58</v>
      </c>
      <c r="F166" s="35" t="s">
        <v>93</v>
      </c>
      <c r="G166" s="35" t="s">
        <v>80</v>
      </c>
      <c r="H166" s="35"/>
      <c r="I166" s="35" t="s">
        <v>59</v>
      </c>
    </row>
    <row r="167" spans="1:9" x14ac:dyDescent="0.3">
      <c r="D167" s="16"/>
      <c r="F167" s="16"/>
      <c r="G167" s="16"/>
      <c r="H167" s="16"/>
      <c r="I167" s="16"/>
    </row>
    <row r="168" spans="1:9" x14ac:dyDescent="0.3">
      <c r="A168" s="13" t="s">
        <v>396</v>
      </c>
      <c r="B168" t="s">
        <v>397</v>
      </c>
      <c r="D168" s="16"/>
      <c r="E168" s="5" t="str">
        <f>Sources!A45</f>
        <v>Belotti2017</v>
      </c>
      <c r="F168" s="16"/>
      <c r="G168" s="16"/>
      <c r="H168" s="16"/>
      <c r="I168" s="16"/>
    </row>
    <row r="169" spans="1:9" x14ac:dyDescent="0.3">
      <c r="A169" s="13" t="s">
        <v>399</v>
      </c>
      <c r="B169" t="s">
        <v>397</v>
      </c>
      <c r="D169" s="16"/>
      <c r="F169" s="16"/>
      <c r="G169" s="16"/>
      <c r="H169" s="16"/>
      <c r="I169" s="16"/>
    </row>
    <row r="170" spans="1:9" x14ac:dyDescent="0.3">
      <c r="A170" s="13"/>
      <c r="D170" s="16"/>
      <c r="F170" s="16"/>
      <c r="G170" s="16"/>
      <c r="H170" s="16"/>
      <c r="I170" s="16"/>
    </row>
    <row r="171" spans="1:9" x14ac:dyDescent="0.3">
      <c r="A171" s="203" t="s">
        <v>400</v>
      </c>
      <c r="D171" s="16"/>
      <c r="F171" s="16"/>
      <c r="G171" s="16"/>
      <c r="H171" s="16"/>
      <c r="I171" s="16"/>
    </row>
    <row r="172" spans="1:9" x14ac:dyDescent="0.3">
      <c r="A172" s="203"/>
      <c r="C172" s="5">
        <v>90</v>
      </c>
      <c r="D172" s="16" t="s">
        <v>202</v>
      </c>
      <c r="E172" s="5" t="str">
        <f>Sources!A45</f>
        <v>Belotti2017</v>
      </c>
      <c r="F172" s="16"/>
      <c r="G172" s="16"/>
      <c r="H172" s="16"/>
      <c r="I172" s="16"/>
    </row>
    <row r="173" spans="1:9" x14ac:dyDescent="0.3">
      <c r="A173" s="203"/>
      <c r="B173" t="s">
        <v>972</v>
      </c>
      <c r="C173" s="5">
        <v>90</v>
      </c>
      <c r="D173" s="16" t="s">
        <v>202</v>
      </c>
      <c r="E173" s="5" t="str">
        <f>Sources!A45</f>
        <v>Belotti2017</v>
      </c>
      <c r="F173" s="16"/>
      <c r="G173" s="16"/>
      <c r="H173" s="16"/>
      <c r="I173" s="16"/>
    </row>
    <row r="174" spans="1:9" x14ac:dyDescent="0.3">
      <c r="A174" s="13"/>
      <c r="D174" s="16"/>
      <c r="F174" s="16"/>
      <c r="G174" s="16"/>
      <c r="H174" s="16"/>
      <c r="I174" s="16"/>
    </row>
    <row r="175" spans="1:9" x14ac:dyDescent="0.3">
      <c r="A175" s="203" t="s">
        <v>398</v>
      </c>
      <c r="B175" t="s">
        <v>618</v>
      </c>
      <c r="C175" s="5">
        <v>0.83299999999999996</v>
      </c>
      <c r="D175" s="16" t="s">
        <v>615</v>
      </c>
      <c r="E175" s="5" t="str">
        <f>Sources!A45</f>
        <v>Belotti2017</v>
      </c>
      <c r="F175" s="16"/>
      <c r="G175" s="16"/>
      <c r="H175" s="16"/>
      <c r="I175" s="16"/>
    </row>
    <row r="176" spans="1:9" x14ac:dyDescent="0.3">
      <c r="A176" s="203"/>
      <c r="B176" t="s">
        <v>616</v>
      </c>
      <c r="C176" s="5">
        <v>0.25</v>
      </c>
      <c r="D176" s="16" t="s">
        <v>615</v>
      </c>
      <c r="E176" s="5" t="str">
        <f>Sources!A50</f>
        <v>IEA2019</v>
      </c>
      <c r="F176" s="16"/>
      <c r="G176" s="16"/>
      <c r="H176" s="16"/>
      <c r="I176" s="16" t="s">
        <v>614</v>
      </c>
    </row>
    <row r="177" spans="1:9" x14ac:dyDescent="0.3">
      <c r="A177" s="203"/>
      <c r="B177" t="s">
        <v>617</v>
      </c>
      <c r="C177" s="5">
        <v>0.4</v>
      </c>
      <c r="D177" s="16" t="s">
        <v>615</v>
      </c>
      <c r="E177" s="5" t="str">
        <f>Sources!A50</f>
        <v>IEA2019</v>
      </c>
      <c r="F177" s="16"/>
      <c r="G177" s="16"/>
      <c r="H177" s="16"/>
      <c r="I177" s="16" t="s">
        <v>614</v>
      </c>
    </row>
    <row r="178" spans="1:9" x14ac:dyDescent="0.3">
      <c r="A178" s="203"/>
      <c r="B178" t="s">
        <v>1275</v>
      </c>
      <c r="C178" s="5">
        <f>3.35/3.6</f>
        <v>0.93055555555555558</v>
      </c>
      <c r="D178" s="16" t="s">
        <v>615</v>
      </c>
      <c r="E178" s="5" t="str">
        <f>Sources!A107</f>
        <v>Lester2020</v>
      </c>
      <c r="F178" s="16"/>
      <c r="G178" s="16"/>
      <c r="H178" s="16"/>
      <c r="I178" s="16"/>
    </row>
    <row r="179" spans="1:9" x14ac:dyDescent="0.3">
      <c r="A179" s="203"/>
      <c r="B179" t="s">
        <v>1265</v>
      </c>
      <c r="C179" s="5">
        <f>3.97/3.6</f>
        <v>1.1027777777777779</v>
      </c>
      <c r="D179" s="16" t="s">
        <v>615</v>
      </c>
      <c r="E179" s="5" t="str">
        <f>Sources!A107</f>
        <v>Lester2020</v>
      </c>
      <c r="F179" s="16"/>
      <c r="G179" s="16"/>
      <c r="H179" s="16"/>
      <c r="I179" s="16"/>
    </row>
    <row r="180" spans="1:9" x14ac:dyDescent="0.3">
      <c r="A180" s="8"/>
      <c r="D180" s="16"/>
      <c r="F180" s="16"/>
      <c r="G180" s="16"/>
      <c r="H180" s="16"/>
      <c r="I180" s="16"/>
    </row>
    <row r="181" spans="1:9" s="60" customFormat="1" x14ac:dyDescent="0.3">
      <c r="A181" s="203" t="s">
        <v>619</v>
      </c>
      <c r="B181" s="60" t="s">
        <v>620</v>
      </c>
      <c r="C181" s="61">
        <v>0.05</v>
      </c>
      <c r="D181" s="118" t="s">
        <v>1074</v>
      </c>
      <c r="E181" s="61" t="str">
        <f>Sources!A45</f>
        <v>Belotti2017</v>
      </c>
      <c r="F181" s="118"/>
      <c r="G181" s="118"/>
      <c r="H181" s="118"/>
      <c r="I181" s="118"/>
    </row>
    <row r="182" spans="1:9" s="60" customFormat="1" x14ac:dyDescent="0.3">
      <c r="A182" s="203"/>
      <c r="B182" s="60" t="s">
        <v>1075</v>
      </c>
      <c r="C182" s="61">
        <v>0.28999999999999998</v>
      </c>
      <c r="D182" s="118" t="s">
        <v>1074</v>
      </c>
      <c r="E182" s="61" t="str">
        <f>Sources!A82</f>
        <v>Connolly2014</v>
      </c>
      <c r="F182" s="118"/>
      <c r="G182" s="118"/>
      <c r="H182" s="118"/>
      <c r="I182" s="118"/>
    </row>
    <row r="183" spans="1:9" s="60" customFormat="1" x14ac:dyDescent="0.3">
      <c r="A183" s="203"/>
      <c r="B183" s="60" t="s">
        <v>2191</v>
      </c>
      <c r="C183" s="61">
        <f>0.025+0.09</f>
        <v>0.11499999999999999</v>
      </c>
      <c r="D183" s="118" t="s">
        <v>1074</v>
      </c>
      <c r="E183" s="61" t="str">
        <f>Sources!A134</f>
        <v>DanishEnergyAgency2021</v>
      </c>
      <c r="F183" s="118"/>
      <c r="G183" s="118"/>
      <c r="H183" s="118"/>
      <c r="I183" s="118"/>
    </row>
    <row r="184" spans="1:9" s="60" customFormat="1" x14ac:dyDescent="0.3">
      <c r="A184" s="203"/>
      <c r="B184" s="60" t="s">
        <v>2190</v>
      </c>
      <c r="C184" s="61">
        <f>0.03+0.1</f>
        <v>0.13</v>
      </c>
      <c r="D184" s="118" t="s">
        <v>1074</v>
      </c>
      <c r="E184" s="61" t="str">
        <f>Sources!A134</f>
        <v>DanishEnergyAgency2021</v>
      </c>
      <c r="F184" s="118"/>
      <c r="G184" s="118"/>
      <c r="H184" s="118"/>
      <c r="I184" s="118"/>
    </row>
    <row r="185" spans="1:9" s="60" customFormat="1" x14ac:dyDescent="0.3">
      <c r="A185" s="203"/>
      <c r="B185" s="60" t="s">
        <v>2192</v>
      </c>
      <c r="C185" s="61">
        <f>0.035+0.11</f>
        <v>0.14500000000000002</v>
      </c>
      <c r="D185" s="118" t="s">
        <v>1074</v>
      </c>
      <c r="E185" s="61" t="str">
        <f>Sources!A134</f>
        <v>DanishEnergyAgency2021</v>
      </c>
      <c r="F185" s="118"/>
      <c r="G185" s="118"/>
      <c r="H185" s="118"/>
      <c r="I185" s="118"/>
    </row>
    <row r="186" spans="1:9" s="60" customFormat="1" x14ac:dyDescent="0.3">
      <c r="A186" s="203"/>
      <c r="B186" s="60" t="s">
        <v>1976</v>
      </c>
      <c r="C186" s="61">
        <f>0.025+0.085</f>
        <v>0.11000000000000001</v>
      </c>
      <c r="D186" s="118" t="s">
        <v>1074</v>
      </c>
      <c r="E186" s="61" t="str">
        <f>Sources!A134</f>
        <v>DanishEnergyAgency2021</v>
      </c>
      <c r="F186" s="118"/>
      <c r="G186" s="118"/>
      <c r="H186" s="118"/>
      <c r="I186" s="118"/>
    </row>
    <row r="187" spans="1:9" s="60" customFormat="1" x14ac:dyDescent="0.3">
      <c r="A187" s="203"/>
      <c r="B187" s="60" t="s">
        <v>1977</v>
      </c>
      <c r="C187" s="61">
        <f>0.023+0.075</f>
        <v>9.8000000000000004E-2</v>
      </c>
      <c r="D187" s="118" t="s">
        <v>1074</v>
      </c>
      <c r="E187" s="61" t="str">
        <f>Sources!A134</f>
        <v>DanishEnergyAgency2021</v>
      </c>
      <c r="F187" s="118"/>
      <c r="G187" s="118"/>
      <c r="H187" s="118"/>
      <c r="I187" s="118"/>
    </row>
    <row r="188" spans="1:9" s="60" customFormat="1" x14ac:dyDescent="0.3">
      <c r="A188" s="203"/>
      <c r="B188" s="60" t="s">
        <v>2194</v>
      </c>
      <c r="C188" s="61">
        <v>8.6999999999999994E-2</v>
      </c>
      <c r="D188" s="118" t="s">
        <v>1074</v>
      </c>
      <c r="E188" s="61" t="str">
        <f>Sources!A134</f>
        <v>DanishEnergyAgency2021</v>
      </c>
      <c r="F188" s="118"/>
      <c r="G188" s="118"/>
      <c r="H188" s="118"/>
      <c r="I188" s="118"/>
    </row>
    <row r="189" spans="1:9" s="60" customFormat="1" x14ac:dyDescent="0.3">
      <c r="A189" s="203"/>
      <c r="B189" s="60" t="s">
        <v>1978</v>
      </c>
      <c r="C189" s="61">
        <f>0.02+0.075</f>
        <v>9.5000000000000001E-2</v>
      </c>
      <c r="D189" s="118" t="s">
        <v>1074</v>
      </c>
      <c r="E189" s="61" t="str">
        <f>Sources!A134</f>
        <v>DanishEnergyAgency2021</v>
      </c>
      <c r="F189" s="118"/>
      <c r="G189" s="118"/>
      <c r="H189" s="118"/>
      <c r="I189" s="118"/>
    </row>
    <row r="190" spans="1:9" s="60" customFormat="1" x14ac:dyDescent="0.3">
      <c r="A190" s="203"/>
      <c r="B190" s="60" t="s">
        <v>2193</v>
      </c>
      <c r="C190" s="61">
        <v>0.115</v>
      </c>
      <c r="D190" s="118" t="s">
        <v>1074</v>
      </c>
      <c r="E190" s="61" t="str">
        <f>Sources!A134</f>
        <v>DanishEnergyAgency2021</v>
      </c>
      <c r="F190" s="118"/>
      <c r="G190" s="118"/>
      <c r="H190" s="118"/>
      <c r="I190" s="118"/>
    </row>
    <row r="191" spans="1:9" s="60" customFormat="1" x14ac:dyDescent="0.3">
      <c r="A191" s="203"/>
      <c r="B191" s="60" t="s">
        <v>2201</v>
      </c>
      <c r="C191" s="61">
        <v>0.2</v>
      </c>
      <c r="D191" s="118" t="s">
        <v>1074</v>
      </c>
      <c r="E191" s="61" t="str">
        <f>Sources!A134</f>
        <v>DanishEnergyAgency2021</v>
      </c>
      <c r="F191" s="118"/>
      <c r="G191" s="118"/>
      <c r="H191" s="118"/>
      <c r="I191" s="118"/>
    </row>
    <row r="192" spans="1:9" s="60" customFormat="1" x14ac:dyDescent="0.3">
      <c r="A192" s="203"/>
      <c r="B192" s="60" t="s">
        <v>2198</v>
      </c>
      <c r="C192" s="61">
        <v>0.5</v>
      </c>
      <c r="D192" s="118" t="s">
        <v>1074</v>
      </c>
      <c r="E192" s="61" t="str">
        <f>Sources!A134</f>
        <v>DanishEnergyAgency2021</v>
      </c>
      <c r="F192" s="118"/>
      <c r="G192" s="118"/>
      <c r="H192" s="118"/>
      <c r="I192" s="118"/>
    </row>
    <row r="193" spans="1:9" s="60" customFormat="1" x14ac:dyDescent="0.3">
      <c r="A193" s="203"/>
      <c r="B193" s="60" t="s">
        <v>2202</v>
      </c>
      <c r="C193" s="61">
        <v>0.5</v>
      </c>
      <c r="D193" s="118" t="s">
        <v>1074</v>
      </c>
      <c r="E193" s="61" t="str">
        <f>Sources!A134</f>
        <v>DanishEnergyAgency2021</v>
      </c>
      <c r="F193" s="118"/>
      <c r="G193" s="118"/>
      <c r="H193" s="118"/>
      <c r="I193" s="118"/>
    </row>
    <row r="194" spans="1:9" s="60" customFormat="1" x14ac:dyDescent="0.3">
      <c r="A194" s="203"/>
      <c r="B194" s="60" t="s">
        <v>1983</v>
      </c>
      <c r="C194" s="61">
        <v>0.47</v>
      </c>
      <c r="D194" s="118" t="s">
        <v>1074</v>
      </c>
      <c r="E194" s="61" t="str">
        <f>Sources!A134</f>
        <v>DanishEnergyAgency2021</v>
      </c>
      <c r="F194" s="118"/>
      <c r="G194" s="118"/>
      <c r="H194" s="118"/>
      <c r="I194" s="118"/>
    </row>
    <row r="195" spans="1:9" s="60" customFormat="1" x14ac:dyDescent="0.3">
      <c r="A195" s="203"/>
      <c r="B195" s="60" t="s">
        <v>1984</v>
      </c>
      <c r="C195" s="61">
        <v>0.45</v>
      </c>
      <c r="D195" s="118" t="s">
        <v>1074</v>
      </c>
      <c r="E195" s="61" t="str">
        <f>Sources!A134</f>
        <v>DanishEnergyAgency2021</v>
      </c>
      <c r="F195" s="118"/>
      <c r="G195" s="118"/>
      <c r="H195" s="118"/>
      <c r="I195" s="118"/>
    </row>
    <row r="196" spans="1:9" s="60" customFormat="1" x14ac:dyDescent="0.3">
      <c r="A196" s="203"/>
      <c r="B196" s="60" t="s">
        <v>1985</v>
      </c>
      <c r="C196" s="61">
        <v>0.43</v>
      </c>
      <c r="D196" s="118" t="s">
        <v>1074</v>
      </c>
      <c r="E196" s="61" t="str">
        <f>Sources!A134</f>
        <v>DanishEnergyAgency2021</v>
      </c>
      <c r="F196" s="118"/>
      <c r="G196" s="118"/>
      <c r="H196" s="118"/>
      <c r="I196" s="118"/>
    </row>
    <row r="197" spans="1:9" s="60" customFormat="1" x14ac:dyDescent="0.3">
      <c r="A197" s="203"/>
      <c r="B197" s="60" t="s">
        <v>2199</v>
      </c>
      <c r="C197" s="61">
        <v>0.25</v>
      </c>
      <c r="D197" s="118" t="s">
        <v>1074</v>
      </c>
      <c r="E197" s="61" t="str">
        <f>Sources!A134</f>
        <v>DanishEnergyAgency2021</v>
      </c>
      <c r="F197" s="118"/>
      <c r="G197" s="118"/>
      <c r="H197" s="118"/>
      <c r="I197" s="118"/>
    </row>
    <row r="198" spans="1:9" s="60" customFormat="1" x14ac:dyDescent="0.3">
      <c r="A198" s="203"/>
      <c r="B198" s="60" t="s">
        <v>2200</v>
      </c>
      <c r="C198" s="61">
        <v>0.35</v>
      </c>
      <c r="D198" s="118" t="s">
        <v>1074</v>
      </c>
      <c r="E198" s="61" t="str">
        <f>Sources!A134</f>
        <v>DanishEnergyAgency2021</v>
      </c>
      <c r="F198" s="118"/>
      <c r="G198" s="118"/>
      <c r="H198" s="118"/>
      <c r="I198" s="118"/>
    </row>
    <row r="199" spans="1:9" x14ac:dyDescent="0.3">
      <c r="A199" s="203"/>
      <c r="B199" t="s">
        <v>621</v>
      </c>
      <c r="C199" s="5">
        <v>1.5</v>
      </c>
      <c r="D199" s="16" t="s">
        <v>1074</v>
      </c>
      <c r="E199" s="5" t="str">
        <f>Sources!A50</f>
        <v>IEA2019</v>
      </c>
      <c r="F199" s="16"/>
      <c r="G199" s="16"/>
      <c r="H199" s="16"/>
      <c r="I199" s="16"/>
    </row>
    <row r="200" spans="1:9" x14ac:dyDescent="0.3">
      <c r="A200" s="203"/>
      <c r="B200" t="s">
        <v>622</v>
      </c>
      <c r="C200" s="5">
        <v>1.75</v>
      </c>
      <c r="D200" s="16" t="s">
        <v>1074</v>
      </c>
      <c r="E200" s="5" t="str">
        <f>Sources!A50</f>
        <v>IEA2019</v>
      </c>
      <c r="F200" s="16"/>
      <c r="G200" s="16"/>
      <c r="H200" s="16"/>
      <c r="I200" s="16"/>
    </row>
    <row r="201" spans="1:9" x14ac:dyDescent="0.3">
      <c r="A201" s="203"/>
      <c r="B201" t="s">
        <v>1276</v>
      </c>
      <c r="C201" s="5">
        <f>0.09/3.6</f>
        <v>2.4999999999999998E-2</v>
      </c>
      <c r="D201" s="16" t="s">
        <v>1074</v>
      </c>
      <c r="E201" s="5" t="str">
        <f>Sources!A107</f>
        <v>Lester2020</v>
      </c>
      <c r="F201" s="16"/>
      <c r="G201" s="16"/>
      <c r="H201" s="16"/>
      <c r="I201" s="16"/>
    </row>
    <row r="202" spans="1:9" x14ac:dyDescent="0.3">
      <c r="A202" s="203"/>
      <c r="B202" t="s">
        <v>1269</v>
      </c>
      <c r="C202" s="5">
        <f>1.06/3.6</f>
        <v>0.29444444444444445</v>
      </c>
      <c r="D202" s="16" t="s">
        <v>1074</v>
      </c>
      <c r="E202" s="5" t="str">
        <f>Sources!A107</f>
        <v>Lester2020</v>
      </c>
      <c r="F202" s="16"/>
      <c r="G202" s="16"/>
      <c r="H202" s="16"/>
      <c r="I202" s="16"/>
    </row>
    <row r="203" spans="1:9" x14ac:dyDescent="0.3">
      <c r="A203" s="203"/>
      <c r="B203" t="s">
        <v>1264</v>
      </c>
      <c r="C203" s="5">
        <f>0.66/3.6</f>
        <v>0.18333333333333335</v>
      </c>
      <c r="D203" s="16" t="s">
        <v>1074</v>
      </c>
      <c r="E203" s="5" t="str">
        <f>Sources!A107</f>
        <v>Lester2020</v>
      </c>
      <c r="F203" s="16"/>
      <c r="G203" s="16"/>
      <c r="H203" s="16"/>
      <c r="I203" s="16"/>
    </row>
    <row r="204" spans="1:9" x14ac:dyDescent="0.3">
      <c r="D204" s="16"/>
      <c r="F204" s="16"/>
      <c r="G204" s="16"/>
      <c r="H204" s="16"/>
      <c r="I204" s="16"/>
    </row>
    <row r="205" spans="1:9" s="60" customFormat="1" x14ac:dyDescent="0.3">
      <c r="A205" s="203" t="s">
        <v>613</v>
      </c>
      <c r="B205" s="60" t="s">
        <v>1341</v>
      </c>
      <c r="C205" s="61">
        <f xml:space="preserve"> 20 *DE2019_*(CEPCI_ref/CEPCI2019)</f>
        <v>17.858737387266721</v>
      </c>
      <c r="D205" s="118" t="s">
        <v>730</v>
      </c>
      <c r="E205" s="61" t="str">
        <f>Sources!A50</f>
        <v>IEA2019</v>
      </c>
      <c r="F205" s="118"/>
      <c r="G205" s="118"/>
      <c r="H205" s="118"/>
      <c r="I205" s="118" t="s">
        <v>614</v>
      </c>
    </row>
    <row r="206" spans="1:9" x14ac:dyDescent="0.3">
      <c r="A206" s="203"/>
      <c r="B206" t="s">
        <v>1347</v>
      </c>
      <c r="C206" s="5">
        <f>10*(CEPCI_ref/CEPCI2018)</f>
        <v>10.072956391974797</v>
      </c>
      <c r="D206" s="16" t="s">
        <v>730</v>
      </c>
      <c r="E206" s="5" t="str">
        <f>Sources!A55</f>
        <v>Hank2018</v>
      </c>
      <c r="F206" s="16"/>
      <c r="G206" s="16"/>
      <c r="H206" s="16"/>
      <c r="I206" s="16"/>
    </row>
    <row r="207" spans="1:9" s="60" customFormat="1" x14ac:dyDescent="0.3">
      <c r="A207" s="203"/>
      <c r="B207" s="60" t="s">
        <v>1342</v>
      </c>
      <c r="C207" s="61">
        <f xml:space="preserve"> 30 *DE2019_*(CEPCI_ref/CEPCI2019)</f>
        <v>26.788106080900082</v>
      </c>
      <c r="D207" s="118" t="s">
        <v>730</v>
      </c>
      <c r="E207" s="61" t="str">
        <f>Sources!A50</f>
        <v>IEA2019</v>
      </c>
      <c r="F207" s="118"/>
      <c r="G207" s="118"/>
      <c r="H207" s="118"/>
      <c r="I207" s="118" t="s">
        <v>614</v>
      </c>
    </row>
    <row r="208" spans="1:9" x14ac:dyDescent="0.3">
      <c r="A208" s="203"/>
      <c r="B208" t="s">
        <v>1343</v>
      </c>
      <c r="C208" s="5">
        <f>3*(CEPCI_ref/CEPCI2018)</f>
        <v>3.0218869175924388</v>
      </c>
      <c r="D208" s="16" t="s">
        <v>730</v>
      </c>
      <c r="E208" s="5" t="str">
        <f>Sources!A55</f>
        <v>Hank2018</v>
      </c>
      <c r="F208" s="16"/>
      <c r="G208" s="16"/>
      <c r="H208" s="16"/>
      <c r="I208" s="16"/>
    </row>
    <row r="209" spans="1:9" x14ac:dyDescent="0.3">
      <c r="A209" s="203"/>
      <c r="B209" t="s">
        <v>1346</v>
      </c>
      <c r="C209" s="5">
        <f>15*(CEPCI_ref/CEPCI2018)</f>
        <v>15.109434587962195</v>
      </c>
      <c r="D209" s="16" t="s">
        <v>730</v>
      </c>
      <c r="E209" s="5" t="str">
        <f>Sources!A55</f>
        <v>Hank2018</v>
      </c>
      <c r="F209" s="16"/>
      <c r="G209" s="16"/>
      <c r="H209" s="16"/>
      <c r="I209" s="16"/>
    </row>
    <row r="210" spans="1:9" x14ac:dyDescent="0.3">
      <c r="A210" s="203"/>
      <c r="B210" t="s">
        <v>1344</v>
      </c>
      <c r="C210" s="5">
        <f>44*(CEPCI_ref/CEPCI2018)</f>
        <v>44.321008124689108</v>
      </c>
      <c r="D210" s="16" t="s">
        <v>730</v>
      </c>
      <c r="E210" s="5" t="str">
        <f>Sources!A55</f>
        <v>Hank2018</v>
      </c>
      <c r="F210" s="16"/>
      <c r="G210" s="16"/>
      <c r="H210" s="16"/>
      <c r="I210" s="16"/>
    </row>
    <row r="211" spans="1:9" s="60" customFormat="1" x14ac:dyDescent="0.3">
      <c r="A211" s="203"/>
      <c r="B211" s="60" t="s">
        <v>1344</v>
      </c>
      <c r="C211" s="61">
        <f>20*(CEPCI_ref/CEPCI2018)</f>
        <v>20.145912783949594</v>
      </c>
      <c r="D211" s="118" t="s">
        <v>730</v>
      </c>
      <c r="E211" s="61" t="str">
        <f>Sources!A55</f>
        <v>Hank2018</v>
      </c>
      <c r="F211" s="118"/>
      <c r="G211" s="118"/>
      <c r="H211" s="118"/>
      <c r="I211" s="118"/>
    </row>
    <row r="212" spans="1:9" x14ac:dyDescent="0.3">
      <c r="A212" s="203"/>
      <c r="B212" t="s">
        <v>1345</v>
      </c>
      <c r="C212" s="5">
        <f>40*(CEPCI_ref/CEPCI2018)</f>
        <v>40.291825567899188</v>
      </c>
      <c r="D212" s="16" t="s">
        <v>730</v>
      </c>
      <c r="E212" s="5" t="str">
        <f>Sources!A55</f>
        <v>Hank2018</v>
      </c>
      <c r="F212" s="16"/>
      <c r="G212" s="16"/>
      <c r="H212" s="16"/>
      <c r="I212" s="16"/>
    </row>
    <row r="213" spans="1:9" x14ac:dyDescent="0.3">
      <c r="A213" s="203"/>
      <c r="B213" t="s">
        <v>731</v>
      </c>
      <c r="C213" s="5">
        <v>250</v>
      </c>
      <c r="D213" s="16" t="s">
        <v>730</v>
      </c>
      <c r="E213" s="5" t="s">
        <v>717</v>
      </c>
      <c r="F213" s="16"/>
      <c r="G213" s="16"/>
      <c r="H213" s="16"/>
      <c r="I213" s="16"/>
    </row>
    <row r="214" spans="1:9" x14ac:dyDescent="0.3">
      <c r="A214" s="203"/>
      <c r="B214" t="s">
        <v>1348</v>
      </c>
      <c r="C214" s="5">
        <f>94*DE2018_*(CEPCI_ref/CEPCI2018)</f>
        <v>80.167462606521951</v>
      </c>
      <c r="D214" s="16" t="s">
        <v>730</v>
      </c>
      <c r="E214" s="5" t="str">
        <f>Sources!A50</f>
        <v>IEA2019</v>
      </c>
      <c r="F214" s="16"/>
      <c r="G214" s="16"/>
      <c r="H214" s="16"/>
      <c r="I214" s="16" t="s">
        <v>614</v>
      </c>
    </row>
    <row r="215" spans="1:9" x14ac:dyDescent="0.3">
      <c r="A215" s="203"/>
      <c r="B215" t="s">
        <v>1349</v>
      </c>
      <c r="C215" s="5">
        <f>232*DE2018_*(CEPCI_ref/CEPCI2018)</f>
        <v>197.86012047567121</v>
      </c>
      <c r="D215" s="16" t="s">
        <v>730</v>
      </c>
      <c r="E215" s="5" t="str">
        <f>Sources!A50</f>
        <v>IEA2019</v>
      </c>
      <c r="F215" s="16"/>
      <c r="G215" s="16"/>
      <c r="H215" s="16"/>
      <c r="I215" s="16" t="s">
        <v>614</v>
      </c>
    </row>
    <row r="216" spans="1:9" x14ac:dyDescent="0.3">
      <c r="A216" s="203"/>
      <c r="B216" t="s">
        <v>1350</v>
      </c>
      <c r="C216" s="5">
        <f>130*DE2018_*(CEPCI_ref/CEPCI2018)</f>
        <v>110.86989509412611</v>
      </c>
      <c r="D216" s="16" t="s">
        <v>730</v>
      </c>
      <c r="E216" s="5" t="str">
        <f>Sources!A50</f>
        <v>IEA2019</v>
      </c>
      <c r="F216" s="16"/>
      <c r="G216" s="16"/>
      <c r="H216" s="16"/>
      <c r="I216" s="16" t="s">
        <v>614</v>
      </c>
    </row>
    <row r="217" spans="1:9" x14ac:dyDescent="0.3">
      <c r="A217" s="203"/>
      <c r="B217" t="s">
        <v>1351</v>
      </c>
      <c r="C217" s="5">
        <f>170*DE2018_*(CEPCI_ref/CEPCI2018)</f>
        <v>144.98370896924183</v>
      </c>
      <c r="D217" s="16" t="s">
        <v>730</v>
      </c>
      <c r="E217" s="5" t="str">
        <f>Sources!A50</f>
        <v>IEA2019</v>
      </c>
      <c r="F217" s="16"/>
      <c r="G217" s="16"/>
      <c r="H217" s="16"/>
      <c r="I217" s="16" t="s">
        <v>614</v>
      </c>
    </row>
    <row r="218" spans="1:9" x14ac:dyDescent="0.3">
      <c r="A218" s="203"/>
      <c r="B218" t="s">
        <v>950</v>
      </c>
      <c r="C218" s="5">
        <v>30</v>
      </c>
      <c r="D218" s="16" t="s">
        <v>730</v>
      </c>
      <c r="E218" s="5" t="str">
        <f>Sources!A73</f>
        <v>Ridjan2015</v>
      </c>
      <c r="F218" s="16"/>
      <c r="G218" s="16"/>
      <c r="H218" s="16"/>
      <c r="I218" s="16" t="s">
        <v>951</v>
      </c>
    </row>
    <row r="219" spans="1:9" x14ac:dyDescent="0.3">
      <c r="A219" s="203"/>
      <c r="B219" t="s">
        <v>953</v>
      </c>
      <c r="C219" s="5" t="s">
        <v>952</v>
      </c>
      <c r="D219" s="16" t="s">
        <v>730</v>
      </c>
      <c r="E219" s="5" t="str">
        <f>Sources!A73</f>
        <v>Ridjan2015</v>
      </c>
      <c r="F219" s="16"/>
      <c r="G219" s="16"/>
      <c r="H219" s="16"/>
      <c r="I219" s="16" t="s">
        <v>951</v>
      </c>
    </row>
    <row r="220" spans="1:9" x14ac:dyDescent="0.3">
      <c r="A220" s="203"/>
      <c r="B220" t="s">
        <v>954</v>
      </c>
      <c r="C220" s="5">
        <v>493</v>
      </c>
      <c r="D220" s="16" t="s">
        <v>730</v>
      </c>
      <c r="E220" s="5" t="str">
        <f>Sources!A73</f>
        <v>Ridjan2015</v>
      </c>
      <c r="F220" s="16"/>
      <c r="G220" s="16"/>
      <c r="H220" s="16"/>
      <c r="I220" s="16" t="s">
        <v>951</v>
      </c>
    </row>
    <row r="221" spans="1:9" x14ac:dyDescent="0.3">
      <c r="A221" s="203"/>
      <c r="B221" t="s">
        <v>1078</v>
      </c>
      <c r="C221" s="5">
        <f>30*(CEPCI_ref/CEPCI2014)</f>
        <v>31.635132789446278</v>
      </c>
      <c r="D221" s="16" t="s">
        <v>730</v>
      </c>
      <c r="E221" s="5" t="str">
        <f>Sources!A82</f>
        <v>Connolly2014</v>
      </c>
      <c r="F221" s="16"/>
      <c r="G221" s="16"/>
      <c r="H221" s="16"/>
      <c r="I221" s="16"/>
    </row>
    <row r="222" spans="1:9" x14ac:dyDescent="0.3">
      <c r="A222" s="203"/>
      <c r="B222" t="s">
        <v>1352</v>
      </c>
      <c r="C222" s="5">
        <f>150*(CEPCI_ref/CEPCI2014)</f>
        <v>158.17566394723139</v>
      </c>
      <c r="D222" s="16" t="s">
        <v>730</v>
      </c>
      <c r="E222" s="5" t="str">
        <f>Sources!A82</f>
        <v>Connolly2014</v>
      </c>
      <c r="F222" s="16"/>
      <c r="G222" s="16"/>
      <c r="H222" s="16"/>
      <c r="I222" s="16"/>
    </row>
    <row r="223" spans="1:9" x14ac:dyDescent="0.3">
      <c r="A223" s="203"/>
      <c r="B223" t="s">
        <v>1736</v>
      </c>
      <c r="C223" s="5">
        <v>460</v>
      </c>
      <c r="D223" s="16" t="s">
        <v>730</v>
      </c>
      <c r="E223" s="5" t="str">
        <f>Sources!A124</f>
        <v>Ueckerdt2021</v>
      </c>
      <c r="F223" s="16"/>
      <c r="G223" s="16"/>
      <c r="H223" s="16"/>
      <c r="I223" s="16"/>
    </row>
    <row r="224" spans="1:9" x14ac:dyDescent="0.3">
      <c r="A224" s="203"/>
      <c r="B224" t="s">
        <v>1740</v>
      </c>
      <c r="C224" s="5">
        <v>150</v>
      </c>
      <c r="D224" s="16" t="s">
        <v>730</v>
      </c>
      <c r="E224" s="5" t="str">
        <f>Sources!A124</f>
        <v>Ueckerdt2021</v>
      </c>
      <c r="F224" s="16"/>
      <c r="G224" s="16"/>
      <c r="H224" s="16"/>
      <c r="I224" s="16"/>
    </row>
    <row r="225" spans="1:9" x14ac:dyDescent="0.3">
      <c r="A225" s="203"/>
      <c r="B225" t="s">
        <v>1741</v>
      </c>
      <c r="C225" s="5">
        <v>50</v>
      </c>
      <c r="D225" s="16" t="s">
        <v>730</v>
      </c>
      <c r="E225" s="5" t="str">
        <f>Sources!A124</f>
        <v>Ueckerdt2021</v>
      </c>
      <c r="F225" s="16"/>
      <c r="G225" s="16"/>
      <c r="H225" s="16"/>
      <c r="I225" s="16"/>
    </row>
    <row r="226" spans="1:9" x14ac:dyDescent="0.3">
      <c r="A226" s="203"/>
      <c r="B226" t="s">
        <v>1196</v>
      </c>
      <c r="D226" s="16"/>
      <c r="E226" s="5" t="str">
        <f>Sources!A66</f>
        <v>Leeson2018</v>
      </c>
      <c r="F226" s="16"/>
      <c r="G226" s="16"/>
      <c r="H226" s="16"/>
      <c r="I226" s="16"/>
    </row>
    <row r="227" spans="1:9" x14ac:dyDescent="0.3">
      <c r="D227" s="16"/>
      <c r="F227" s="16"/>
      <c r="G227" s="16"/>
      <c r="H227" s="16"/>
      <c r="I227" s="16"/>
    </row>
    <row r="228" spans="1:9" x14ac:dyDescent="0.3">
      <c r="A228" s="203" t="s">
        <v>753</v>
      </c>
      <c r="B228" t="s">
        <v>1353</v>
      </c>
      <c r="C228" s="5">
        <f>360</f>
        <v>360</v>
      </c>
      <c r="D228" s="16" t="s">
        <v>732</v>
      </c>
      <c r="E228" s="5" t="str">
        <f>Sources!A58</f>
        <v>Abu-Zhara2007</v>
      </c>
      <c r="F228" s="16"/>
      <c r="G228" s="16"/>
      <c r="H228" s="16"/>
      <c r="I228" s="16"/>
    </row>
    <row r="229" spans="1:9" x14ac:dyDescent="0.3">
      <c r="A229" s="203"/>
      <c r="B229" t="s">
        <v>1972</v>
      </c>
      <c r="C229" s="5">
        <f>2700*(CEPCI_ref/CEPCI2019)</f>
        <v>2700</v>
      </c>
      <c r="D229" s="16" t="s">
        <v>1979</v>
      </c>
      <c r="E229" s="5" t="str">
        <f>Sources!A129</f>
        <v>DEA2020</v>
      </c>
      <c r="F229" s="16"/>
      <c r="G229" s="16"/>
      <c r="H229" s="16"/>
      <c r="I229" s="16"/>
    </row>
    <row r="230" spans="1:9" x14ac:dyDescent="0.3">
      <c r="A230" s="203"/>
      <c r="B230" t="s">
        <v>1980</v>
      </c>
      <c r="C230" s="5">
        <f>2300*(CEPCI_ref/CEPCI2019)</f>
        <v>2300</v>
      </c>
      <c r="D230" s="16" t="s">
        <v>1979</v>
      </c>
      <c r="E230" s="5" t="str">
        <f>Sources!A129</f>
        <v>DEA2020</v>
      </c>
      <c r="F230" s="16"/>
      <c r="G230" s="16"/>
      <c r="H230" s="16"/>
      <c r="I230" s="16"/>
    </row>
    <row r="231" spans="1:9" x14ac:dyDescent="0.3">
      <c r="A231" s="203"/>
      <c r="B231" t="s">
        <v>1977</v>
      </c>
      <c r="C231" s="5">
        <f>2000*(CEPCI_ref/CEPCI2019)</f>
        <v>2000</v>
      </c>
      <c r="D231" s="16" t="s">
        <v>1979</v>
      </c>
      <c r="E231" s="5" t="str">
        <f>Sources!A129</f>
        <v>DEA2020</v>
      </c>
      <c r="F231" s="16"/>
      <c r="G231" s="16"/>
      <c r="H231" s="16"/>
      <c r="I231" s="16"/>
    </row>
    <row r="232" spans="1:9" x14ac:dyDescent="0.3">
      <c r="A232" s="203"/>
      <c r="B232" t="s">
        <v>1978</v>
      </c>
      <c r="C232" s="5">
        <f>1600*(CEPCI_ref/CEPCI2019)</f>
        <v>1600</v>
      </c>
      <c r="D232" s="16" t="s">
        <v>1979</v>
      </c>
      <c r="E232" s="5" t="str">
        <f>Sources!A129</f>
        <v>DEA2020</v>
      </c>
      <c r="F232" s="16"/>
      <c r="G232" s="16"/>
      <c r="H232" s="16"/>
      <c r="I232" s="16"/>
    </row>
    <row r="233" spans="1:9" x14ac:dyDescent="0.3">
      <c r="A233" s="203"/>
      <c r="B233" s="60" t="s">
        <v>1982</v>
      </c>
      <c r="C233" s="5">
        <f>7000*(CEPCI_ref/CEPCI2019)</f>
        <v>7000</v>
      </c>
      <c r="D233" s="16" t="s">
        <v>1979</v>
      </c>
      <c r="E233" s="5" t="str">
        <f>Sources!A129</f>
        <v>DEA2020</v>
      </c>
      <c r="F233" s="16"/>
      <c r="G233" s="16"/>
      <c r="H233" s="16"/>
      <c r="I233" s="16"/>
    </row>
    <row r="234" spans="1:9" x14ac:dyDescent="0.3">
      <c r="A234" s="203"/>
      <c r="B234" s="60" t="s">
        <v>1983</v>
      </c>
      <c r="C234" s="5">
        <f>6000*(CEPCI_ref/CEPCI2019)</f>
        <v>6000</v>
      </c>
      <c r="D234" s="16" t="s">
        <v>1979</v>
      </c>
      <c r="E234" s="5" t="str">
        <f>Sources!A129</f>
        <v>DEA2020</v>
      </c>
      <c r="F234" s="16"/>
      <c r="G234" s="16"/>
      <c r="H234" s="16"/>
      <c r="I234" s="16"/>
    </row>
    <row r="235" spans="1:9" x14ac:dyDescent="0.3">
      <c r="A235" s="203"/>
      <c r="B235" s="60" t="s">
        <v>1984</v>
      </c>
      <c r="C235" s="5">
        <f>5000*(CEPCI_ref/CEPCI2019)</f>
        <v>5000</v>
      </c>
      <c r="D235" s="16" t="s">
        <v>1979</v>
      </c>
      <c r="E235" s="5" t="str">
        <f>Sources!A129</f>
        <v>DEA2020</v>
      </c>
      <c r="F235" s="16"/>
      <c r="G235" s="16"/>
      <c r="H235" s="16"/>
      <c r="I235" s="16"/>
    </row>
    <row r="236" spans="1:9" x14ac:dyDescent="0.3">
      <c r="A236" s="203"/>
      <c r="B236" s="60" t="s">
        <v>1985</v>
      </c>
      <c r="C236" s="5">
        <f>4000*(CEPCI_ref/CEPCI2019)</f>
        <v>4000</v>
      </c>
      <c r="D236" s="16" t="s">
        <v>1979</v>
      </c>
      <c r="E236" s="5" t="str">
        <f>Sources!A129</f>
        <v>DEA2020</v>
      </c>
      <c r="F236" s="16"/>
      <c r="G236" s="16"/>
      <c r="H236" s="16"/>
      <c r="I236" s="16"/>
    </row>
    <row r="237" spans="1:9" x14ac:dyDescent="0.3">
      <c r="A237" s="203"/>
      <c r="B237" t="s">
        <v>1270</v>
      </c>
      <c r="C237" s="5">
        <f>470*(CEPCI_ref/CEPCI2019)</f>
        <v>470</v>
      </c>
      <c r="D237" s="16" t="s">
        <v>732</v>
      </c>
      <c r="E237" s="5" t="str">
        <f>Sources!A107</f>
        <v>Lester2020</v>
      </c>
      <c r="F237" s="16"/>
      <c r="G237" s="16"/>
      <c r="H237" s="16"/>
      <c r="I237" s="16"/>
    </row>
    <row r="238" spans="1:9" x14ac:dyDescent="0.3">
      <c r="A238" s="203"/>
      <c r="B238" t="s">
        <v>1266</v>
      </c>
      <c r="C238" s="5">
        <f>1720*(CEPCI_ref/CEPCI2019)</f>
        <v>1720</v>
      </c>
      <c r="D238" s="16" t="s">
        <v>732</v>
      </c>
      <c r="E238" s="5" t="str">
        <f>Sources!A107</f>
        <v>Lester2020</v>
      </c>
      <c r="F238" s="16"/>
      <c r="G238" s="16"/>
      <c r="H238" s="16"/>
      <c r="I238" s="16"/>
    </row>
    <row r="239" spans="1:9" x14ac:dyDescent="0.3">
      <c r="D239" s="16"/>
      <c r="F239" s="16"/>
      <c r="G239" s="16"/>
      <c r="H239" s="16"/>
      <c r="I239" s="16"/>
    </row>
    <row r="240" spans="1:9" x14ac:dyDescent="0.3">
      <c r="A240" s="203" t="s">
        <v>1750</v>
      </c>
      <c r="B240" t="s">
        <v>1270</v>
      </c>
      <c r="C240" s="5">
        <f>12.6*(CEPCI_ref/CEPCI2019)</f>
        <v>12.6</v>
      </c>
      <c r="D240" s="16" t="s">
        <v>1267</v>
      </c>
      <c r="E240" s="5" t="str">
        <f>Sources!A107</f>
        <v>Lester2020</v>
      </c>
      <c r="F240" s="16"/>
      <c r="G240" s="16"/>
      <c r="H240" s="16"/>
      <c r="I240" s="16"/>
    </row>
    <row r="241" spans="1:9" x14ac:dyDescent="0.3">
      <c r="A241" s="203"/>
      <c r="B241" t="s">
        <v>1972</v>
      </c>
      <c r="C241" s="5">
        <f>81*(CEPCI_ref/CEPCI2019)</f>
        <v>81</v>
      </c>
      <c r="D241" s="16" t="s">
        <v>1267</v>
      </c>
      <c r="E241" s="5" t="str">
        <f>Sources!A129</f>
        <v>DEA2020</v>
      </c>
      <c r="F241" s="16"/>
      <c r="G241" s="16"/>
      <c r="H241" s="16"/>
      <c r="I241" s="16"/>
    </row>
    <row r="242" spans="1:9" x14ac:dyDescent="0.3">
      <c r="A242" s="203"/>
      <c r="B242" t="s">
        <v>1980</v>
      </c>
      <c r="C242" s="5">
        <f>69*(CEPCI_ref/CEPCI2019)</f>
        <v>69</v>
      </c>
      <c r="D242" s="16" t="s">
        <v>1267</v>
      </c>
      <c r="E242" s="5" t="str">
        <f>Sources!A129</f>
        <v>DEA2020</v>
      </c>
      <c r="F242" s="16"/>
      <c r="G242" s="16"/>
      <c r="H242" s="16"/>
      <c r="I242" s="16"/>
    </row>
    <row r="243" spans="1:9" x14ac:dyDescent="0.3">
      <c r="A243" s="203"/>
      <c r="B243" t="s">
        <v>1977</v>
      </c>
      <c r="C243" s="5">
        <f>60*(CEPCI_ref/CEPCI2019)</f>
        <v>60</v>
      </c>
      <c r="D243" s="16" t="s">
        <v>1267</v>
      </c>
      <c r="E243" s="5" t="str">
        <f>Sources!A129</f>
        <v>DEA2020</v>
      </c>
      <c r="F243" s="16"/>
      <c r="G243" s="16"/>
      <c r="H243" s="16"/>
      <c r="I243" s="16"/>
    </row>
    <row r="244" spans="1:9" x14ac:dyDescent="0.3">
      <c r="A244" s="203"/>
      <c r="B244" t="s">
        <v>1978</v>
      </c>
      <c r="C244" s="5">
        <f>48*(CEPCI_ref/CEPCI2019)</f>
        <v>48</v>
      </c>
      <c r="D244" s="16" t="s">
        <v>1267</v>
      </c>
      <c r="E244" s="5" t="str">
        <f>Sources!A129</f>
        <v>DEA2020</v>
      </c>
      <c r="F244" s="16"/>
      <c r="G244" s="16"/>
      <c r="H244" s="16"/>
      <c r="I244" s="16"/>
    </row>
    <row r="245" spans="1:9" x14ac:dyDescent="0.3">
      <c r="A245" s="203"/>
      <c r="B245" s="60" t="s">
        <v>1982</v>
      </c>
      <c r="C245" s="5">
        <f>350*(CEPCI_ref/CEPCI2019)</f>
        <v>350</v>
      </c>
      <c r="D245" s="16" t="s">
        <v>1267</v>
      </c>
      <c r="E245" s="5" t="str">
        <f>Sources!A129</f>
        <v>DEA2020</v>
      </c>
      <c r="F245" s="16"/>
      <c r="G245" s="16"/>
      <c r="H245" s="16"/>
      <c r="I245" s="16"/>
    </row>
    <row r="246" spans="1:9" x14ac:dyDescent="0.3">
      <c r="A246" s="203"/>
      <c r="B246" s="60" t="s">
        <v>1983</v>
      </c>
      <c r="C246" s="5">
        <f>300*(CEPCI_ref/CEPCI2019)</f>
        <v>300</v>
      </c>
      <c r="D246" s="16" t="s">
        <v>1267</v>
      </c>
      <c r="E246" s="5" t="str">
        <f>Sources!A129</f>
        <v>DEA2020</v>
      </c>
      <c r="F246" s="16"/>
      <c r="G246" s="16"/>
      <c r="H246" s="16"/>
      <c r="I246" s="16"/>
    </row>
    <row r="247" spans="1:9" x14ac:dyDescent="0.3">
      <c r="A247" s="203"/>
      <c r="B247" s="60" t="s">
        <v>1984</v>
      </c>
      <c r="C247" s="5">
        <f>250*(CEPCI_ref/CEPCI2019)</f>
        <v>250</v>
      </c>
      <c r="D247" s="16" t="s">
        <v>1267</v>
      </c>
      <c r="E247" s="5" t="str">
        <f>Sources!A129</f>
        <v>DEA2020</v>
      </c>
      <c r="F247" s="16"/>
      <c r="G247" s="16"/>
      <c r="H247" s="16"/>
      <c r="I247" s="16"/>
    </row>
    <row r="248" spans="1:9" x14ac:dyDescent="0.3">
      <c r="A248" s="203"/>
      <c r="B248" s="60" t="s">
        <v>1985</v>
      </c>
      <c r="C248" s="5">
        <f>200*(CEPCI_ref/CEPCI2019)</f>
        <v>200</v>
      </c>
      <c r="D248" s="16" t="s">
        <v>1267</v>
      </c>
      <c r="E248" s="5" t="str">
        <f>Sources!A129</f>
        <v>DEA2020</v>
      </c>
      <c r="F248" s="16"/>
      <c r="G248" s="16"/>
      <c r="H248" s="16"/>
      <c r="I248" s="16"/>
    </row>
    <row r="249" spans="1:9" x14ac:dyDescent="0.3">
      <c r="A249" s="203"/>
      <c r="B249" t="s">
        <v>1266</v>
      </c>
      <c r="C249" s="5">
        <f>68.7*(CEPCI_ref/CEPCI2019)</f>
        <v>68.7</v>
      </c>
      <c r="D249" s="16" t="s">
        <v>1267</v>
      </c>
      <c r="E249" s="5" t="str">
        <f>Sources!A107</f>
        <v>Lester2020</v>
      </c>
      <c r="F249" s="16"/>
      <c r="G249" s="16"/>
      <c r="H249" s="16"/>
      <c r="I249" s="16"/>
    </row>
    <row r="250" spans="1:9" x14ac:dyDescent="0.3">
      <c r="A250" s="13"/>
      <c r="D250" s="16"/>
      <c r="F250" s="16"/>
      <c r="G250" s="16"/>
      <c r="H250" s="16"/>
      <c r="I250" s="16"/>
    </row>
    <row r="251" spans="1:9" x14ac:dyDescent="0.3">
      <c r="A251" s="203" t="s">
        <v>1752</v>
      </c>
      <c r="B251" t="s">
        <v>1270</v>
      </c>
      <c r="C251" s="5">
        <f>30*(CEPCI_ref/CEPCI2019)</f>
        <v>30</v>
      </c>
      <c r="D251" s="16" t="s">
        <v>1271</v>
      </c>
      <c r="E251" s="5" t="str">
        <f>Sources!A107</f>
        <v>Lester2020</v>
      </c>
      <c r="F251" s="16"/>
      <c r="G251" s="16"/>
      <c r="H251" s="16"/>
      <c r="I251" s="16"/>
    </row>
    <row r="252" spans="1:9" x14ac:dyDescent="0.3">
      <c r="A252" s="203"/>
      <c r="B252" t="s">
        <v>1972</v>
      </c>
      <c r="C252" s="5">
        <f>2.5/1000*(CEPCI_ref/CEPCI2019)</f>
        <v>2.5000000000000001E-3</v>
      </c>
      <c r="D252" s="16" t="s">
        <v>1981</v>
      </c>
      <c r="E252" s="5" t="str">
        <f>Sources!A129</f>
        <v>DEA2020</v>
      </c>
      <c r="F252" s="16"/>
      <c r="G252" s="16"/>
      <c r="H252" s="16"/>
      <c r="I252" s="16"/>
    </row>
    <row r="253" spans="1:9" x14ac:dyDescent="0.3">
      <c r="A253" s="203"/>
      <c r="B253" t="s">
        <v>1980</v>
      </c>
      <c r="C253" s="5">
        <f>2.5/1000*(CEPCI_ref/CEPCI2019)</f>
        <v>2.5000000000000001E-3</v>
      </c>
      <c r="D253" s="16" t="s">
        <v>1981</v>
      </c>
      <c r="E253" s="5" t="str">
        <f>Sources!A129</f>
        <v>DEA2020</v>
      </c>
      <c r="F253" s="16"/>
      <c r="G253" s="16"/>
      <c r="H253" s="16"/>
      <c r="I253" s="16"/>
    </row>
    <row r="254" spans="1:9" x14ac:dyDescent="0.3">
      <c r="A254" s="203"/>
      <c r="B254" t="s">
        <v>1977</v>
      </c>
      <c r="C254" s="5">
        <f>2.5/1000*(CEPCI_ref/CEPCI2019)</f>
        <v>2.5000000000000001E-3</v>
      </c>
      <c r="D254" s="16" t="s">
        <v>1981</v>
      </c>
      <c r="E254" s="5" t="str">
        <f>Sources!A129</f>
        <v>DEA2020</v>
      </c>
      <c r="F254" s="16"/>
      <c r="G254" s="16"/>
      <c r="H254" s="16"/>
      <c r="I254" s="16"/>
    </row>
    <row r="255" spans="1:9" x14ac:dyDescent="0.3">
      <c r="A255" s="203"/>
      <c r="B255" t="s">
        <v>1978</v>
      </c>
      <c r="C255" s="5">
        <f>2.5/1000*(CEPCI_ref/CEPCI2019)</f>
        <v>2.5000000000000001E-3</v>
      </c>
      <c r="D255" s="16" t="s">
        <v>1981</v>
      </c>
      <c r="E255" s="5" t="str">
        <f>Sources!A129</f>
        <v>DEA2020</v>
      </c>
      <c r="F255" s="16"/>
      <c r="G255" s="16"/>
      <c r="H255" s="16"/>
      <c r="I255" s="16"/>
    </row>
    <row r="256" spans="1:9" x14ac:dyDescent="0.3">
      <c r="D256" s="16"/>
      <c r="F256" s="16"/>
      <c r="G256" s="16"/>
      <c r="H256" s="16"/>
      <c r="I256" s="16"/>
    </row>
    <row r="257" spans="1:9" x14ac:dyDescent="0.3">
      <c r="A257" s="203" t="s">
        <v>41</v>
      </c>
      <c r="B257" t="s">
        <v>1268</v>
      </c>
      <c r="C257" s="5">
        <v>20</v>
      </c>
      <c r="D257" s="16" t="s">
        <v>61</v>
      </c>
      <c r="E257" s="5" t="str">
        <f>Sources!A107</f>
        <v>Lester2020</v>
      </c>
      <c r="F257" s="16"/>
      <c r="G257" s="16"/>
      <c r="H257" s="16"/>
      <c r="I257" s="16"/>
    </row>
    <row r="258" spans="1:9" x14ac:dyDescent="0.3">
      <c r="A258" s="203"/>
      <c r="B258" t="s">
        <v>1266</v>
      </c>
      <c r="C258" s="5">
        <v>20</v>
      </c>
      <c r="D258" s="16" t="s">
        <v>61</v>
      </c>
      <c r="E258" s="5" t="str">
        <f>Sources!A107</f>
        <v>Lester2020</v>
      </c>
      <c r="F258" s="16"/>
      <c r="G258" s="16"/>
      <c r="H258" s="16"/>
      <c r="I258" s="16"/>
    </row>
    <row r="259" spans="1:9" x14ac:dyDescent="0.3">
      <c r="D259" s="16"/>
      <c r="F259" s="16"/>
      <c r="G259" s="16"/>
      <c r="H259" s="16"/>
      <c r="I259" s="16"/>
    </row>
    <row r="260" spans="1:9" x14ac:dyDescent="0.3">
      <c r="A260" s="203" t="s">
        <v>605</v>
      </c>
      <c r="B260" t="s">
        <v>1899</v>
      </c>
      <c r="C260" s="5">
        <f>5.68*10^-3</f>
        <v>5.6800000000000002E-3</v>
      </c>
      <c r="D260" s="16" t="s">
        <v>1699</v>
      </c>
      <c r="E260" s="5" t="str">
        <f>Sources!A114</f>
        <v>Deutz2021</v>
      </c>
      <c r="F260" s="16"/>
      <c r="G260" s="16"/>
      <c r="H260" s="16"/>
      <c r="I260" s="16" t="s">
        <v>1702</v>
      </c>
    </row>
    <row r="261" spans="1:9" x14ac:dyDescent="0.3">
      <c r="A261" s="203"/>
      <c r="B261" t="s">
        <v>1703</v>
      </c>
      <c r="C261" s="5">
        <f>3.88133333333334/1000</f>
        <v>3.8813333333333404E-3</v>
      </c>
      <c r="D261" s="16" t="s">
        <v>1699</v>
      </c>
      <c r="E261" s="16" t="s">
        <v>529</v>
      </c>
      <c r="F261" s="16"/>
      <c r="G261" s="16"/>
      <c r="H261" s="16"/>
    </row>
    <row r="262" spans="1:9" x14ac:dyDescent="0.3">
      <c r="A262" s="203"/>
      <c r="B262">
        <v>2040</v>
      </c>
      <c r="C262" s="5">
        <f>2.08266666666667/1000</f>
        <v>2.0826666666666702E-3</v>
      </c>
      <c r="D262" s="16" t="s">
        <v>1699</v>
      </c>
      <c r="E262" s="16" t="s">
        <v>529</v>
      </c>
      <c r="F262" s="16"/>
      <c r="G262" s="16"/>
      <c r="H262" s="16"/>
    </row>
    <row r="263" spans="1:9" x14ac:dyDescent="0.3">
      <c r="A263" s="203"/>
      <c r="B263">
        <v>2050</v>
      </c>
      <c r="C263" s="5">
        <f>C260*0.05</f>
        <v>2.8400000000000002E-4</v>
      </c>
      <c r="D263" s="16" t="s">
        <v>1699</v>
      </c>
      <c r="E263" s="16" t="s">
        <v>529</v>
      </c>
      <c r="F263" s="16"/>
      <c r="G263" s="16"/>
      <c r="H263" s="16"/>
    </row>
    <row r="264" spans="1:9" x14ac:dyDescent="0.3">
      <c r="A264" s="203"/>
      <c r="B264" t="s">
        <v>1705</v>
      </c>
      <c r="C264" s="78">
        <v>0.05</v>
      </c>
      <c r="D264" s="16" t="s">
        <v>1704</v>
      </c>
      <c r="E264" s="16" t="s">
        <v>529</v>
      </c>
      <c r="F264" s="16"/>
      <c r="G264" s="16"/>
      <c r="H264" s="16"/>
      <c r="I264" s="16"/>
    </row>
    <row r="265" spans="1:9" x14ac:dyDescent="0.3">
      <c r="F265" s="16"/>
      <c r="G265" s="16"/>
      <c r="H265" s="16"/>
      <c r="I265" s="16"/>
    </row>
    <row r="266" spans="1:9" x14ac:dyDescent="0.3">
      <c r="A266" s="203" t="s">
        <v>2241</v>
      </c>
      <c r="B266" t="s">
        <v>2244</v>
      </c>
      <c r="C266" s="5">
        <f>0.1*10^6/(10^6/8000)</f>
        <v>800</v>
      </c>
      <c r="D266" s="5" t="s">
        <v>2242</v>
      </c>
      <c r="E266" s="5" t="str">
        <f>Sources!$A$134</f>
        <v>DanishEnergyAgency2021</v>
      </c>
      <c r="F266" s="16"/>
      <c r="G266" s="16"/>
      <c r="H266" s="16"/>
      <c r="I266" s="16"/>
    </row>
    <row r="267" spans="1:9" x14ac:dyDescent="0.3">
      <c r="A267" s="203"/>
      <c r="B267" t="s">
        <v>2245</v>
      </c>
      <c r="C267" s="5">
        <f t="shared" ref="C267:C269" si="2">0.1*10^6/(10^6/8000)</f>
        <v>800</v>
      </c>
      <c r="D267" s="5" t="s">
        <v>2242</v>
      </c>
      <c r="E267" s="5" t="str">
        <f>Sources!$A$134</f>
        <v>DanishEnergyAgency2021</v>
      </c>
      <c r="F267" s="16"/>
      <c r="G267" s="16"/>
      <c r="H267" s="16"/>
      <c r="I267" s="16"/>
    </row>
    <row r="268" spans="1:9" x14ac:dyDescent="0.3">
      <c r="A268" s="203"/>
      <c r="B268" t="s">
        <v>2246</v>
      </c>
      <c r="C268" s="5">
        <f>0.02*10^6/(10^6/8000)</f>
        <v>160</v>
      </c>
      <c r="D268" s="5" t="s">
        <v>2242</v>
      </c>
      <c r="E268" s="5" t="str">
        <f>Sources!$A$134</f>
        <v>DanishEnergyAgency2021</v>
      </c>
      <c r="F268" s="16"/>
      <c r="G268" s="16"/>
      <c r="H268" s="16"/>
      <c r="I268" s="16"/>
    </row>
    <row r="269" spans="1:9" x14ac:dyDescent="0.3">
      <c r="A269" s="203"/>
      <c r="B269" s="16" t="s">
        <v>2243</v>
      </c>
      <c r="C269" s="5">
        <f t="shared" si="2"/>
        <v>800</v>
      </c>
      <c r="D269" s="5" t="s">
        <v>2242</v>
      </c>
      <c r="E269" s="5" t="str">
        <f>Sources!$A$134</f>
        <v>DanishEnergyAgency2021</v>
      </c>
      <c r="F269" s="16"/>
      <c r="G269" s="16"/>
      <c r="H269" s="16"/>
      <c r="I269" s="16"/>
    </row>
    <row r="270" spans="1:9" x14ac:dyDescent="0.3">
      <c r="A270" s="203"/>
      <c r="B270" s="16" t="s">
        <v>2247</v>
      </c>
      <c r="C270" s="5">
        <f>0.05*10^6/(10^6/8000)</f>
        <v>400</v>
      </c>
      <c r="D270" s="5" t="s">
        <v>2242</v>
      </c>
      <c r="E270" s="5" t="str">
        <f>Sources!$A$134</f>
        <v>DanishEnergyAgency2021</v>
      </c>
      <c r="F270" s="16"/>
      <c r="G270" s="16"/>
      <c r="H270" s="16"/>
      <c r="I270" s="16"/>
    </row>
    <row r="271" spans="1:9" x14ac:dyDescent="0.3">
      <c r="A271" s="203"/>
      <c r="B271" t="s">
        <v>2248</v>
      </c>
      <c r="C271" s="5">
        <f>0.05*10^6/(10^6/8000)</f>
        <v>400</v>
      </c>
      <c r="D271" s="5" t="s">
        <v>2242</v>
      </c>
      <c r="E271" s="5" t="str">
        <f>Sources!$A$134</f>
        <v>DanishEnergyAgency2021</v>
      </c>
      <c r="F271" s="16"/>
      <c r="G271" s="16"/>
      <c r="H271" s="16"/>
      <c r="I271" s="16"/>
    </row>
    <row r="272" spans="1:9" x14ac:dyDescent="0.3">
      <c r="A272" s="203"/>
      <c r="B272" t="s">
        <v>2249</v>
      </c>
      <c r="C272" s="5">
        <f>0.02*10^6/(10^6/8000)</f>
        <v>160</v>
      </c>
      <c r="D272" s="5" t="s">
        <v>2242</v>
      </c>
      <c r="E272" s="5" t="str">
        <f>Sources!$A$134</f>
        <v>DanishEnergyAgency2021</v>
      </c>
      <c r="F272" s="16"/>
      <c r="G272" s="16"/>
      <c r="H272" s="16"/>
      <c r="I272" s="16"/>
    </row>
    <row r="273" spans="1:9" x14ac:dyDescent="0.3">
      <c r="A273" s="203"/>
      <c r="B273" t="s">
        <v>2250</v>
      </c>
      <c r="C273" s="5">
        <f>0.002*10^6/(10^6/8000)</f>
        <v>16</v>
      </c>
      <c r="D273" s="5" t="s">
        <v>2242</v>
      </c>
      <c r="E273" s="5" t="str">
        <f>Sources!$A$134</f>
        <v>DanishEnergyAgency2021</v>
      </c>
      <c r="F273" s="16"/>
      <c r="G273" s="16"/>
      <c r="H273" s="16"/>
      <c r="I273" s="16"/>
    </row>
    <row r="274" spans="1:9" x14ac:dyDescent="0.3">
      <c r="F274" s="16"/>
      <c r="G274" s="16"/>
      <c r="H274" s="16"/>
      <c r="I274" s="16"/>
    </row>
    <row r="275" spans="1:9" x14ac:dyDescent="0.3">
      <c r="A275" s="203" t="s">
        <v>2252</v>
      </c>
      <c r="B275" t="s">
        <v>2257</v>
      </c>
      <c r="C275" s="5">
        <f>40*10^-3</f>
        <v>0.04</v>
      </c>
      <c r="D275" s="5" t="s">
        <v>2242</v>
      </c>
      <c r="E275" s="5" t="str">
        <f>Sources!$A$134</f>
        <v>DanishEnergyAgency2021</v>
      </c>
      <c r="F275" s="16"/>
      <c r="G275" s="16"/>
      <c r="H275" s="16"/>
      <c r="I275" s="16"/>
    </row>
    <row r="276" spans="1:9" x14ac:dyDescent="0.3">
      <c r="A276" s="203"/>
      <c r="B276" t="s">
        <v>2253</v>
      </c>
      <c r="C276" s="5">
        <f>(40+12)*10^-3</f>
        <v>5.2000000000000005E-2</v>
      </c>
      <c r="D276" s="5" t="s">
        <v>2242</v>
      </c>
      <c r="E276" s="5" t="str">
        <f>Sources!$A$134</f>
        <v>DanishEnergyAgency2021</v>
      </c>
      <c r="F276" s="16"/>
      <c r="G276" s="16"/>
      <c r="H276" s="16"/>
      <c r="I276" s="16"/>
    </row>
    <row r="277" spans="1:9" x14ac:dyDescent="0.3">
      <c r="A277" s="203"/>
      <c r="B277" t="s">
        <v>2254</v>
      </c>
      <c r="F277" s="16"/>
      <c r="G277" s="16"/>
      <c r="H277" s="16"/>
      <c r="I277" s="16"/>
    </row>
    <row r="278" spans="1:9" x14ac:dyDescent="0.3">
      <c r="A278" s="203"/>
      <c r="B278" s="16" t="s">
        <v>2255</v>
      </c>
      <c r="F278" s="16"/>
      <c r="G278" s="16"/>
      <c r="H278" s="16"/>
      <c r="I278" s="16"/>
    </row>
    <row r="279" spans="1:9" x14ac:dyDescent="0.3">
      <c r="A279" s="203"/>
      <c r="B279" s="16" t="s">
        <v>2256</v>
      </c>
      <c r="F279" s="16"/>
      <c r="G279" s="16"/>
      <c r="H279" s="16"/>
      <c r="I279" s="16"/>
    </row>
    <row r="280" spans="1:9" x14ac:dyDescent="0.3">
      <c r="A280" s="203"/>
      <c r="B280" t="s">
        <v>2258</v>
      </c>
      <c r="F280" s="16"/>
      <c r="G280" s="16"/>
      <c r="H280" s="16"/>
      <c r="I280" s="16"/>
    </row>
    <row r="281" spans="1:9" x14ac:dyDescent="0.3">
      <c r="A281" s="203"/>
      <c r="F281" s="16"/>
      <c r="G281" s="16"/>
      <c r="H281" s="16"/>
      <c r="I281" s="16"/>
    </row>
    <row r="282" spans="1:9" x14ac:dyDescent="0.3">
      <c r="A282" s="203"/>
      <c r="F282" s="16"/>
      <c r="G282" s="16"/>
      <c r="H282" s="16"/>
      <c r="I282" s="16"/>
    </row>
    <row r="283" spans="1:9" x14ac:dyDescent="0.3">
      <c r="F283" s="16"/>
      <c r="G283" s="16"/>
      <c r="H283" s="16"/>
      <c r="I283" s="16"/>
    </row>
    <row r="284" spans="1:9" x14ac:dyDescent="0.3">
      <c r="F284" s="16"/>
      <c r="G284" s="16"/>
      <c r="H284" s="16"/>
      <c r="I284" s="16"/>
    </row>
    <row r="285" spans="1:9" x14ac:dyDescent="0.3">
      <c r="F285" s="16"/>
      <c r="G285" s="16"/>
      <c r="H285" s="16"/>
      <c r="I285" s="16"/>
    </row>
    <row r="286" spans="1:9" x14ac:dyDescent="0.3">
      <c r="F286" s="16"/>
      <c r="G286" s="16"/>
      <c r="H286" s="16"/>
      <c r="I286" s="16"/>
    </row>
    <row r="287" spans="1:9" x14ac:dyDescent="0.3">
      <c r="F287" s="16"/>
      <c r="G287" s="16"/>
      <c r="H287" s="16"/>
      <c r="I287" s="16"/>
    </row>
    <row r="288" spans="1:9" x14ac:dyDescent="0.3">
      <c r="F288" s="16"/>
      <c r="G288" s="16"/>
      <c r="H288" s="16"/>
      <c r="I288" s="16"/>
    </row>
    <row r="289" spans="6:9" x14ac:dyDescent="0.3">
      <c r="F289" s="16"/>
      <c r="G289" s="16"/>
      <c r="H289" s="16"/>
      <c r="I289" s="16"/>
    </row>
    <row r="290" spans="6:9" x14ac:dyDescent="0.3">
      <c r="F290" s="16"/>
      <c r="G290" s="16"/>
      <c r="H290" s="16"/>
      <c r="I290" s="16"/>
    </row>
    <row r="291" spans="6:9" x14ac:dyDescent="0.3">
      <c r="F291" s="16"/>
      <c r="G291" s="16"/>
      <c r="H291" s="16"/>
      <c r="I291" s="16"/>
    </row>
    <row r="292" spans="6:9" x14ac:dyDescent="0.3">
      <c r="F292" s="16"/>
      <c r="G292" s="16"/>
      <c r="H292" s="16"/>
      <c r="I292" s="16"/>
    </row>
    <row r="293" spans="6:9" x14ac:dyDescent="0.3">
      <c r="F293" s="16"/>
      <c r="G293" s="16"/>
      <c r="H293" s="16"/>
      <c r="I293" s="16"/>
    </row>
    <row r="294" spans="6:9" x14ac:dyDescent="0.3">
      <c r="F294" s="16"/>
      <c r="G294" s="16"/>
      <c r="H294" s="16"/>
      <c r="I294" s="16"/>
    </row>
    <row r="295" spans="6:9" x14ac:dyDescent="0.3">
      <c r="F295" s="16"/>
      <c r="G295" s="16"/>
      <c r="H295" s="16"/>
      <c r="I295" s="16"/>
    </row>
    <row r="296" spans="6:9" x14ac:dyDescent="0.3">
      <c r="F296" s="16"/>
      <c r="G296" s="16"/>
      <c r="H296" s="16"/>
      <c r="I296" s="16"/>
    </row>
    <row r="297" spans="6:9" x14ac:dyDescent="0.3">
      <c r="F297" s="16"/>
      <c r="G297" s="16"/>
      <c r="H297" s="16"/>
      <c r="I297" s="16"/>
    </row>
    <row r="298" spans="6:9" x14ac:dyDescent="0.3">
      <c r="F298" s="16"/>
      <c r="G298" s="16"/>
      <c r="H298" s="16"/>
      <c r="I298" s="16"/>
    </row>
    <row r="299" spans="6:9" x14ac:dyDescent="0.3">
      <c r="F299" s="16"/>
      <c r="G299" s="16"/>
      <c r="H299" s="16"/>
      <c r="I299" s="16"/>
    </row>
    <row r="300" spans="6:9" x14ac:dyDescent="0.3">
      <c r="F300" s="16"/>
      <c r="G300" s="16"/>
      <c r="H300" s="16"/>
      <c r="I300" s="16"/>
    </row>
    <row r="301" spans="6:9" x14ac:dyDescent="0.3">
      <c r="F301" s="16"/>
      <c r="G301" s="16"/>
      <c r="H301" s="16"/>
      <c r="I301" s="16"/>
    </row>
    <row r="302" spans="6:9" x14ac:dyDescent="0.3">
      <c r="F302" s="16"/>
      <c r="G302" s="16"/>
      <c r="H302" s="16"/>
      <c r="I302" s="16"/>
    </row>
    <row r="303" spans="6:9" x14ac:dyDescent="0.3">
      <c r="F303" s="16"/>
      <c r="G303" s="16"/>
      <c r="H303" s="16"/>
      <c r="I303" s="16"/>
    </row>
    <row r="304" spans="6:9" x14ac:dyDescent="0.3">
      <c r="F304" s="16"/>
      <c r="G304" s="16"/>
      <c r="H304" s="16"/>
      <c r="I304" s="16"/>
    </row>
    <row r="305" spans="6:9" x14ac:dyDescent="0.3">
      <c r="F305" s="16"/>
      <c r="G305" s="16"/>
      <c r="H305" s="16"/>
      <c r="I305" s="16"/>
    </row>
    <row r="306" spans="6:9" x14ac:dyDescent="0.3">
      <c r="F306" s="16"/>
      <c r="G306" s="16"/>
      <c r="H306" s="16"/>
      <c r="I306" s="16"/>
    </row>
    <row r="307" spans="6:9" x14ac:dyDescent="0.3">
      <c r="F307" s="16"/>
      <c r="G307" s="16"/>
      <c r="H307" s="16"/>
      <c r="I307" s="16"/>
    </row>
    <row r="308" spans="6:9" x14ac:dyDescent="0.3">
      <c r="F308" s="16"/>
      <c r="G308" s="16"/>
      <c r="H308" s="16"/>
      <c r="I308" s="16"/>
    </row>
    <row r="309" spans="6:9" x14ac:dyDescent="0.3">
      <c r="F309" s="16"/>
      <c r="G309" s="16"/>
      <c r="H309" s="16"/>
      <c r="I309" s="16"/>
    </row>
    <row r="310" spans="6:9" x14ac:dyDescent="0.3">
      <c r="F310" s="16"/>
      <c r="G310" s="16"/>
      <c r="H310" s="16"/>
      <c r="I310" s="16"/>
    </row>
    <row r="311" spans="6:9" x14ac:dyDescent="0.3">
      <c r="F311" s="16"/>
      <c r="G311" s="16"/>
      <c r="H311" s="16"/>
      <c r="I311" s="16"/>
    </row>
    <row r="312" spans="6:9" x14ac:dyDescent="0.3">
      <c r="F312" s="16"/>
      <c r="G312" s="16"/>
      <c r="H312" s="16"/>
      <c r="I312" s="16"/>
    </row>
    <row r="313" spans="6:9" x14ac:dyDescent="0.3">
      <c r="F313" s="16"/>
      <c r="G313" s="16"/>
      <c r="H313" s="16"/>
      <c r="I313" s="16"/>
    </row>
    <row r="314" spans="6:9" x14ac:dyDescent="0.3">
      <c r="F314" s="16"/>
      <c r="G314" s="16"/>
      <c r="H314" s="16"/>
      <c r="I314" s="16"/>
    </row>
    <row r="315" spans="6:9" x14ac:dyDescent="0.3">
      <c r="F315" s="16"/>
      <c r="G315" s="16"/>
      <c r="H315" s="16"/>
      <c r="I315" s="16"/>
    </row>
    <row r="316" spans="6:9" x14ac:dyDescent="0.3">
      <c r="F316" s="16"/>
      <c r="G316" s="16"/>
      <c r="H316" s="16"/>
      <c r="I316" s="16"/>
    </row>
    <row r="317" spans="6:9" x14ac:dyDescent="0.3">
      <c r="F317" s="16"/>
      <c r="G317" s="16"/>
      <c r="H317" s="16"/>
      <c r="I317" s="16"/>
    </row>
    <row r="318" spans="6:9" x14ac:dyDescent="0.3">
      <c r="F318" s="16"/>
      <c r="G318" s="16"/>
      <c r="H318" s="16"/>
      <c r="I318" s="16"/>
    </row>
    <row r="319" spans="6:9" x14ac:dyDescent="0.3">
      <c r="F319" s="16"/>
      <c r="G319" s="16"/>
      <c r="H319" s="16"/>
      <c r="I319" s="16"/>
    </row>
    <row r="320" spans="6:9" x14ac:dyDescent="0.3">
      <c r="F320" s="16"/>
      <c r="G320" s="16"/>
      <c r="H320" s="16"/>
      <c r="I320" s="16"/>
    </row>
    <row r="321" spans="6:9" x14ac:dyDescent="0.3">
      <c r="F321" s="16"/>
      <c r="G321" s="16"/>
      <c r="H321" s="16"/>
      <c r="I321" s="16"/>
    </row>
    <row r="322" spans="6:9" x14ac:dyDescent="0.3">
      <c r="F322" s="16"/>
      <c r="G322" s="16"/>
      <c r="H322" s="16"/>
      <c r="I322" s="16"/>
    </row>
    <row r="323" spans="6:9" x14ac:dyDescent="0.3">
      <c r="F323" s="16"/>
      <c r="G323" s="16"/>
      <c r="H323" s="16"/>
      <c r="I323" s="16"/>
    </row>
    <row r="324" spans="6:9" x14ac:dyDescent="0.3">
      <c r="F324" s="16"/>
      <c r="G324" s="16"/>
      <c r="H324" s="16"/>
      <c r="I324" s="16"/>
    </row>
    <row r="325" spans="6:9" x14ac:dyDescent="0.3">
      <c r="F325" s="16"/>
      <c r="G325" s="16"/>
      <c r="H325" s="16"/>
      <c r="I325" s="16"/>
    </row>
    <row r="326" spans="6:9" x14ac:dyDescent="0.3">
      <c r="F326" s="16"/>
      <c r="G326" s="16"/>
      <c r="H326" s="16"/>
      <c r="I326" s="16"/>
    </row>
    <row r="327" spans="6:9" x14ac:dyDescent="0.3">
      <c r="F327" s="16"/>
      <c r="G327" s="16"/>
      <c r="H327" s="16"/>
      <c r="I327" s="16"/>
    </row>
    <row r="328" spans="6:9" x14ac:dyDescent="0.3">
      <c r="F328" s="16"/>
      <c r="G328" s="16"/>
      <c r="H328" s="16"/>
      <c r="I328" s="16"/>
    </row>
    <row r="329" spans="6:9" x14ac:dyDescent="0.3">
      <c r="F329" s="16"/>
      <c r="G329" s="16"/>
      <c r="H329" s="16"/>
      <c r="I329" s="16"/>
    </row>
    <row r="330" spans="6:9" x14ac:dyDescent="0.3">
      <c r="F330" s="16"/>
      <c r="G330" s="16"/>
      <c r="H330" s="16"/>
      <c r="I330" s="16"/>
    </row>
    <row r="331" spans="6:9" x14ac:dyDescent="0.3">
      <c r="F331" s="16"/>
      <c r="G331" s="16"/>
      <c r="H331" s="16"/>
      <c r="I331" s="16"/>
    </row>
    <row r="332" spans="6:9" x14ac:dyDescent="0.3">
      <c r="F332" s="16"/>
      <c r="G332" s="16"/>
      <c r="H332" s="16"/>
      <c r="I332" s="16"/>
    </row>
    <row r="333" spans="6:9" x14ac:dyDescent="0.3">
      <c r="F333" s="16"/>
      <c r="G333" s="16"/>
      <c r="H333" s="16"/>
      <c r="I333" s="16"/>
    </row>
    <row r="334" spans="6:9" x14ac:dyDescent="0.3">
      <c r="F334" s="16"/>
      <c r="G334" s="16"/>
      <c r="H334" s="16"/>
      <c r="I334" s="16"/>
    </row>
    <row r="335" spans="6:9" x14ac:dyDescent="0.3">
      <c r="F335" s="16"/>
      <c r="G335" s="16"/>
      <c r="H335" s="16"/>
      <c r="I335" s="16"/>
    </row>
    <row r="336" spans="6:9" x14ac:dyDescent="0.3">
      <c r="F336" s="16"/>
      <c r="G336" s="16"/>
      <c r="H336" s="16"/>
      <c r="I336" s="16"/>
    </row>
  </sheetData>
  <mergeCells count="24">
    <mergeCell ref="A101:A104"/>
    <mergeCell ref="A1:B1"/>
    <mergeCell ref="A175:A179"/>
    <mergeCell ref="A106:A123"/>
    <mergeCell ref="A125:A133"/>
    <mergeCell ref="A135:A137"/>
    <mergeCell ref="A96:A99"/>
    <mergeCell ref="A143:A148"/>
    <mergeCell ref="A82:A89"/>
    <mergeCell ref="A70:A72"/>
    <mergeCell ref="A74:A75"/>
    <mergeCell ref="A77:A80"/>
    <mergeCell ref="A152:A159"/>
    <mergeCell ref="A92:A94"/>
    <mergeCell ref="A266:A273"/>
    <mergeCell ref="A275:A282"/>
    <mergeCell ref="A171:A173"/>
    <mergeCell ref="A181:A203"/>
    <mergeCell ref="A240:A249"/>
    <mergeCell ref="A257:A258"/>
    <mergeCell ref="A205:A226"/>
    <mergeCell ref="A251:A255"/>
    <mergeCell ref="A260:A264"/>
    <mergeCell ref="A228:A238"/>
  </mergeCells>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88"/>
  <sheetViews>
    <sheetView topLeftCell="A60" zoomScale="85" zoomScaleNormal="85" workbookViewId="0">
      <selection activeCell="E66" sqref="E66"/>
    </sheetView>
  </sheetViews>
  <sheetFormatPr defaultColWidth="8.77734375" defaultRowHeight="14.4" x14ac:dyDescent="0.3"/>
  <cols>
    <col min="1" max="1" width="39.21875" customWidth="1"/>
    <col min="2" max="2" width="93.33203125" customWidth="1"/>
    <col min="3" max="3" width="9.44140625" style="5" customWidth="1"/>
    <col min="4" max="4" width="19.77734375" style="5" customWidth="1"/>
    <col min="5" max="5" width="14.21875" style="5" customWidth="1"/>
    <col min="6" max="7" width="12" customWidth="1"/>
    <col min="8" max="8" width="10.77734375" customWidth="1"/>
    <col min="9" max="9" width="21.21875" customWidth="1"/>
  </cols>
  <sheetData>
    <row r="1" spans="1:9" s="29" customFormat="1" x14ac:dyDescent="0.3">
      <c r="A1" s="204" t="s">
        <v>1669</v>
      </c>
      <c r="B1" s="204"/>
      <c r="C1" s="47"/>
      <c r="D1" s="47"/>
      <c r="E1" s="91"/>
      <c r="I1" s="31"/>
    </row>
    <row r="2" spans="1:9" s="33" customFormat="1" x14ac:dyDescent="0.3">
      <c r="A2" s="120" t="s">
        <v>105</v>
      </c>
      <c r="B2" s="32"/>
      <c r="D2" s="63"/>
      <c r="E2" s="92"/>
      <c r="F2" s="32"/>
      <c r="G2" s="32"/>
      <c r="H2" s="32"/>
    </row>
    <row r="3" spans="1:9" s="66" customFormat="1" x14ac:dyDescent="0.3">
      <c r="A3" s="66" t="s">
        <v>1670</v>
      </c>
      <c r="B3" s="68"/>
      <c r="C3" s="70"/>
      <c r="D3" s="70"/>
      <c r="E3" s="115"/>
      <c r="F3" s="68"/>
      <c r="G3" s="70"/>
    </row>
    <row r="4" spans="1:9" s="17" customFormat="1" x14ac:dyDescent="0.3">
      <c r="A4" s="17" t="s">
        <v>85</v>
      </c>
      <c r="B4" s="17" t="s">
        <v>52</v>
      </c>
      <c r="C4" s="49" t="s">
        <v>184</v>
      </c>
      <c r="D4" s="95" t="s">
        <v>106</v>
      </c>
      <c r="E4" s="49" t="s">
        <v>183</v>
      </c>
      <c r="F4" s="17">
        <v>2030</v>
      </c>
      <c r="G4" s="17">
        <v>2040</v>
      </c>
      <c r="H4" s="49">
        <v>2050</v>
      </c>
      <c r="I4" s="15"/>
    </row>
    <row r="5" spans="1:9" x14ac:dyDescent="0.3">
      <c r="A5" t="s">
        <v>218</v>
      </c>
      <c r="B5" s="13" t="s">
        <v>244</v>
      </c>
      <c r="C5" s="5">
        <v>20000</v>
      </c>
      <c r="D5" s="5">
        <v>20000</v>
      </c>
      <c r="E5" s="5">
        <v>20000</v>
      </c>
      <c r="F5" s="5">
        <v>20000</v>
      </c>
      <c r="G5" s="5">
        <v>20000</v>
      </c>
      <c r="H5" s="5">
        <v>20000</v>
      </c>
    </row>
    <row r="6" spans="1:9" x14ac:dyDescent="0.3">
      <c r="A6" t="s">
        <v>107</v>
      </c>
      <c r="B6" s="13" t="s">
        <v>202</v>
      </c>
      <c r="C6" s="80">
        <f>$C$45</f>
        <v>0.6</v>
      </c>
      <c r="D6" s="80">
        <f>$C$46</f>
        <v>0.4</v>
      </c>
      <c r="E6" s="80">
        <f>$C$48</f>
        <v>0.1</v>
      </c>
      <c r="F6" s="81">
        <f>$C$48</f>
        <v>0.1</v>
      </c>
      <c r="G6" s="81">
        <f>$C$48</f>
        <v>0.1</v>
      </c>
      <c r="H6" s="81">
        <f>$C$48</f>
        <v>0.1</v>
      </c>
    </row>
    <row r="7" spans="1:9" x14ac:dyDescent="0.3">
      <c r="A7" t="s">
        <v>417</v>
      </c>
      <c r="B7" s="13" t="s">
        <v>202</v>
      </c>
      <c r="C7" s="79">
        <v>1</v>
      </c>
      <c r="D7" s="79">
        <v>1</v>
      </c>
      <c r="E7" s="79">
        <v>1</v>
      </c>
      <c r="F7" s="79">
        <v>1</v>
      </c>
      <c r="G7" s="79">
        <v>1</v>
      </c>
      <c r="H7" s="79">
        <v>1</v>
      </c>
    </row>
    <row r="8" spans="1:9" x14ac:dyDescent="0.3">
      <c r="A8" t="s">
        <v>354</v>
      </c>
      <c r="B8" s="13" t="s">
        <v>420</v>
      </c>
      <c r="C8" s="79">
        <f t="shared" ref="C8:E9" si="0">$C$53</f>
        <v>0.2</v>
      </c>
      <c r="D8" s="79">
        <f t="shared" si="0"/>
        <v>0.2</v>
      </c>
      <c r="E8" s="79">
        <f t="shared" si="0"/>
        <v>0.2</v>
      </c>
      <c r="F8" s="79">
        <v>1</v>
      </c>
      <c r="G8" s="79">
        <v>1</v>
      </c>
      <c r="H8" s="79">
        <v>1</v>
      </c>
    </row>
    <row r="9" spans="1:9" x14ac:dyDescent="0.3">
      <c r="A9" t="s">
        <v>355</v>
      </c>
      <c r="B9" s="13" t="s">
        <v>421</v>
      </c>
      <c r="C9" s="79">
        <f t="shared" si="0"/>
        <v>0.2</v>
      </c>
      <c r="D9" s="79">
        <f t="shared" si="0"/>
        <v>0.2</v>
      </c>
      <c r="E9" s="79">
        <f t="shared" si="0"/>
        <v>0.2</v>
      </c>
      <c r="F9" s="79">
        <v>1</v>
      </c>
      <c r="G9" s="79">
        <v>1</v>
      </c>
      <c r="H9" s="79">
        <v>1</v>
      </c>
    </row>
    <row r="10" spans="1:9" x14ac:dyDescent="0.3">
      <c r="A10" t="s">
        <v>763</v>
      </c>
      <c r="B10" s="13" t="s">
        <v>114</v>
      </c>
      <c r="C10" s="82">
        <f t="shared" ref="C10:H10" si="1">$C$71</f>
        <v>0.89932604651162795</v>
      </c>
      <c r="D10" s="82">
        <f t="shared" si="1"/>
        <v>0.89932604651162795</v>
      </c>
      <c r="E10" s="82">
        <f t="shared" si="1"/>
        <v>0.89932604651162795</v>
      </c>
      <c r="F10" s="82">
        <f t="shared" si="1"/>
        <v>0.89932604651162795</v>
      </c>
      <c r="G10" s="82">
        <f t="shared" si="1"/>
        <v>0.89932604651162795</v>
      </c>
      <c r="H10" s="82">
        <f t="shared" si="1"/>
        <v>0.89932604651162795</v>
      </c>
    </row>
    <row r="11" spans="1:9" x14ac:dyDescent="0.3">
      <c r="A11" t="s">
        <v>1630</v>
      </c>
      <c r="B11" s="13" t="s">
        <v>114</v>
      </c>
      <c r="C11">
        <f t="shared" ref="C11:H11" si="2">$C$57</f>
        <v>0.64</v>
      </c>
      <c r="D11">
        <f t="shared" si="2"/>
        <v>0.64</v>
      </c>
      <c r="E11">
        <f t="shared" si="2"/>
        <v>0.64</v>
      </c>
      <c r="F11">
        <f t="shared" si="2"/>
        <v>0.64</v>
      </c>
      <c r="G11">
        <f t="shared" si="2"/>
        <v>0.64</v>
      </c>
      <c r="H11">
        <f t="shared" si="2"/>
        <v>0.64</v>
      </c>
    </row>
    <row r="12" spans="1:9" x14ac:dyDescent="0.3">
      <c r="A12" t="s">
        <v>385</v>
      </c>
      <c r="B12" s="13" t="s">
        <v>537</v>
      </c>
      <c r="C12">
        <f t="shared" ref="C12:H12" si="3">$C$77</f>
        <v>5.2910052910052912</v>
      </c>
      <c r="D12">
        <f t="shared" si="3"/>
        <v>5.2910052910052912</v>
      </c>
      <c r="E12">
        <f t="shared" si="3"/>
        <v>5.2910052910052912</v>
      </c>
      <c r="F12">
        <f t="shared" si="3"/>
        <v>5.2910052910052912</v>
      </c>
      <c r="G12">
        <f t="shared" si="3"/>
        <v>5.2910052910052912</v>
      </c>
      <c r="H12">
        <f t="shared" si="3"/>
        <v>5.2910052910052912</v>
      </c>
    </row>
    <row r="13" spans="1:9" x14ac:dyDescent="0.3">
      <c r="A13" t="s">
        <v>1779</v>
      </c>
      <c r="B13" s="13" t="s">
        <v>339</v>
      </c>
      <c r="C13" s="5">
        <f t="shared" ref="C13:H13" si="4">$C$84</f>
        <v>4285</v>
      </c>
      <c r="D13" s="5">
        <f t="shared" si="4"/>
        <v>4285</v>
      </c>
      <c r="E13" s="5">
        <f t="shared" si="4"/>
        <v>4285</v>
      </c>
      <c r="F13" s="5">
        <f t="shared" si="4"/>
        <v>4285</v>
      </c>
      <c r="G13" s="5">
        <f t="shared" si="4"/>
        <v>4285</v>
      </c>
      <c r="H13" s="5">
        <f t="shared" si="4"/>
        <v>4285</v>
      </c>
    </row>
    <row r="14" spans="1:9" x14ac:dyDescent="0.3">
      <c r="A14" t="s">
        <v>1750</v>
      </c>
      <c r="B14" s="13" t="s">
        <v>338</v>
      </c>
      <c r="C14">
        <f t="shared" ref="C14:H14" si="5">$C$100</f>
        <v>601.20242165949537</v>
      </c>
      <c r="D14">
        <f t="shared" si="5"/>
        <v>601.20242165949537</v>
      </c>
      <c r="E14">
        <f t="shared" si="5"/>
        <v>601.20242165949537</v>
      </c>
      <c r="F14">
        <f t="shared" si="5"/>
        <v>601.20242165949537</v>
      </c>
      <c r="G14">
        <f t="shared" si="5"/>
        <v>601.20242165949537</v>
      </c>
      <c r="H14">
        <f t="shared" si="5"/>
        <v>601.20242165949537</v>
      </c>
    </row>
    <row r="15" spans="1:9" x14ac:dyDescent="0.3">
      <c r="A15" t="s">
        <v>1752</v>
      </c>
      <c r="B15" s="13" t="s">
        <v>39</v>
      </c>
      <c r="C15">
        <f>$C$109</f>
        <v>2.0855800000000002E-4</v>
      </c>
      <c r="D15">
        <f>$C$108</f>
        <v>1.0427900000000001E-4</v>
      </c>
      <c r="E15">
        <f>$C$107</f>
        <v>5.2139500000000005E-5</v>
      </c>
      <c r="F15" s="14">
        <f>$C$108</f>
        <v>1.0427900000000001E-4</v>
      </c>
      <c r="G15" s="14">
        <f>$C$108</f>
        <v>1.0427900000000001E-4</v>
      </c>
      <c r="H15" s="14">
        <f>$C$108</f>
        <v>1.0427900000000001E-4</v>
      </c>
    </row>
    <row r="16" spans="1:9" x14ac:dyDescent="0.3">
      <c r="A16" t="s">
        <v>108</v>
      </c>
      <c r="B16" s="13" t="s">
        <v>152</v>
      </c>
      <c r="C16">
        <v>0.2</v>
      </c>
      <c r="D16" s="5">
        <v>0.23</v>
      </c>
      <c r="E16" s="14">
        <v>0.435</v>
      </c>
      <c r="F16" s="14">
        <v>0.435</v>
      </c>
      <c r="G16" s="14">
        <v>0.435</v>
      </c>
      <c r="H16" s="14">
        <v>0.435</v>
      </c>
    </row>
    <row r="17" spans="1:9" x14ac:dyDescent="0.3">
      <c r="A17" t="s">
        <v>110</v>
      </c>
      <c r="B17" s="13" t="s">
        <v>201</v>
      </c>
      <c r="C17">
        <f t="shared" ref="C17:H17" si="6">$C$119</f>
        <v>25</v>
      </c>
      <c r="D17">
        <f t="shared" si="6"/>
        <v>25</v>
      </c>
      <c r="E17">
        <f t="shared" si="6"/>
        <v>25</v>
      </c>
      <c r="F17">
        <f t="shared" si="6"/>
        <v>25</v>
      </c>
      <c r="G17">
        <f t="shared" si="6"/>
        <v>25</v>
      </c>
      <c r="H17">
        <f t="shared" si="6"/>
        <v>25</v>
      </c>
    </row>
    <row r="18" spans="1:9" x14ac:dyDescent="0.3">
      <c r="A18" t="s">
        <v>103</v>
      </c>
      <c r="B18" s="13" t="s">
        <v>51</v>
      </c>
      <c r="C18">
        <f>Annuities!$AF$10</f>
        <v>9.3678779051968114E-2</v>
      </c>
      <c r="D18">
        <f>Annuities!$AG$10</f>
        <v>9.3678779051968114E-2</v>
      </c>
      <c r="E18">
        <f>Annuities!$AH$10</f>
        <v>9.3678779051968114E-2</v>
      </c>
      <c r="F18">
        <f>Annuities!$AI$10</f>
        <v>8.9946873351580109E-2</v>
      </c>
      <c r="G18">
        <f>Annuities!$AJ$10</f>
        <v>9.3678779051968114E-2</v>
      </c>
      <c r="H18">
        <f>Annuities!$AK$10</f>
        <v>9.3678779051968114E-2</v>
      </c>
    </row>
    <row r="19" spans="1:9" x14ac:dyDescent="0.3">
      <c r="A19" t="s">
        <v>1642</v>
      </c>
      <c r="B19" s="13" t="s">
        <v>1694</v>
      </c>
      <c r="C19" s="126">
        <f>$C$156+$C$133</f>
        <v>22.714018844166667</v>
      </c>
      <c r="D19" s="126">
        <f>$C$156+$C$133</f>
        <v>22.714018844166667</v>
      </c>
      <c r="E19" s="126">
        <f>$C$156+$C$133</f>
        <v>22.714018844166667</v>
      </c>
      <c r="F19" s="126">
        <f>$C$157+$C$134</f>
        <v>15.308923045750001</v>
      </c>
      <c r="G19" s="126">
        <f>$C$158+$C$135</f>
        <v>8.1164615228749994</v>
      </c>
      <c r="H19" s="126">
        <f>$C$159+$C$136</f>
        <v>1.1357009422083335</v>
      </c>
    </row>
    <row r="20" spans="1:9" x14ac:dyDescent="0.3">
      <c r="A20" t="s">
        <v>1651</v>
      </c>
      <c r="B20" s="13" t="s">
        <v>1695</v>
      </c>
      <c r="C20" s="126">
        <v>0</v>
      </c>
      <c r="D20" s="126">
        <v>0</v>
      </c>
      <c r="E20" s="126">
        <v>0</v>
      </c>
      <c r="F20" s="126">
        <v>0</v>
      </c>
      <c r="G20" s="126">
        <v>0</v>
      </c>
      <c r="H20" s="126">
        <v>0</v>
      </c>
    </row>
    <row r="21" spans="1:9" x14ac:dyDescent="0.3">
      <c r="B21" s="13"/>
      <c r="D21" s="114"/>
      <c r="E21" s="114"/>
      <c r="F21" s="13"/>
      <c r="G21" s="5"/>
    </row>
    <row r="22" spans="1:9" s="66" customFormat="1" x14ac:dyDescent="0.3">
      <c r="A22" s="66" t="s">
        <v>1671</v>
      </c>
      <c r="B22" s="68"/>
      <c r="C22" s="70"/>
      <c r="D22" s="70"/>
      <c r="E22" s="115"/>
      <c r="F22" s="68"/>
      <c r="G22" s="70"/>
    </row>
    <row r="23" spans="1:9" s="17" customFormat="1" x14ac:dyDescent="0.3">
      <c r="A23" s="17" t="s">
        <v>85</v>
      </c>
      <c r="B23" s="17" t="s">
        <v>52</v>
      </c>
      <c r="C23" s="49" t="s">
        <v>184</v>
      </c>
      <c r="D23" s="95" t="s">
        <v>106</v>
      </c>
      <c r="E23" s="49" t="s">
        <v>183</v>
      </c>
      <c r="F23" s="17">
        <v>2030</v>
      </c>
      <c r="G23" s="17">
        <v>2040</v>
      </c>
      <c r="H23" s="49">
        <v>2050</v>
      </c>
      <c r="I23" s="15"/>
    </row>
    <row r="24" spans="1:9" x14ac:dyDescent="0.3">
      <c r="A24" t="s">
        <v>218</v>
      </c>
      <c r="B24" s="13" t="s">
        <v>244</v>
      </c>
      <c r="C24" s="5">
        <v>20000</v>
      </c>
      <c r="D24" s="5">
        <v>20000</v>
      </c>
      <c r="E24" s="5">
        <v>20000</v>
      </c>
      <c r="F24" s="5">
        <v>20000</v>
      </c>
      <c r="G24" s="5">
        <v>20000</v>
      </c>
      <c r="H24" s="5">
        <v>20000</v>
      </c>
    </row>
    <row r="25" spans="1:9" x14ac:dyDescent="0.3">
      <c r="A25" t="s">
        <v>107</v>
      </c>
      <c r="B25" s="13" t="s">
        <v>202</v>
      </c>
      <c r="C25" s="80">
        <f>$C$45</f>
        <v>0.6</v>
      </c>
      <c r="D25" s="80">
        <f>$C$46</f>
        <v>0.4</v>
      </c>
      <c r="E25" s="80">
        <f>$C$48</f>
        <v>0.1</v>
      </c>
      <c r="F25" s="81">
        <f>$C$48</f>
        <v>0.1</v>
      </c>
      <c r="G25" s="81">
        <f>$C$48</f>
        <v>0.1</v>
      </c>
      <c r="H25" s="81">
        <f>$C$48</f>
        <v>0.1</v>
      </c>
    </row>
    <row r="26" spans="1:9" x14ac:dyDescent="0.3">
      <c r="A26" t="s">
        <v>417</v>
      </c>
      <c r="B26" s="13" t="s">
        <v>202</v>
      </c>
      <c r="C26" s="79">
        <v>1</v>
      </c>
      <c r="D26" s="79">
        <v>1</v>
      </c>
      <c r="E26" s="79">
        <v>1</v>
      </c>
      <c r="F26" s="79">
        <v>1</v>
      </c>
      <c r="G26" s="79">
        <v>1</v>
      </c>
      <c r="H26" s="79">
        <v>1</v>
      </c>
    </row>
    <row r="27" spans="1:9" x14ac:dyDescent="0.3">
      <c r="A27" t="s">
        <v>354</v>
      </c>
      <c r="B27" s="13" t="s">
        <v>420</v>
      </c>
      <c r="C27" s="79">
        <f t="shared" ref="C27:E28" si="7">$C$53</f>
        <v>0.2</v>
      </c>
      <c r="D27" s="79">
        <f t="shared" si="7"/>
        <v>0.2</v>
      </c>
      <c r="E27" s="79">
        <f t="shared" si="7"/>
        <v>0.2</v>
      </c>
      <c r="F27" s="79">
        <v>1</v>
      </c>
      <c r="G27" s="79">
        <v>1</v>
      </c>
      <c r="H27" s="79">
        <v>1</v>
      </c>
    </row>
    <row r="28" spans="1:9" x14ac:dyDescent="0.3">
      <c r="A28" t="s">
        <v>355</v>
      </c>
      <c r="B28" s="13" t="s">
        <v>421</v>
      </c>
      <c r="C28" s="79">
        <f t="shared" si="7"/>
        <v>0.2</v>
      </c>
      <c r="D28" s="79">
        <f t="shared" si="7"/>
        <v>0.2</v>
      </c>
      <c r="E28" s="79">
        <f t="shared" si="7"/>
        <v>0.2</v>
      </c>
      <c r="F28" s="79">
        <v>1</v>
      </c>
      <c r="G28" s="79">
        <v>1</v>
      </c>
      <c r="H28" s="79">
        <v>1</v>
      </c>
    </row>
    <row r="29" spans="1:9" x14ac:dyDescent="0.3">
      <c r="A29" t="s">
        <v>763</v>
      </c>
      <c r="B29" s="13" t="s">
        <v>114</v>
      </c>
      <c r="C29" s="82">
        <f t="shared" ref="C29:H29" si="8">$C$72</f>
        <v>0.55004651162790696</v>
      </c>
      <c r="D29" s="82">
        <f t="shared" si="8"/>
        <v>0.55004651162790696</v>
      </c>
      <c r="E29" s="82">
        <f t="shared" si="8"/>
        <v>0.55004651162790696</v>
      </c>
      <c r="F29" s="82">
        <f t="shared" si="8"/>
        <v>0.55004651162790696</v>
      </c>
      <c r="G29" s="82">
        <f t="shared" si="8"/>
        <v>0.55004651162790696</v>
      </c>
      <c r="H29" s="82">
        <f t="shared" si="8"/>
        <v>0.55004651162790696</v>
      </c>
    </row>
    <row r="30" spans="1:9" x14ac:dyDescent="0.3">
      <c r="A30" t="s">
        <v>1630</v>
      </c>
      <c r="B30" s="13" t="s">
        <v>114</v>
      </c>
      <c r="C30">
        <f t="shared" ref="C30:H30" si="9">$C$57</f>
        <v>0.64</v>
      </c>
      <c r="D30">
        <f t="shared" si="9"/>
        <v>0.64</v>
      </c>
      <c r="E30">
        <f t="shared" si="9"/>
        <v>0.64</v>
      </c>
      <c r="F30">
        <f t="shared" si="9"/>
        <v>0.64</v>
      </c>
      <c r="G30">
        <f t="shared" si="9"/>
        <v>0.64</v>
      </c>
      <c r="H30">
        <f t="shared" si="9"/>
        <v>0.64</v>
      </c>
    </row>
    <row r="31" spans="1:9" x14ac:dyDescent="0.3">
      <c r="A31" t="s">
        <v>385</v>
      </c>
      <c r="B31" s="13" t="s">
        <v>537</v>
      </c>
      <c r="C31">
        <f t="shared" ref="C31:H31" si="10">$C$77</f>
        <v>5.2910052910052912</v>
      </c>
      <c r="D31">
        <f t="shared" si="10"/>
        <v>5.2910052910052912</v>
      </c>
      <c r="E31">
        <f t="shared" si="10"/>
        <v>5.2910052910052912</v>
      </c>
      <c r="F31">
        <f t="shared" si="10"/>
        <v>5.2910052910052912</v>
      </c>
      <c r="G31">
        <f t="shared" si="10"/>
        <v>5.2910052910052912</v>
      </c>
      <c r="H31">
        <f t="shared" si="10"/>
        <v>5.2910052910052912</v>
      </c>
    </row>
    <row r="32" spans="1:9" x14ac:dyDescent="0.3">
      <c r="A32" t="s">
        <v>1779</v>
      </c>
      <c r="B32" s="13" t="s">
        <v>339</v>
      </c>
      <c r="C32" s="5">
        <f t="shared" ref="C32:H32" si="11">$C$84</f>
        <v>4285</v>
      </c>
      <c r="D32" s="5">
        <f t="shared" si="11"/>
        <v>4285</v>
      </c>
      <c r="E32" s="5">
        <f t="shared" si="11"/>
        <v>4285</v>
      </c>
      <c r="F32" s="5">
        <f t="shared" si="11"/>
        <v>4285</v>
      </c>
      <c r="G32" s="5">
        <f t="shared" si="11"/>
        <v>4285</v>
      </c>
      <c r="H32" s="5">
        <f t="shared" si="11"/>
        <v>4285</v>
      </c>
    </row>
    <row r="33" spans="1:9" x14ac:dyDescent="0.3">
      <c r="A33" t="s">
        <v>1750</v>
      </c>
      <c r="B33" s="13" t="s">
        <v>338</v>
      </c>
      <c r="C33">
        <f t="shared" ref="C33:H33" si="12">$C$100</f>
        <v>601.20242165949537</v>
      </c>
      <c r="D33">
        <f t="shared" si="12"/>
        <v>601.20242165949537</v>
      </c>
      <c r="E33">
        <f t="shared" si="12"/>
        <v>601.20242165949537</v>
      </c>
      <c r="F33">
        <f t="shared" si="12"/>
        <v>601.20242165949537</v>
      </c>
      <c r="G33">
        <f t="shared" si="12"/>
        <v>601.20242165949537</v>
      </c>
      <c r="H33">
        <f t="shared" si="12"/>
        <v>601.20242165949537</v>
      </c>
    </row>
    <row r="34" spans="1:9" x14ac:dyDescent="0.3">
      <c r="A34" t="s">
        <v>1751</v>
      </c>
      <c r="B34" s="13" t="s">
        <v>39</v>
      </c>
      <c r="C34">
        <f>$C$109</f>
        <v>2.0855800000000002E-4</v>
      </c>
      <c r="D34">
        <f>$C$108</f>
        <v>1.0427900000000001E-4</v>
      </c>
      <c r="E34">
        <f>$C$107</f>
        <v>5.2139500000000005E-5</v>
      </c>
      <c r="F34" s="14">
        <f>$C$108</f>
        <v>1.0427900000000001E-4</v>
      </c>
      <c r="G34" s="14">
        <f>$C$108</f>
        <v>1.0427900000000001E-4</v>
      </c>
      <c r="H34" s="14">
        <f>$C$108</f>
        <v>1.0427900000000001E-4</v>
      </c>
    </row>
    <row r="35" spans="1:9" x14ac:dyDescent="0.3">
      <c r="A35" t="s">
        <v>108</v>
      </c>
      <c r="B35" s="13" t="s">
        <v>152</v>
      </c>
      <c r="C35">
        <v>0.2</v>
      </c>
      <c r="D35" s="5">
        <v>0.23</v>
      </c>
      <c r="E35" s="14">
        <v>0.435</v>
      </c>
      <c r="F35" s="14">
        <v>0.435</v>
      </c>
      <c r="G35" s="14">
        <v>0.435</v>
      </c>
      <c r="H35" s="14">
        <v>0.435</v>
      </c>
    </row>
    <row r="36" spans="1:9" x14ac:dyDescent="0.3">
      <c r="A36" t="s">
        <v>110</v>
      </c>
      <c r="B36" s="13" t="s">
        <v>201</v>
      </c>
      <c r="C36">
        <f t="shared" ref="C36:H36" si="13">$C$119</f>
        <v>25</v>
      </c>
      <c r="D36">
        <f t="shared" si="13"/>
        <v>25</v>
      </c>
      <c r="E36">
        <f t="shared" si="13"/>
        <v>25</v>
      </c>
      <c r="F36">
        <f t="shared" si="13"/>
        <v>25</v>
      </c>
      <c r="G36">
        <f t="shared" si="13"/>
        <v>25</v>
      </c>
      <c r="H36">
        <f t="shared" si="13"/>
        <v>25</v>
      </c>
    </row>
    <row r="37" spans="1:9" x14ac:dyDescent="0.3">
      <c r="A37" t="s">
        <v>103</v>
      </c>
      <c r="B37" s="13" t="s">
        <v>51</v>
      </c>
      <c r="C37">
        <f>Annuities!$AF$10</f>
        <v>9.3678779051968114E-2</v>
      </c>
      <c r="D37">
        <f>Annuities!$AG$10</f>
        <v>9.3678779051968114E-2</v>
      </c>
      <c r="E37">
        <f>Annuities!$AH$10</f>
        <v>9.3678779051968114E-2</v>
      </c>
      <c r="F37">
        <f>Annuities!$AI$10</f>
        <v>8.9946873351580109E-2</v>
      </c>
      <c r="G37">
        <f>Annuities!$AJ$10</f>
        <v>9.3678779051968114E-2</v>
      </c>
      <c r="H37">
        <f>Annuities!$AK$10</f>
        <v>9.3678779051968114E-2</v>
      </c>
    </row>
    <row r="38" spans="1:9" x14ac:dyDescent="0.3">
      <c r="A38" t="s">
        <v>1642</v>
      </c>
      <c r="B38" s="13" t="s">
        <v>1694</v>
      </c>
      <c r="C38" s="126">
        <f>$C$156+$C$133</f>
        <v>22.714018844166667</v>
      </c>
      <c r="D38" s="126">
        <f>$C$156+$C$133</f>
        <v>22.714018844166667</v>
      </c>
      <c r="E38" s="126">
        <f>$C$156+$C$133</f>
        <v>22.714018844166667</v>
      </c>
      <c r="F38" s="126">
        <f>$C$157+$C$134</f>
        <v>15.308923045750001</v>
      </c>
      <c r="G38" s="126">
        <f>$C$158+$C$135</f>
        <v>8.1164615228749994</v>
      </c>
      <c r="H38" s="126">
        <f>$C$159+$C$136</f>
        <v>1.1357009422083335</v>
      </c>
    </row>
    <row r="39" spans="1:9" x14ac:dyDescent="0.3">
      <c r="A39" t="s">
        <v>1651</v>
      </c>
      <c r="B39" s="13" t="s">
        <v>1695</v>
      </c>
      <c r="C39" s="126">
        <v>0</v>
      </c>
      <c r="D39" s="126">
        <v>0</v>
      </c>
      <c r="E39" s="126">
        <v>0</v>
      </c>
      <c r="F39" s="126">
        <v>0</v>
      </c>
      <c r="G39" s="126">
        <v>0</v>
      </c>
      <c r="H39" s="126">
        <v>0</v>
      </c>
    </row>
    <row r="41" spans="1:9" s="33" customFormat="1" x14ac:dyDescent="0.3">
      <c r="A41" s="32" t="s">
        <v>203</v>
      </c>
      <c r="B41" s="32"/>
      <c r="D41" s="63"/>
      <c r="E41" s="92"/>
      <c r="F41" s="32"/>
      <c r="G41" s="32"/>
      <c r="H41" s="32"/>
    </row>
    <row r="42" spans="1:9" s="66" customFormat="1" x14ac:dyDescent="0.3">
      <c r="A42" s="66" t="s">
        <v>1018</v>
      </c>
      <c r="B42" s="68"/>
      <c r="C42" s="70"/>
      <c r="D42" s="70"/>
      <c r="E42" s="115"/>
      <c r="F42" s="110"/>
      <c r="G42" s="110"/>
      <c r="H42" s="110"/>
    </row>
    <row r="43" spans="1:9" x14ac:dyDescent="0.3">
      <c r="A43" s="17" t="s">
        <v>85</v>
      </c>
      <c r="B43" s="17" t="s">
        <v>82</v>
      </c>
      <c r="C43" s="49" t="s">
        <v>49</v>
      </c>
      <c r="D43" s="49" t="s">
        <v>52</v>
      </c>
      <c r="E43" s="95" t="s">
        <v>58</v>
      </c>
      <c r="F43" s="35" t="s">
        <v>93</v>
      </c>
      <c r="G43" s="35" t="s">
        <v>80</v>
      </c>
      <c r="H43" s="35" t="s">
        <v>59</v>
      </c>
    </row>
    <row r="44" spans="1:9" x14ac:dyDescent="0.3">
      <c r="A44" s="13"/>
      <c r="B44" s="13"/>
      <c r="C44"/>
      <c r="E44" s="14"/>
      <c r="F44" s="5"/>
      <c r="G44" s="5"/>
      <c r="I44" s="5"/>
    </row>
    <row r="45" spans="1:9" x14ac:dyDescent="0.3">
      <c r="A45" s="203" t="s">
        <v>169</v>
      </c>
      <c r="B45" s="58" t="s">
        <v>177</v>
      </c>
      <c r="C45" s="22">
        <v>0.6</v>
      </c>
      <c r="D45" s="5" t="s">
        <v>170</v>
      </c>
      <c r="E45" s="14" t="str">
        <f>Sources!A2</f>
        <v>Armijo2020</v>
      </c>
      <c r="F45" s="5" t="str">
        <f>Sources!A4</f>
        <v>Cheema2018</v>
      </c>
      <c r="G45" t="str">
        <f>Sources!A6</f>
        <v>Wiley&amp;Sons2013</v>
      </c>
      <c r="H45" t="s">
        <v>181</v>
      </c>
      <c r="I45" s="5"/>
    </row>
    <row r="46" spans="1:9" s="45" customFormat="1" x14ac:dyDescent="0.3">
      <c r="A46" s="203"/>
      <c r="B46" s="43" t="s">
        <v>623</v>
      </c>
      <c r="C46" s="143">
        <v>0.4</v>
      </c>
      <c r="D46" s="53" t="s">
        <v>170</v>
      </c>
      <c r="E46" s="44" t="str">
        <f>Sources!A50</f>
        <v>IEA2019</v>
      </c>
      <c r="F46" s="53"/>
      <c r="I46" s="53"/>
    </row>
    <row r="47" spans="1:9" x14ac:dyDescent="0.3">
      <c r="A47" s="203"/>
      <c r="B47" s="58" t="s">
        <v>624</v>
      </c>
      <c r="C47" s="22">
        <v>0.2</v>
      </c>
      <c r="D47" s="5" t="s">
        <v>170</v>
      </c>
      <c r="E47" s="14" t="str">
        <f>Sources!A50</f>
        <v>IEA2019</v>
      </c>
      <c r="F47" s="5"/>
      <c r="I47" s="5"/>
    </row>
    <row r="48" spans="1:9" x14ac:dyDescent="0.3">
      <c r="A48" s="203"/>
      <c r="B48" s="58" t="s">
        <v>812</v>
      </c>
      <c r="C48" s="22">
        <v>0.1</v>
      </c>
      <c r="D48" s="5" t="s">
        <v>170</v>
      </c>
      <c r="E48" s="14" t="str">
        <f>Sources!A61</f>
        <v>Ammonfuel2020</v>
      </c>
      <c r="F48" s="5"/>
      <c r="I48" s="5"/>
    </row>
    <row r="49" spans="1:9" s="60" customFormat="1" x14ac:dyDescent="0.3">
      <c r="A49" s="203"/>
      <c r="B49" s="58" t="s">
        <v>182</v>
      </c>
      <c r="C49" s="96">
        <v>0.2</v>
      </c>
      <c r="D49" s="61" t="s">
        <v>170</v>
      </c>
      <c r="E49" s="62" t="str">
        <f>Sources!A2</f>
        <v>Armijo2020</v>
      </c>
      <c r="F49" s="61"/>
      <c r="G49" s="61" t="str">
        <f>Sources!A5</f>
        <v>Ostuni&amp;Zardi 2016</v>
      </c>
      <c r="H49" s="60" t="s">
        <v>176</v>
      </c>
      <c r="I49" s="61"/>
    </row>
    <row r="50" spans="1:9" s="45" customFormat="1" x14ac:dyDescent="0.3">
      <c r="A50" s="8"/>
      <c r="B50" s="43"/>
      <c r="D50" s="53"/>
      <c r="E50" s="44"/>
      <c r="F50" s="53"/>
      <c r="G50" s="53"/>
      <c r="I50" s="53"/>
    </row>
    <row r="51" spans="1:9" s="60" customFormat="1" x14ac:dyDescent="0.3">
      <c r="A51" s="59" t="s">
        <v>417</v>
      </c>
      <c r="B51" s="58" t="s">
        <v>762</v>
      </c>
      <c r="C51" s="96">
        <v>1.05</v>
      </c>
      <c r="D51" s="61" t="s">
        <v>170</v>
      </c>
      <c r="E51" s="62" t="str">
        <f>Sources!A2</f>
        <v>Armijo2020</v>
      </c>
      <c r="F51" s="61"/>
      <c r="G51" s="61"/>
      <c r="I51" s="61"/>
    </row>
    <row r="52" spans="1:9" s="45" customFormat="1" x14ac:dyDescent="0.3">
      <c r="A52" s="8"/>
      <c r="B52" s="43"/>
      <c r="D52" s="53"/>
      <c r="E52" s="44"/>
      <c r="F52" s="53"/>
      <c r="G52" s="53"/>
      <c r="I52" s="53"/>
    </row>
    <row r="53" spans="1:9" s="60" customFormat="1" x14ac:dyDescent="0.3">
      <c r="A53" s="59" t="s">
        <v>758</v>
      </c>
      <c r="B53" s="58" t="s">
        <v>759</v>
      </c>
      <c r="C53" s="96">
        <v>0.2</v>
      </c>
      <c r="D53" s="61" t="s">
        <v>760</v>
      </c>
      <c r="E53" s="62" t="str">
        <f>Sources!A2</f>
        <v>Armijo2020</v>
      </c>
      <c r="F53" s="61"/>
      <c r="G53" s="61"/>
      <c r="H53" s="60" t="s">
        <v>761</v>
      </c>
      <c r="I53" s="61"/>
    </row>
    <row r="54" spans="1:9" s="60" customFormat="1" x14ac:dyDescent="0.3">
      <c r="A54" s="59"/>
      <c r="D54" s="61"/>
      <c r="E54" s="62"/>
      <c r="F54" s="61"/>
      <c r="G54" s="61"/>
      <c r="I54" s="61"/>
    </row>
    <row r="55" spans="1:9" s="42" customFormat="1" ht="14.55" customHeight="1" x14ac:dyDescent="0.3">
      <c r="A55" s="205" t="s">
        <v>111</v>
      </c>
      <c r="B55" s="40" t="s">
        <v>68</v>
      </c>
      <c r="C55" s="41">
        <v>0.39</v>
      </c>
      <c r="D55" s="41" t="s">
        <v>23</v>
      </c>
      <c r="E55" s="42" t="str">
        <f>Sources!A10</f>
        <v>Blanco2018</v>
      </c>
      <c r="F55" s="42" t="str">
        <f>Sources!A11</f>
        <v>Bartels2008</v>
      </c>
      <c r="G55" s="51" t="str">
        <f>Sources!A13</f>
        <v>Gosnell2005</v>
      </c>
      <c r="H55" s="42" t="s">
        <v>141</v>
      </c>
    </row>
    <row r="56" spans="1:9" s="39" customFormat="1" ht="14.55" customHeight="1" x14ac:dyDescent="0.3">
      <c r="A56" s="205"/>
      <c r="B56" s="37" t="s">
        <v>77</v>
      </c>
      <c r="C56" s="38">
        <v>0.8</v>
      </c>
      <c r="D56" s="38" t="s">
        <v>23</v>
      </c>
      <c r="E56" s="39" t="str">
        <f>Sources!A10</f>
        <v>Blanco2018</v>
      </c>
      <c r="F56" s="37"/>
      <c r="G56" s="52" t="str">
        <f>Sources!A9</f>
        <v>Morgan2013</v>
      </c>
      <c r="H56" s="39" t="s">
        <v>118</v>
      </c>
    </row>
    <row r="57" spans="1:9" s="45" customFormat="1" ht="14.55" customHeight="1" x14ac:dyDescent="0.3">
      <c r="A57" s="205"/>
      <c r="B57" s="43" t="s">
        <v>119</v>
      </c>
      <c r="C57" s="44">
        <v>0.64</v>
      </c>
      <c r="D57" s="44" t="s">
        <v>23</v>
      </c>
      <c r="E57" s="45" t="str">
        <f>Sources!A7</f>
        <v>Ikäheimo2018</v>
      </c>
      <c r="F57" s="43"/>
      <c r="G57" s="53" t="str">
        <f>Sources!A9</f>
        <v>Morgan2013</v>
      </c>
      <c r="H57" s="45" t="s">
        <v>149</v>
      </c>
    </row>
    <row r="58" spans="1:9" x14ac:dyDescent="0.3">
      <c r="A58" s="205"/>
      <c r="B58" s="13"/>
      <c r="C58" s="14">
        <v>0.44</v>
      </c>
      <c r="D58" s="14" t="s">
        <v>23</v>
      </c>
      <c r="E58" t="str">
        <f>Sources!A7</f>
        <v>Ikäheimo2018</v>
      </c>
      <c r="F58" s="13"/>
      <c r="G58" s="5" t="str">
        <f>Sources!A12</f>
        <v>Dana2016</v>
      </c>
      <c r="H58" t="s">
        <v>94</v>
      </c>
    </row>
    <row r="59" spans="1:9" s="39" customFormat="1" x14ac:dyDescent="0.3">
      <c r="A59" s="205"/>
      <c r="B59" s="37"/>
      <c r="C59" s="38">
        <v>0.4</v>
      </c>
      <c r="D59" s="38" t="s">
        <v>23</v>
      </c>
      <c r="E59" s="39" t="str">
        <f>Sources!A7</f>
        <v>Ikäheimo2018</v>
      </c>
      <c r="F59" s="52" t="str">
        <f>Sources!A14</f>
        <v>Olson2017</v>
      </c>
      <c r="H59" s="39" t="s">
        <v>97</v>
      </c>
    </row>
    <row r="60" spans="1:9" x14ac:dyDescent="0.3">
      <c r="A60" s="205"/>
      <c r="B60" s="13" t="s">
        <v>117</v>
      </c>
      <c r="C60" s="14">
        <v>3.1</v>
      </c>
      <c r="D60" s="14" t="s">
        <v>23</v>
      </c>
      <c r="E60" t="str">
        <f>Sources!A16</f>
        <v>Palys2019</v>
      </c>
      <c r="F60" s="13"/>
      <c r="G60" s="5" t="str">
        <f>Sources!A17</f>
        <v>Palys2018</v>
      </c>
      <c r="H60" t="s">
        <v>122</v>
      </c>
    </row>
    <row r="61" spans="1:9" x14ac:dyDescent="0.3">
      <c r="A61" s="205"/>
      <c r="B61" s="13" t="s">
        <v>352</v>
      </c>
      <c r="C61" s="14">
        <v>7.2</v>
      </c>
      <c r="D61" s="14" t="s">
        <v>23</v>
      </c>
      <c r="E61" t="str">
        <f>Sources!A38</f>
        <v>Topsoe2016</v>
      </c>
      <c r="F61" s="13"/>
      <c r="G61" s="5"/>
    </row>
    <row r="62" spans="1:9" x14ac:dyDescent="0.3">
      <c r="A62" s="205"/>
      <c r="B62" s="13" t="s">
        <v>353</v>
      </c>
      <c r="C62" s="14">
        <v>9.1</v>
      </c>
      <c r="D62" s="14" t="s">
        <v>23</v>
      </c>
      <c r="E62" t="str">
        <f>Sources!A38</f>
        <v>Topsoe2016</v>
      </c>
      <c r="F62" s="13"/>
      <c r="G62" s="5"/>
    </row>
    <row r="63" spans="1:9" x14ac:dyDescent="0.3">
      <c r="A63" s="205"/>
      <c r="B63" s="13" t="s">
        <v>371</v>
      </c>
      <c r="C63" s="14">
        <v>0.6</v>
      </c>
      <c r="D63" s="14" t="s">
        <v>23</v>
      </c>
      <c r="E63" t="str">
        <f>Sources!A39</f>
        <v>Nayak-Luke2018</v>
      </c>
      <c r="F63" s="13"/>
      <c r="G63" s="5"/>
    </row>
    <row r="64" spans="1:9" x14ac:dyDescent="0.3">
      <c r="A64" s="205"/>
      <c r="B64" s="13" t="s">
        <v>1279</v>
      </c>
      <c r="C64" s="14">
        <f>0.22*(1/(3.6*10^-3))*'Fuel production cost'!C3*10^-3</f>
        <v>1.1366666666666667</v>
      </c>
      <c r="D64" s="14" t="s">
        <v>23</v>
      </c>
      <c r="E64" t="str">
        <f>Sources!A107</f>
        <v>Lester2020</v>
      </c>
      <c r="F64" s="13"/>
      <c r="G64" s="5"/>
    </row>
    <row r="65" spans="1:8" x14ac:dyDescent="0.3">
      <c r="A65" s="205"/>
      <c r="B65" s="13" t="s">
        <v>2188</v>
      </c>
      <c r="C65" s="14">
        <v>0.38</v>
      </c>
      <c r="D65" s="14" t="s">
        <v>23</v>
      </c>
      <c r="E65" t="str">
        <f>Sources!A137</f>
        <v>Campion2022</v>
      </c>
      <c r="F65" s="13"/>
      <c r="G65" s="5"/>
    </row>
    <row r="66" spans="1:8" x14ac:dyDescent="0.3">
      <c r="A66" s="205"/>
      <c r="B66" s="13" t="s">
        <v>2189</v>
      </c>
      <c r="C66" s="14">
        <v>0.83</v>
      </c>
      <c r="D66" s="14" t="s">
        <v>23</v>
      </c>
      <c r="E66" t="str">
        <f>Sources!A137</f>
        <v>Campion2022</v>
      </c>
      <c r="F66" s="13"/>
      <c r="G66" s="5"/>
    </row>
    <row r="67" spans="1:8" x14ac:dyDescent="0.3">
      <c r="A67" s="205"/>
      <c r="B67" s="13" t="s">
        <v>1665</v>
      </c>
      <c r="C67" s="14">
        <f>0.001*43/(430/7884)</f>
        <v>0.7884000000000001</v>
      </c>
      <c r="D67" s="14" t="s">
        <v>23</v>
      </c>
      <c r="E67" s="5" t="s">
        <v>1013</v>
      </c>
      <c r="F67" s="13"/>
      <c r="G67" s="5"/>
    </row>
    <row r="68" spans="1:8" x14ac:dyDescent="0.3">
      <c r="A68" s="205"/>
      <c r="B68" s="13" t="s">
        <v>1666</v>
      </c>
      <c r="C68">
        <f>0.001*22/(430/7884)</f>
        <v>0.40336744186046514</v>
      </c>
      <c r="D68" s="5" t="s">
        <v>23</v>
      </c>
      <c r="E68" s="5" t="s">
        <v>1013</v>
      </c>
      <c r="F68" s="13"/>
      <c r="G68" s="5"/>
    </row>
    <row r="69" spans="1:8" x14ac:dyDescent="0.3">
      <c r="A69" s="205"/>
      <c r="B69" s="13" t="s">
        <v>1667</v>
      </c>
      <c r="C69">
        <f>0.001*22/(430/7884)</f>
        <v>0.40336744186046514</v>
      </c>
      <c r="D69" s="5" t="s">
        <v>23</v>
      </c>
      <c r="E69" s="5" t="s">
        <v>1013</v>
      </c>
      <c r="F69" s="13"/>
      <c r="G69" s="5"/>
    </row>
    <row r="70" spans="1:8" x14ac:dyDescent="0.3">
      <c r="A70" s="9"/>
      <c r="B70" s="13"/>
      <c r="C70" s="14"/>
      <c r="D70" s="14"/>
      <c r="E70"/>
      <c r="F70" s="13"/>
      <c r="G70" s="5"/>
    </row>
    <row r="71" spans="1:8" x14ac:dyDescent="0.3">
      <c r="A71" s="205" t="s">
        <v>1009</v>
      </c>
      <c r="B71" s="13" t="s">
        <v>1663</v>
      </c>
      <c r="C71" s="14">
        <f>(0.001*54.5/(430/7884))*0.9</f>
        <v>0.89932604651162795</v>
      </c>
      <c r="D71" s="14" t="s">
        <v>23</v>
      </c>
      <c r="E71" s="5" t="s">
        <v>1012</v>
      </c>
      <c r="F71" s="13"/>
      <c r="G71" s="5"/>
    </row>
    <row r="72" spans="1:8" x14ac:dyDescent="0.3">
      <c r="A72" s="205"/>
      <c r="B72" s="13" t="s">
        <v>1664</v>
      </c>
      <c r="C72" s="14">
        <f>0.001*30/(430/7884)</f>
        <v>0.55004651162790696</v>
      </c>
      <c r="D72" s="14" t="s">
        <v>23</v>
      </c>
      <c r="E72" s="5" t="s">
        <v>1012</v>
      </c>
      <c r="F72" s="13"/>
      <c r="G72" s="5"/>
    </row>
    <row r="73" spans="1:8" x14ac:dyDescent="0.3">
      <c r="A73" s="205"/>
      <c r="B73" s="13" t="s">
        <v>1021</v>
      </c>
      <c r="C73" s="14">
        <v>1.59</v>
      </c>
      <c r="D73" s="14" t="s">
        <v>23</v>
      </c>
      <c r="E73" t="str">
        <f>Sources!A78</f>
        <v>Frattini2016</v>
      </c>
      <c r="F73" s="13"/>
      <c r="G73" s="5"/>
    </row>
    <row r="74" spans="1:8" x14ac:dyDescent="0.3">
      <c r="A74" s="205"/>
      <c r="C74"/>
      <c r="D74"/>
      <c r="E74"/>
      <c r="F74" s="13"/>
      <c r="G74" s="5"/>
    </row>
    <row r="75" spans="1:8" x14ac:dyDescent="0.3">
      <c r="A75" s="205"/>
      <c r="C75"/>
      <c r="D75"/>
      <c r="E75"/>
      <c r="F75" s="13"/>
      <c r="G75" s="5"/>
    </row>
    <row r="76" spans="1:8" x14ac:dyDescent="0.3">
      <c r="A76" s="9"/>
      <c r="B76" s="13"/>
      <c r="C76" s="14"/>
      <c r="D76" s="14"/>
      <c r="E76"/>
      <c r="F76" s="13"/>
      <c r="G76" s="5"/>
    </row>
    <row r="77" spans="1:8" x14ac:dyDescent="0.3">
      <c r="A77" s="203" t="s">
        <v>385</v>
      </c>
      <c r="B77" s="13" t="s">
        <v>321</v>
      </c>
      <c r="C77">
        <f>1/0.189</f>
        <v>5.2910052910052912</v>
      </c>
      <c r="D77" s="5" t="s">
        <v>1206</v>
      </c>
      <c r="E77" t="str">
        <f>Sources!A10</f>
        <v>Blanco2018</v>
      </c>
      <c r="F77" s="13"/>
      <c r="G77" s="5" t="str">
        <f>Sources!A11</f>
        <v>Bartels2008</v>
      </c>
      <c r="H77" t="s">
        <v>320</v>
      </c>
    </row>
    <row r="78" spans="1:8" x14ac:dyDescent="0.3">
      <c r="A78" s="203"/>
      <c r="B78" s="13" t="s">
        <v>334</v>
      </c>
      <c r="C78" s="14">
        <f>1/0.19</f>
        <v>5.2631578947368425</v>
      </c>
      <c r="D78" s="5" t="s">
        <v>1206</v>
      </c>
      <c r="E78" t="s">
        <v>324</v>
      </c>
      <c r="F78" s="13"/>
      <c r="G78" s="5"/>
    </row>
    <row r="79" spans="1:8" x14ac:dyDescent="0.3">
      <c r="A79" s="203"/>
      <c r="B79" s="13" t="s">
        <v>2216</v>
      </c>
      <c r="C79">
        <v>5.5533333333333301</v>
      </c>
      <c r="D79" s="5" t="s">
        <v>1206</v>
      </c>
      <c r="E79" t="str">
        <f>Sources!A133</f>
        <v>DEA2022</v>
      </c>
      <c r="F79" s="13"/>
      <c r="G79" s="5"/>
    </row>
    <row r="80" spans="1:8" x14ac:dyDescent="0.3">
      <c r="B80" s="13"/>
      <c r="C80"/>
      <c r="D80"/>
      <c r="E80"/>
      <c r="F80" s="13"/>
      <c r="G80" s="5"/>
    </row>
    <row r="81" spans="1:8" s="20" customFormat="1" x14ac:dyDescent="0.3">
      <c r="A81" s="203" t="s">
        <v>1779</v>
      </c>
      <c r="B81" s="13" t="s">
        <v>1471</v>
      </c>
      <c r="C81">
        <f>3000*(CEPCI_ref/CEPCI2018)</f>
        <v>3021.8869175924392</v>
      </c>
      <c r="D81" s="14" t="s">
        <v>36</v>
      </c>
      <c r="E81" t="str">
        <f>Sources!A7</f>
        <v>Ikäheimo2018</v>
      </c>
      <c r="F81" s="13"/>
      <c r="G81" s="5" t="str">
        <f>Sources!A15</f>
        <v>ISPT2017</v>
      </c>
      <c r="H81"/>
    </row>
    <row r="82" spans="1:8" s="20" customFormat="1" x14ac:dyDescent="0.3">
      <c r="A82" s="203"/>
      <c r="B82" s="13" t="s">
        <v>2215</v>
      </c>
      <c r="C82">
        <v>3000</v>
      </c>
      <c r="D82" s="14" t="s">
        <v>36</v>
      </c>
      <c r="E82"/>
      <c r="F82" s="13"/>
      <c r="G82" s="5"/>
      <c r="H82"/>
    </row>
    <row r="83" spans="1:8" s="20" customFormat="1" x14ac:dyDescent="0.3">
      <c r="A83" s="203"/>
      <c r="B83" s="13" t="s">
        <v>2045</v>
      </c>
      <c r="C83">
        <v>4192</v>
      </c>
      <c r="D83" s="14" t="s">
        <v>36</v>
      </c>
      <c r="E83"/>
      <c r="F83" s="13"/>
      <c r="G83" s="5"/>
      <c r="H83"/>
    </row>
    <row r="84" spans="1:8" s="124" customFormat="1" x14ac:dyDescent="0.3">
      <c r="A84" s="203"/>
      <c r="B84" s="43" t="s">
        <v>1659</v>
      </c>
      <c r="C84" s="45">
        <v>4285</v>
      </c>
      <c r="D84" s="44" t="s">
        <v>1660</v>
      </c>
      <c r="E84" s="45" t="str">
        <f>Sources!A105</f>
        <v>DTU 2021</v>
      </c>
      <c r="F84" s="43"/>
      <c r="G84" s="53"/>
      <c r="H84" s="45"/>
    </row>
    <row r="85" spans="1:8" x14ac:dyDescent="0.3">
      <c r="A85" s="203"/>
      <c r="B85" s="13" t="s">
        <v>1472</v>
      </c>
      <c r="C85">
        <f>4500*(CEPCI_ref/CEPCI2018)</f>
        <v>4532.8303763886588</v>
      </c>
      <c r="D85" s="14" t="s">
        <v>36</v>
      </c>
      <c r="E85" t="str">
        <f>Sources!A7</f>
        <v>Ikäheimo2018</v>
      </c>
      <c r="F85" s="13"/>
      <c r="G85" s="5" t="str">
        <f>Sources!A9</f>
        <v>Morgan2013</v>
      </c>
    </row>
    <row r="86" spans="1:8" x14ac:dyDescent="0.3">
      <c r="A86" s="203"/>
      <c r="B86" s="13" t="s">
        <v>1473</v>
      </c>
      <c r="C86">
        <f>0.19*10^3*'Fuel production cost'!$C$3*(CEPCI_ref/CEPCI2019)</f>
        <v>3534.0000000000005</v>
      </c>
      <c r="D86" s="14" t="s">
        <v>36</v>
      </c>
      <c r="E86" t="str">
        <f>Sources!A107</f>
        <v>Lester2020</v>
      </c>
      <c r="F86" s="13"/>
      <c r="G86" s="5"/>
    </row>
    <row r="87" spans="1:8" x14ac:dyDescent="0.3">
      <c r="A87" s="203"/>
      <c r="B87" s="13" t="s">
        <v>2219</v>
      </c>
      <c r="C87">
        <f>(1000*24)*(CEPCI_ref/CEPCI2015)*0.3</f>
        <v>7855.6034482758614</v>
      </c>
      <c r="D87" s="14" t="s">
        <v>36</v>
      </c>
      <c r="E87" t="str">
        <f>Sources!$A$133</f>
        <v>DEA2022</v>
      </c>
      <c r="F87" s="13"/>
      <c r="G87" s="5"/>
    </row>
    <row r="88" spans="1:8" x14ac:dyDescent="0.3">
      <c r="A88" s="203"/>
      <c r="B88" s="13" t="s">
        <v>2220</v>
      </c>
      <c r="C88">
        <f>(1000*24)*(CEPCI_ref/CEPCI2015)*0.35</f>
        <v>9164.8706896551721</v>
      </c>
      <c r="D88" s="14" t="s">
        <v>36</v>
      </c>
      <c r="E88" t="str">
        <f>Sources!$A$133</f>
        <v>DEA2022</v>
      </c>
      <c r="F88" s="13"/>
      <c r="G88" s="5"/>
    </row>
    <row r="89" spans="1:8" x14ac:dyDescent="0.3">
      <c r="A89" s="203"/>
      <c r="B89" s="13" t="s">
        <v>2217</v>
      </c>
      <c r="C89">
        <f>(1000*24)*(CEPCI_ref/CEPCI2015)*0.5</f>
        <v>13092.672413793103</v>
      </c>
      <c r="D89" s="14" t="s">
        <v>36</v>
      </c>
      <c r="E89" t="str">
        <f>Sources!$A$133</f>
        <v>DEA2022</v>
      </c>
      <c r="F89" s="13"/>
      <c r="G89" s="5"/>
    </row>
    <row r="90" spans="1:8" x14ac:dyDescent="0.3">
      <c r="A90" s="203"/>
      <c r="B90" s="13" t="s">
        <v>2218</v>
      </c>
      <c r="C90">
        <f>(1000*24)*(CEPCI_ref/CEPCI2015)*0.28</f>
        <v>7331.8965517241386</v>
      </c>
      <c r="D90" s="14" t="s">
        <v>36</v>
      </c>
      <c r="E90" t="str">
        <f>Sources!$A$133</f>
        <v>DEA2022</v>
      </c>
      <c r="F90" s="13"/>
      <c r="G90" s="5"/>
    </row>
    <row r="91" spans="1:8" x14ac:dyDescent="0.3">
      <c r="A91" s="203"/>
      <c r="B91" s="13" t="s">
        <v>2221</v>
      </c>
      <c r="C91">
        <f>(1000*24)*(CEPCI_ref/CEPCI2015)*0.23</f>
        <v>6022.6293103448279</v>
      </c>
      <c r="D91" s="14" t="s">
        <v>36</v>
      </c>
      <c r="E91" t="str">
        <f>Sources!$A$133</f>
        <v>DEA2022</v>
      </c>
      <c r="F91" s="13"/>
      <c r="G91" s="5"/>
    </row>
    <row r="92" spans="1:8" x14ac:dyDescent="0.3">
      <c r="A92" s="203"/>
      <c r="B92" s="13" t="s">
        <v>2222</v>
      </c>
      <c r="C92">
        <f>(1000*24)*(CEPCI_ref/CEPCI2015)*0.13</f>
        <v>3404.094827586207</v>
      </c>
      <c r="D92" s="14" t="s">
        <v>36</v>
      </c>
      <c r="E92" t="str">
        <f>Sources!$A$133</f>
        <v>DEA2022</v>
      </c>
      <c r="F92" s="13"/>
      <c r="G92" s="5"/>
    </row>
    <row r="93" spans="1:8" x14ac:dyDescent="0.3">
      <c r="A93" s="203"/>
      <c r="B93" s="13" t="s">
        <v>2223</v>
      </c>
      <c r="C93">
        <f>(1000*24)*(CEPCI_ref/CEPCI2015)*0.18</f>
        <v>4713.3620689655172</v>
      </c>
      <c r="D93" s="14" t="s">
        <v>36</v>
      </c>
      <c r="E93" t="str">
        <f>Sources!$A$133</f>
        <v>DEA2022</v>
      </c>
      <c r="F93" s="13"/>
      <c r="G93" s="5"/>
    </row>
    <row r="94" spans="1:8" x14ac:dyDescent="0.3">
      <c r="A94" s="203"/>
      <c r="B94" s="13" t="s">
        <v>2224</v>
      </c>
      <c r="C94">
        <f>(1000*24)*(CEPCI_ref/CEPCI2015)*0.2</f>
        <v>5237.0689655172418</v>
      </c>
      <c r="D94" s="14" t="s">
        <v>36</v>
      </c>
      <c r="E94" t="str">
        <f>Sources!$A$133</f>
        <v>DEA2022</v>
      </c>
      <c r="F94" s="13"/>
      <c r="G94" s="5"/>
    </row>
    <row r="95" spans="1:8" x14ac:dyDescent="0.3">
      <c r="A95" s="203"/>
      <c r="B95" s="13"/>
      <c r="C95"/>
      <c r="D95"/>
      <c r="E95" s="8"/>
      <c r="F95" s="13"/>
      <c r="G95" s="5"/>
    </row>
    <row r="96" spans="1:8" x14ac:dyDescent="0.3">
      <c r="A96" s="8"/>
      <c r="B96" s="13"/>
      <c r="C96"/>
      <c r="D96"/>
      <c r="E96" s="8"/>
      <c r="F96" s="13"/>
      <c r="G96" s="5"/>
    </row>
    <row r="97" spans="1:8" x14ac:dyDescent="0.3">
      <c r="A97" s="8" t="s">
        <v>1790</v>
      </c>
      <c r="B97" s="13" t="s">
        <v>1791</v>
      </c>
      <c r="C97" t="s">
        <v>814</v>
      </c>
      <c r="D97" s="5" t="s">
        <v>815</v>
      </c>
      <c r="E97" s="14" t="str">
        <f>Sources!A61</f>
        <v>Ammonfuel2020</v>
      </c>
      <c r="F97" s="13"/>
      <c r="G97" s="5"/>
    </row>
    <row r="98" spans="1:8" x14ac:dyDescent="0.3">
      <c r="B98" s="13"/>
      <c r="C98"/>
      <c r="D98"/>
      <c r="E98" s="8"/>
      <c r="F98" s="13"/>
      <c r="G98" s="5"/>
    </row>
    <row r="99" spans="1:8" x14ac:dyDescent="0.3">
      <c r="A99" s="203" t="s">
        <v>1761</v>
      </c>
      <c r="B99" s="13" t="s">
        <v>816</v>
      </c>
      <c r="C99"/>
      <c r="D99" s="14"/>
      <c r="E99" s="14" t="str">
        <f>Sources!A16</f>
        <v>Palys2019</v>
      </c>
      <c r="F99" s="13"/>
      <c r="G99" s="5" t="str">
        <f>Sources!A23</f>
        <v>Allman 2018</v>
      </c>
      <c r="H99" t="s">
        <v>249</v>
      </c>
    </row>
    <row r="100" spans="1:8" x14ac:dyDescent="0.3">
      <c r="A100" s="203"/>
      <c r="B100" s="13" t="s">
        <v>1854</v>
      </c>
      <c r="C100">
        <v>601.20242165949537</v>
      </c>
      <c r="D100" s="14" t="s">
        <v>1855</v>
      </c>
      <c r="E100" s="14" t="str">
        <f>Sources!A105 &amp; " , " &amp; Sources!A112</f>
        <v>DTU 2021 , Turton2008</v>
      </c>
      <c r="F100" s="13"/>
      <c r="G100" s="5"/>
    </row>
    <row r="101" spans="1:8" x14ac:dyDescent="0.3">
      <c r="A101" s="203"/>
      <c r="B101" s="13" t="s">
        <v>1789</v>
      </c>
      <c r="C101" s="22">
        <v>0.02</v>
      </c>
      <c r="D101" s="14" t="s">
        <v>195</v>
      </c>
      <c r="E101" t="str">
        <f>Sources!A7</f>
        <v>Ikäheimo2018</v>
      </c>
      <c r="F101" s="13"/>
      <c r="G101" s="5"/>
      <c r="H101" t="s">
        <v>248</v>
      </c>
    </row>
    <row r="102" spans="1:8" x14ac:dyDescent="0.3">
      <c r="A102" s="203"/>
      <c r="B102" s="13"/>
      <c r="C102" s="22"/>
      <c r="D102" s="14"/>
      <c r="E102"/>
      <c r="F102" s="13"/>
      <c r="G102" s="5"/>
    </row>
    <row r="103" spans="1:8" x14ac:dyDescent="0.3">
      <c r="A103" s="203"/>
      <c r="B103" s="13" t="s">
        <v>1280</v>
      </c>
      <c r="C103" s="22">
        <v>0.04</v>
      </c>
      <c r="D103" s="14" t="s">
        <v>195</v>
      </c>
      <c r="E103" s="14" t="str">
        <f>Sources!A107</f>
        <v>Lester2020</v>
      </c>
      <c r="F103" s="13"/>
      <c r="G103" s="5"/>
    </row>
    <row r="104" spans="1:8" x14ac:dyDescent="0.3">
      <c r="A104" s="203"/>
      <c r="B104" s="13" t="s">
        <v>1280</v>
      </c>
      <c r="C104">
        <f>7.77*'Fuel production cost'!$C$3*(CEPCI_ref/CEPCI2019)</f>
        <v>144.52199999999999</v>
      </c>
      <c r="D104" s="5" t="s">
        <v>275</v>
      </c>
      <c r="E104" s="14" t="str">
        <f>Sources!A107</f>
        <v>Lester2020</v>
      </c>
      <c r="F104" s="13"/>
      <c r="G104" s="5"/>
    </row>
    <row r="105" spans="1:8" x14ac:dyDescent="0.3">
      <c r="B105" s="13"/>
      <c r="C105"/>
      <c r="D105"/>
      <c r="E105" s="8"/>
      <c r="F105" s="13"/>
      <c r="G105" s="5"/>
    </row>
    <row r="106" spans="1:8" x14ac:dyDescent="0.3">
      <c r="A106" s="203" t="s">
        <v>1752</v>
      </c>
      <c r="B106" s="13"/>
      <c r="C106">
        <v>0</v>
      </c>
      <c r="D106" s="14" t="s">
        <v>39</v>
      </c>
      <c r="E106" s="14" t="str">
        <f>Sources!A7</f>
        <v>Ikäheimo2018</v>
      </c>
      <c r="F106" s="13"/>
      <c r="G106" s="5"/>
    </row>
    <row r="107" spans="1:8" x14ac:dyDescent="0.3">
      <c r="A107" s="203"/>
      <c r="B107" s="13" t="s">
        <v>2225</v>
      </c>
      <c r="C107">
        <f>0.05/1000*E2015_ref</f>
        <v>5.2139500000000005E-5</v>
      </c>
      <c r="D107" s="14" t="s">
        <v>39</v>
      </c>
      <c r="E107" s="14" t="str">
        <f>Sources!$A$133</f>
        <v>DEA2022</v>
      </c>
      <c r="F107" s="13"/>
      <c r="G107" s="5"/>
    </row>
    <row r="108" spans="1:8" x14ac:dyDescent="0.3">
      <c r="A108" s="203"/>
      <c r="B108" s="13" t="s">
        <v>2226</v>
      </c>
      <c r="C108">
        <f>0.1/1000*E2015_ref</f>
        <v>1.0427900000000001E-4</v>
      </c>
      <c r="D108" s="14" t="s">
        <v>39</v>
      </c>
      <c r="E108" s="14" t="str">
        <f>Sources!$A$133</f>
        <v>DEA2022</v>
      </c>
      <c r="F108" s="13"/>
      <c r="G108" s="5"/>
    </row>
    <row r="109" spans="1:8" x14ac:dyDescent="0.3">
      <c r="A109" s="203"/>
      <c r="B109" s="13" t="s">
        <v>2227</v>
      </c>
      <c r="C109">
        <f>0.2/1000*E2015_ref</f>
        <v>2.0855800000000002E-4</v>
      </c>
      <c r="D109" s="14" t="s">
        <v>39</v>
      </c>
      <c r="E109" s="14" t="str">
        <f>Sources!$A$133</f>
        <v>DEA2022</v>
      </c>
      <c r="F109" s="13"/>
      <c r="G109" s="5"/>
    </row>
    <row r="110" spans="1:8" x14ac:dyDescent="0.3">
      <c r="A110" s="203"/>
      <c r="C110"/>
      <c r="D110" s="14"/>
      <c r="E110" s="14"/>
      <c r="F110" s="13"/>
      <c r="G110" s="5"/>
    </row>
    <row r="111" spans="1:8" x14ac:dyDescent="0.3">
      <c r="B111" s="13"/>
      <c r="C111"/>
      <c r="D111"/>
      <c r="E111" s="8"/>
      <c r="F111" s="13"/>
      <c r="G111" s="5"/>
    </row>
    <row r="112" spans="1:8" x14ac:dyDescent="0.3">
      <c r="A112" s="203" t="s">
        <v>415</v>
      </c>
      <c r="B112" s="36" t="s">
        <v>147</v>
      </c>
      <c r="C112" s="36" t="e">
        <f>514*EuroDolar/1000</f>
        <v>#NAME?</v>
      </c>
      <c r="D112" s="5" t="s">
        <v>39</v>
      </c>
      <c r="E112" t="str">
        <f>Sources!A20</f>
        <v>Zhang2020</v>
      </c>
      <c r="F112" s="13"/>
      <c r="G112" s="5"/>
    </row>
    <row r="113" spans="1:8" x14ac:dyDescent="0.3">
      <c r="A113" s="203"/>
      <c r="B113" s="36" t="s">
        <v>413</v>
      </c>
      <c r="C113" s="36" t="e">
        <f>215*EuroDolar/1000</f>
        <v>#NAME?</v>
      </c>
      <c r="D113" s="5" t="s">
        <v>39</v>
      </c>
      <c r="E113" t="str">
        <f>Sources!A46</f>
        <v>ICIS2020</v>
      </c>
      <c r="F113" s="13"/>
      <c r="G113" s="5"/>
    </row>
    <row r="114" spans="1:8" x14ac:dyDescent="0.3">
      <c r="A114" s="203"/>
      <c r="B114" s="36" t="s">
        <v>414</v>
      </c>
      <c r="C114" s="36" t="e">
        <f>250*EuroDolar/1000</f>
        <v>#NAME?</v>
      </c>
      <c r="D114" s="5" t="s">
        <v>39</v>
      </c>
      <c r="E114" t="str">
        <f>Sources!A46</f>
        <v>ICIS2020</v>
      </c>
      <c r="F114" s="13"/>
      <c r="G114" s="5"/>
    </row>
    <row r="115" spans="1:8" x14ac:dyDescent="0.3">
      <c r="A115" s="203"/>
      <c r="B115" s="36" t="s">
        <v>351</v>
      </c>
      <c r="C115" s="36" t="e">
        <f>((27600/110)*EuroDolar)/1000</f>
        <v>#NAME?</v>
      </c>
      <c r="D115" s="5" t="s">
        <v>39</v>
      </c>
      <c r="E115" t="str">
        <f>Sources!A38</f>
        <v>Topsoe2016</v>
      </c>
      <c r="F115" s="13"/>
      <c r="G115" s="5"/>
    </row>
    <row r="116" spans="1:8" x14ac:dyDescent="0.3">
      <c r="A116" s="8"/>
      <c r="B116" s="36"/>
      <c r="C116" s="36"/>
      <c r="E116"/>
      <c r="F116" s="13"/>
      <c r="G116" s="5"/>
    </row>
    <row r="117" spans="1:8" x14ac:dyDescent="0.3">
      <c r="A117" s="8" t="s">
        <v>109</v>
      </c>
      <c r="B117" s="36" t="s">
        <v>416</v>
      </c>
      <c r="C117" s="36">
        <v>97000</v>
      </c>
      <c r="D117" s="5" t="s">
        <v>340</v>
      </c>
      <c r="E117" t="str">
        <f>Sources!A46</f>
        <v>ICIS2020</v>
      </c>
      <c r="F117" s="13"/>
      <c r="G117" s="5"/>
    </row>
    <row r="118" spans="1:8" x14ac:dyDescent="0.3">
      <c r="B118" s="13"/>
      <c r="C118"/>
      <c r="E118" s="8"/>
      <c r="F118" s="13"/>
      <c r="G118" s="5"/>
    </row>
    <row r="119" spans="1:8" s="45" customFormat="1" x14ac:dyDescent="0.3">
      <c r="A119" s="203" t="s">
        <v>131</v>
      </c>
      <c r="B119" s="43"/>
      <c r="C119" s="45">
        <v>25</v>
      </c>
      <c r="D119" s="53" t="s">
        <v>132</v>
      </c>
      <c r="E119" s="45" t="str">
        <f>Sources!A20</f>
        <v>Zhang2020</v>
      </c>
      <c r="F119" s="43"/>
      <c r="G119" s="53" t="str">
        <f>Sources!A21</f>
        <v>??</v>
      </c>
      <c r="H119" s="45" t="s">
        <v>146</v>
      </c>
    </row>
    <row r="120" spans="1:8" s="45" customFormat="1" x14ac:dyDescent="0.3">
      <c r="A120" s="203"/>
      <c r="B120" s="13"/>
      <c r="C120" s="36">
        <v>30</v>
      </c>
      <c r="D120" s="5" t="s">
        <v>132</v>
      </c>
      <c r="E120" t="str">
        <f>Sources!A2</f>
        <v>Armijo2020</v>
      </c>
      <c r="F120" s="5" t="str">
        <f>Sources!A7</f>
        <v>Ikäheimo2018</v>
      </c>
      <c r="G120" s="53"/>
    </row>
    <row r="121" spans="1:8" x14ac:dyDescent="0.3">
      <c r="A121" s="203"/>
      <c r="B121" t="s">
        <v>1281</v>
      </c>
      <c r="C121" s="36">
        <v>20</v>
      </c>
      <c r="D121" s="5" t="s">
        <v>132</v>
      </c>
      <c r="E121" t="str">
        <f>Sources!A106</f>
        <v>Ship&amp;Bunker2021</v>
      </c>
      <c r="G121" s="5"/>
    </row>
    <row r="122" spans="1:8" x14ac:dyDescent="0.3">
      <c r="B122" s="13"/>
      <c r="C122"/>
      <c r="E122" s="8"/>
      <c r="F122" s="13"/>
      <c r="G122" s="5"/>
    </row>
    <row r="123" spans="1:8" x14ac:dyDescent="0.3">
      <c r="A123" s="13" t="s">
        <v>136</v>
      </c>
      <c r="B123" s="13" t="s">
        <v>137</v>
      </c>
      <c r="C123">
        <v>10</v>
      </c>
      <c r="D123" s="5" t="s">
        <v>138</v>
      </c>
      <c r="E123" t="str">
        <f>Sources!A20</f>
        <v>Zhang2020</v>
      </c>
      <c r="F123" s="13"/>
      <c r="G123" s="5" t="str">
        <f>Sources!A22</f>
        <v>European Commission2017</v>
      </c>
      <c r="H123" t="s">
        <v>150</v>
      </c>
    </row>
    <row r="124" spans="1:8" x14ac:dyDescent="0.3">
      <c r="B124" s="13"/>
      <c r="C124"/>
      <c r="E124" s="8"/>
      <c r="F124" s="13"/>
      <c r="G124" s="5"/>
    </row>
    <row r="125" spans="1:8" x14ac:dyDescent="0.3">
      <c r="A125" t="s">
        <v>142</v>
      </c>
      <c r="B125" s="36" t="s">
        <v>151</v>
      </c>
      <c r="C125">
        <v>19.5</v>
      </c>
      <c r="D125" s="5" t="s">
        <v>152</v>
      </c>
      <c r="E125" s="14" t="str">
        <f>Sources!A20</f>
        <v>Zhang2020</v>
      </c>
      <c r="F125" s="13"/>
      <c r="G125" s="5"/>
    </row>
    <row r="126" spans="1:8" x14ac:dyDescent="0.3">
      <c r="B126" s="13"/>
      <c r="C126"/>
      <c r="E126" s="14"/>
      <c r="F126" s="13"/>
      <c r="G126" s="5"/>
    </row>
    <row r="127" spans="1:8" x14ac:dyDescent="0.3">
      <c r="A127" s="13" t="s">
        <v>144</v>
      </c>
      <c r="B127" s="13"/>
      <c r="C127">
        <v>14</v>
      </c>
      <c r="D127" s="5" t="s">
        <v>132</v>
      </c>
      <c r="E127" s="14" t="str">
        <f>Sources!A20</f>
        <v>Zhang2020</v>
      </c>
      <c r="F127" s="13"/>
      <c r="G127" s="5"/>
    </row>
    <row r="128" spans="1:8" x14ac:dyDescent="0.3">
      <c r="A128" s="13"/>
      <c r="B128" s="13"/>
      <c r="C128"/>
      <c r="E128" s="14"/>
      <c r="F128" s="13"/>
      <c r="G128" s="5"/>
    </row>
    <row r="129" spans="1:11" x14ac:dyDescent="0.3">
      <c r="A129" s="203" t="s">
        <v>605</v>
      </c>
      <c r="B129" s="16" t="s">
        <v>1708</v>
      </c>
      <c r="C129" s="126">
        <f>2.355*2.9%</f>
        <v>6.8294999999999995E-2</v>
      </c>
      <c r="D129" s="5" t="s">
        <v>1706</v>
      </c>
      <c r="E129" s="14" t="str">
        <f>Sources!A115</f>
        <v>Ecoinvent2020</v>
      </c>
      <c r="F129" s="13"/>
      <c r="G129" s="5"/>
    </row>
    <row r="130" spans="1:11" x14ac:dyDescent="0.3">
      <c r="A130" s="203"/>
      <c r="B130" t="s">
        <v>1703</v>
      </c>
      <c r="C130" s="126">
        <v>4.6668249999999967E-2</v>
      </c>
      <c r="D130" s="5" t="s">
        <v>1706</v>
      </c>
      <c r="E130" s="14" t="s">
        <v>529</v>
      </c>
      <c r="F130" s="13"/>
      <c r="G130" s="5"/>
    </row>
    <row r="131" spans="1:11" x14ac:dyDescent="0.3">
      <c r="A131" s="203"/>
      <c r="B131" s="16">
        <v>2040</v>
      </c>
      <c r="C131" s="126">
        <v>2.5041499999999949E-2</v>
      </c>
      <c r="D131" s="5" t="s">
        <v>1706</v>
      </c>
      <c r="E131" s="14" t="s">
        <v>529</v>
      </c>
      <c r="F131" s="13"/>
      <c r="G131" s="5"/>
    </row>
    <row r="132" spans="1:11" x14ac:dyDescent="0.3">
      <c r="A132" s="203"/>
      <c r="B132" s="16">
        <v>2050</v>
      </c>
      <c r="C132" s="126">
        <f>C129*0.05</f>
        <v>3.4147499999999998E-3</v>
      </c>
      <c r="D132" s="5" t="s">
        <v>1706</v>
      </c>
      <c r="E132" s="14" t="s">
        <v>529</v>
      </c>
      <c r="F132" s="13"/>
      <c r="G132" s="5"/>
    </row>
    <row r="133" spans="1:11" x14ac:dyDescent="0.3">
      <c r="A133" s="203"/>
      <c r="B133" t="s">
        <v>1897</v>
      </c>
      <c r="C133" s="5">
        <f>(51960000/(2700*1000/24))/25</f>
        <v>18.474666666666668</v>
      </c>
      <c r="D133" s="16" t="s">
        <v>1898</v>
      </c>
      <c r="E133" s="5" t="str">
        <f>Sources!A113</f>
        <v>Ecoinvent2020</v>
      </c>
      <c r="F133" s="13"/>
      <c r="G133" s="5"/>
    </row>
    <row r="134" spans="1:11" x14ac:dyDescent="0.3">
      <c r="A134" s="203"/>
      <c r="B134" s="16" t="s">
        <v>1687</v>
      </c>
      <c r="C134" s="36">
        <v>12.624000000000001</v>
      </c>
      <c r="D134" s="16" t="s">
        <v>1898</v>
      </c>
      <c r="E134" s="5" t="s">
        <v>529</v>
      </c>
      <c r="F134" s="13"/>
      <c r="G134" s="5"/>
    </row>
    <row r="135" spans="1:11" x14ac:dyDescent="0.3">
      <c r="A135" s="203"/>
      <c r="B135" s="16">
        <v>2040</v>
      </c>
      <c r="C135" s="36">
        <v>6.774</v>
      </c>
      <c r="D135" s="16" t="s">
        <v>1898</v>
      </c>
      <c r="E135" s="5" t="s">
        <v>529</v>
      </c>
      <c r="F135" s="13"/>
      <c r="G135" s="5"/>
    </row>
    <row r="136" spans="1:11" x14ac:dyDescent="0.3">
      <c r="A136" s="203"/>
      <c r="B136" s="16">
        <v>2050</v>
      </c>
      <c r="C136" s="5">
        <f>C133*0.05</f>
        <v>0.92373333333333341</v>
      </c>
      <c r="D136" s="16" t="s">
        <v>1898</v>
      </c>
      <c r="E136" s="5" t="s">
        <v>529</v>
      </c>
      <c r="F136" s="13"/>
      <c r="G136" s="5"/>
    </row>
    <row r="137" spans="1:11" x14ac:dyDescent="0.3">
      <c r="B137" s="13"/>
      <c r="C137"/>
      <c r="D137"/>
      <c r="E137" s="8"/>
      <c r="F137" s="13"/>
      <c r="G137" s="5"/>
    </row>
    <row r="138" spans="1:11" s="67" customFormat="1" x14ac:dyDescent="0.3">
      <c r="A138" s="206" t="s">
        <v>261</v>
      </c>
      <c r="B138" s="206"/>
      <c r="C138" s="66"/>
      <c r="D138" s="66"/>
      <c r="E138" s="24"/>
      <c r="F138" s="24"/>
      <c r="G138" s="25"/>
    </row>
    <row r="139" spans="1:11" x14ac:dyDescent="0.3">
      <c r="A139" s="17"/>
      <c r="B139" s="17"/>
      <c r="C139" s="15"/>
      <c r="D139" s="15"/>
      <c r="E139" s="8"/>
      <c r="F139" s="8"/>
      <c r="G139" s="13"/>
    </row>
    <row r="140" spans="1:11" x14ac:dyDescent="0.3">
      <c r="A140" s="15" t="s">
        <v>85</v>
      </c>
      <c r="B140" s="15" t="s">
        <v>82</v>
      </c>
      <c r="C140" s="17" t="s">
        <v>49</v>
      </c>
      <c r="D140" s="17" t="s">
        <v>52</v>
      </c>
      <c r="E140" s="18" t="s">
        <v>58</v>
      </c>
      <c r="F140" s="18" t="s">
        <v>159</v>
      </c>
      <c r="G140" s="15" t="s">
        <v>80</v>
      </c>
      <c r="H140" s="17" t="s">
        <v>59</v>
      </c>
      <c r="I140" s="15"/>
      <c r="J140" s="15"/>
      <c r="K140" s="15"/>
    </row>
    <row r="141" spans="1:11" x14ac:dyDescent="0.3">
      <c r="A141" s="13"/>
      <c r="B141" s="13"/>
      <c r="C141" s="13"/>
      <c r="D141" s="13"/>
      <c r="E141" s="13"/>
      <c r="F141" s="13"/>
      <c r="G141" s="13"/>
      <c r="H141" s="13"/>
      <c r="I141" s="13"/>
      <c r="J141" s="13"/>
      <c r="K141" s="13"/>
    </row>
    <row r="142" spans="1:11" x14ac:dyDescent="0.3">
      <c r="A142" s="13" t="s">
        <v>44</v>
      </c>
      <c r="B142" s="13" t="s">
        <v>369</v>
      </c>
      <c r="C142" s="5">
        <v>60</v>
      </c>
      <c r="D142" s="13" t="s">
        <v>202</v>
      </c>
      <c r="E142" s="5" t="str">
        <f>Sources!A41</f>
        <v>Banares-Alcantara2015</v>
      </c>
      <c r="F142" s="13"/>
      <c r="G142" s="5" t="str">
        <f>Sources!A9</f>
        <v>Morgan2013</v>
      </c>
      <c r="H142" s="13"/>
      <c r="I142" s="13"/>
      <c r="J142" s="13"/>
      <c r="K142" s="13"/>
    </row>
    <row r="143" spans="1:11" x14ac:dyDescent="0.3">
      <c r="A143" s="13"/>
      <c r="B143" s="13"/>
      <c r="C143" s="13"/>
      <c r="D143" s="13"/>
      <c r="E143" s="13"/>
      <c r="F143" s="13"/>
      <c r="G143" s="13"/>
      <c r="H143" s="13"/>
      <c r="I143" s="13"/>
      <c r="J143" s="13"/>
      <c r="K143" s="13"/>
    </row>
    <row r="144" spans="1:11" x14ac:dyDescent="0.3">
      <c r="A144" s="205" t="s">
        <v>45</v>
      </c>
      <c r="B144" t="s">
        <v>83</v>
      </c>
      <c r="C144">
        <v>0.24299999999999999</v>
      </c>
      <c r="D144" t="s">
        <v>84</v>
      </c>
      <c r="E144" s="46" t="str">
        <f>Sources!A7</f>
        <v>Ikäheimo2018</v>
      </c>
      <c r="F144" s="21"/>
      <c r="G144" s="46" t="str">
        <f>Sources!A8</f>
        <v>European Industrial Gases Association2010</v>
      </c>
      <c r="H144" t="s">
        <v>86</v>
      </c>
    </row>
    <row r="145" spans="1:8" x14ac:dyDescent="0.3">
      <c r="A145" s="205"/>
      <c r="B145" t="s">
        <v>87</v>
      </c>
      <c r="C145">
        <v>0.108</v>
      </c>
      <c r="D145" t="s">
        <v>84</v>
      </c>
      <c r="E145" s="46" t="str">
        <f>Sources!A7</f>
        <v>Ikäheimo2018</v>
      </c>
      <c r="F145" s="21"/>
      <c r="G145" t="str">
        <f>Sources!A9</f>
        <v>Morgan2013</v>
      </c>
      <c r="H145" s="12" t="s">
        <v>64</v>
      </c>
    </row>
    <row r="146" spans="1:8" x14ac:dyDescent="0.3">
      <c r="A146" s="205"/>
      <c r="B146" t="s">
        <v>363</v>
      </c>
      <c r="C146">
        <v>0.11899999999999999</v>
      </c>
      <c r="D146" t="s">
        <v>84</v>
      </c>
      <c r="E146" s="14" t="str">
        <f>Sources!A39</f>
        <v>Nayak-Luke2018</v>
      </c>
      <c r="F146" s="46" t="str">
        <f>Sources!A41</f>
        <v>Banares-Alcantara2015</v>
      </c>
      <c r="H146" s="12"/>
    </row>
    <row r="147" spans="1:8" x14ac:dyDescent="0.3">
      <c r="C147"/>
      <c r="D147"/>
      <c r="E147" s="8"/>
      <c r="F147" s="8"/>
      <c r="G147" s="13"/>
    </row>
    <row r="148" spans="1:8" x14ac:dyDescent="0.3">
      <c r="A148" s="13" t="s">
        <v>50</v>
      </c>
      <c r="C148">
        <v>1450</v>
      </c>
      <c r="D148" t="s">
        <v>89</v>
      </c>
      <c r="E148" t="str">
        <f>Sources!A7</f>
        <v>Ikäheimo2018</v>
      </c>
      <c r="F148" s="21"/>
      <c r="G148" t="str">
        <f>Sources!A9</f>
        <v>Morgan2013</v>
      </c>
      <c r="H148" s="16" t="s">
        <v>64</v>
      </c>
    </row>
    <row r="149" spans="1:8" x14ac:dyDescent="0.3">
      <c r="C149"/>
      <c r="D149"/>
      <c r="E149"/>
      <c r="F149" s="21"/>
    </row>
    <row r="150" spans="1:8" x14ac:dyDescent="0.3">
      <c r="A150" s="13" t="s">
        <v>1750</v>
      </c>
      <c r="C150">
        <v>2</v>
      </c>
      <c r="D150" t="s">
        <v>318</v>
      </c>
      <c r="E150" t="str">
        <f>Sources!A7</f>
        <v>Ikäheimo2018</v>
      </c>
      <c r="F150" s="21"/>
      <c r="G150" s="5" t="s">
        <v>51</v>
      </c>
      <c r="H150" s="16" t="s">
        <v>88</v>
      </c>
    </row>
    <row r="151" spans="1:8" x14ac:dyDescent="0.3">
      <c r="C151"/>
      <c r="D151"/>
      <c r="E151" s="8"/>
      <c r="F151" s="8"/>
      <c r="G151" s="13"/>
    </row>
    <row r="152" spans="1:8" x14ac:dyDescent="0.3">
      <c r="A152" s="13" t="s">
        <v>1762</v>
      </c>
      <c r="C152"/>
      <c r="D152"/>
      <c r="E152" s="21"/>
      <c r="F152" s="21"/>
      <c r="G152" s="13"/>
    </row>
    <row r="153" spans="1:8" x14ac:dyDescent="0.3">
      <c r="C153"/>
      <c r="D153"/>
      <c r="E153" s="21"/>
      <c r="F153" s="21"/>
      <c r="G153" s="21"/>
    </row>
    <row r="154" spans="1:8" x14ac:dyDescent="0.3">
      <c r="A154" s="13" t="s">
        <v>41</v>
      </c>
      <c r="B154" t="s">
        <v>319</v>
      </c>
      <c r="C154">
        <v>20</v>
      </c>
      <c r="D154" t="s">
        <v>132</v>
      </c>
      <c r="E154" s="14" t="str">
        <f>Sources!A7</f>
        <v>Ikäheimo2018</v>
      </c>
      <c r="F154" s="8"/>
      <c r="G154" s="13"/>
    </row>
    <row r="155" spans="1:8" x14ac:dyDescent="0.3">
      <c r="A155" s="13"/>
      <c r="C155"/>
      <c r="D155"/>
      <c r="E155" s="14"/>
      <c r="F155" s="8"/>
      <c r="G155" s="13"/>
    </row>
    <row r="156" spans="1:8" x14ac:dyDescent="0.3">
      <c r="A156" s="203" t="s">
        <v>605</v>
      </c>
      <c r="B156" s="16" t="s">
        <v>1748</v>
      </c>
      <c r="C156" s="165">
        <f>(878900/20/((80000*1000)/8760))*0.881</f>
        <v>4.2393521774999998</v>
      </c>
      <c r="D156" s="167" t="s">
        <v>1749</v>
      </c>
      <c r="E156" s="14" t="str">
        <f>Sources!A116</f>
        <v>Ecoinvent2020</v>
      </c>
      <c r="G156" s="13"/>
    </row>
    <row r="157" spans="1:8" x14ac:dyDescent="0.3">
      <c r="A157" s="203"/>
      <c r="B157" t="s">
        <v>1703</v>
      </c>
      <c r="C157" s="163">
        <f>C156*2*0.95/3</f>
        <v>2.6849230457500002</v>
      </c>
      <c r="D157" s="167" t="s">
        <v>1749</v>
      </c>
      <c r="E157" s="14" t="s">
        <v>529</v>
      </c>
      <c r="F157" s="8"/>
      <c r="G157" s="13"/>
    </row>
    <row r="158" spans="1:8" x14ac:dyDescent="0.3">
      <c r="A158" s="203"/>
      <c r="B158" s="16">
        <v>2040</v>
      </c>
      <c r="C158" s="163">
        <f>C156*0.95/3</f>
        <v>1.3424615228750001</v>
      </c>
      <c r="D158" s="167" t="s">
        <v>1749</v>
      </c>
      <c r="E158" s="14" t="s">
        <v>529</v>
      </c>
      <c r="F158" s="8"/>
      <c r="G158" s="13"/>
    </row>
    <row r="159" spans="1:8" x14ac:dyDescent="0.3">
      <c r="A159" s="203"/>
      <c r="B159" s="16">
        <v>2050</v>
      </c>
      <c r="C159" s="163">
        <f>C156*0.05</f>
        <v>0.21196760887499999</v>
      </c>
      <c r="D159" s="167" t="s">
        <v>1749</v>
      </c>
      <c r="E159" s="14" t="s">
        <v>529</v>
      </c>
      <c r="F159" s="8"/>
      <c r="G159" s="13"/>
    </row>
    <row r="160" spans="1:8" x14ac:dyDescent="0.3">
      <c r="C160"/>
      <c r="D160"/>
      <c r="E160" s="8"/>
      <c r="F160" s="8"/>
      <c r="G160" s="13"/>
    </row>
    <row r="161" spans="1:8" s="67" customFormat="1" x14ac:dyDescent="0.3">
      <c r="A161" s="206" t="s">
        <v>262</v>
      </c>
      <c r="B161" s="206"/>
      <c r="E161" s="24"/>
      <c r="F161" s="24"/>
      <c r="G161" s="25"/>
    </row>
    <row r="162" spans="1:8" x14ac:dyDescent="0.3">
      <c r="C162"/>
      <c r="D162"/>
      <c r="E162" s="8"/>
      <c r="F162" s="8"/>
      <c r="G162" s="13"/>
    </row>
    <row r="163" spans="1:8" x14ac:dyDescent="0.3">
      <c r="A163" s="205" t="s">
        <v>45</v>
      </c>
      <c r="C163">
        <v>0.8</v>
      </c>
      <c r="D163" t="s">
        <v>160</v>
      </c>
      <c r="E163" s="14" t="str">
        <f>Sources!A16</f>
        <v>Palys2019</v>
      </c>
      <c r="F163" s="8"/>
      <c r="G163" s="5" t="str">
        <f>Sources!A23</f>
        <v>Allman 2018</v>
      </c>
    </row>
    <row r="164" spans="1:8" x14ac:dyDescent="0.3">
      <c r="A164" s="205"/>
      <c r="C164"/>
      <c r="D164"/>
      <c r="E164" s="8"/>
      <c r="F164" s="8"/>
      <c r="G164" s="13"/>
    </row>
    <row r="165" spans="1:8" x14ac:dyDescent="0.3">
      <c r="C165"/>
      <c r="D165"/>
      <c r="E165" s="8"/>
      <c r="F165" s="8"/>
      <c r="G165" s="13"/>
    </row>
    <row r="166" spans="1:8" x14ac:dyDescent="0.3">
      <c r="A166" s="13" t="s">
        <v>50</v>
      </c>
      <c r="C166"/>
      <c r="D166"/>
      <c r="E166" s="8"/>
      <c r="F166" s="8"/>
      <c r="G166" s="13"/>
    </row>
    <row r="167" spans="1:8" x14ac:dyDescent="0.3">
      <c r="C167"/>
      <c r="D167"/>
      <c r="E167" s="8"/>
      <c r="F167" s="8"/>
      <c r="G167" s="13"/>
    </row>
    <row r="168" spans="1:8" x14ac:dyDescent="0.3">
      <c r="A168" s="13" t="s">
        <v>1750</v>
      </c>
      <c r="C168"/>
      <c r="D168"/>
      <c r="E168" s="8"/>
      <c r="F168" s="8"/>
      <c r="G168" s="13"/>
    </row>
    <row r="169" spans="1:8" x14ac:dyDescent="0.3">
      <c r="C169"/>
      <c r="D169"/>
      <c r="E169" s="8"/>
      <c r="F169" s="8"/>
      <c r="G169" s="13"/>
    </row>
    <row r="170" spans="1:8" x14ac:dyDescent="0.3">
      <c r="A170" s="13" t="s">
        <v>1762</v>
      </c>
      <c r="C170">
        <v>0.1</v>
      </c>
      <c r="D170" t="s">
        <v>260</v>
      </c>
      <c r="E170" s="14" t="str">
        <f>Sources!A16</f>
        <v>Palys2019</v>
      </c>
      <c r="F170" s="8"/>
      <c r="G170" s="5" t="str">
        <f>Sources!A23</f>
        <v>Allman 2018</v>
      </c>
    </row>
    <row r="171" spans="1:8" x14ac:dyDescent="0.3">
      <c r="C171"/>
      <c r="D171"/>
      <c r="E171" s="8"/>
      <c r="F171" s="8"/>
      <c r="G171" s="13"/>
    </row>
    <row r="172" spans="1:8" x14ac:dyDescent="0.3">
      <c r="A172" s="13" t="s">
        <v>41</v>
      </c>
      <c r="C172"/>
      <c r="D172"/>
      <c r="E172" s="8"/>
      <c r="F172" s="8"/>
      <c r="G172" s="13"/>
    </row>
    <row r="173" spans="1:8" x14ac:dyDescent="0.3">
      <c r="C173"/>
      <c r="D173"/>
      <c r="E173" s="8"/>
      <c r="F173" s="8"/>
      <c r="G173" s="13"/>
    </row>
    <row r="174" spans="1:8" x14ac:dyDescent="0.3">
      <c r="F174" s="16"/>
      <c r="G174" s="16"/>
      <c r="H174" s="16"/>
    </row>
    <row r="175" spans="1:8" x14ac:dyDescent="0.3">
      <c r="F175" s="16"/>
      <c r="G175" s="16"/>
      <c r="H175" s="16"/>
    </row>
    <row r="176" spans="1:8" x14ac:dyDescent="0.3">
      <c r="F176" s="16"/>
      <c r="G176" s="16"/>
      <c r="H176" s="16"/>
    </row>
    <row r="177" spans="6:8" x14ac:dyDescent="0.3">
      <c r="F177" s="16"/>
      <c r="G177" s="16"/>
      <c r="H177" s="16"/>
    </row>
    <row r="178" spans="6:8" x14ac:dyDescent="0.3">
      <c r="F178" s="16"/>
      <c r="G178" s="16"/>
      <c r="H178" s="16"/>
    </row>
    <row r="179" spans="6:8" x14ac:dyDescent="0.3">
      <c r="F179" s="16"/>
      <c r="G179" s="16"/>
      <c r="H179" s="16"/>
    </row>
    <row r="180" spans="6:8" x14ac:dyDescent="0.3">
      <c r="F180" s="16"/>
      <c r="G180" s="16"/>
      <c r="H180" s="16"/>
    </row>
    <row r="181" spans="6:8" x14ac:dyDescent="0.3">
      <c r="F181" s="16"/>
      <c r="G181" s="16"/>
      <c r="H181" s="16"/>
    </row>
    <row r="182" spans="6:8" x14ac:dyDescent="0.3">
      <c r="F182" s="16"/>
      <c r="G182" s="16"/>
      <c r="H182" s="16"/>
    </row>
    <row r="183" spans="6:8" x14ac:dyDescent="0.3">
      <c r="F183" s="16"/>
      <c r="G183" s="16"/>
      <c r="H183" s="16"/>
    </row>
    <row r="184" spans="6:8" x14ac:dyDescent="0.3">
      <c r="F184" s="16"/>
      <c r="G184" s="16"/>
      <c r="H184" s="16"/>
    </row>
    <row r="185" spans="6:8" x14ac:dyDescent="0.3">
      <c r="F185" s="16"/>
      <c r="G185" s="16"/>
      <c r="H185" s="16"/>
    </row>
    <row r="186" spans="6:8" x14ac:dyDescent="0.3">
      <c r="F186" s="16"/>
      <c r="G186" s="16"/>
      <c r="H186" s="16"/>
    </row>
    <row r="187" spans="6:8" x14ac:dyDescent="0.3">
      <c r="F187" s="16"/>
      <c r="G187" s="16"/>
      <c r="H187" s="16"/>
    </row>
    <row r="188" spans="6:8" x14ac:dyDescent="0.3">
      <c r="F188" s="16"/>
      <c r="G188" s="16"/>
      <c r="H188" s="16"/>
    </row>
  </sheetData>
  <mergeCells count="16">
    <mergeCell ref="A81:A95"/>
    <mergeCell ref="A99:A104"/>
    <mergeCell ref="A112:A115"/>
    <mergeCell ref="A1:B1"/>
    <mergeCell ref="A45:A49"/>
    <mergeCell ref="A55:A69"/>
    <mergeCell ref="A71:A75"/>
    <mergeCell ref="A77:A79"/>
    <mergeCell ref="A106:A110"/>
    <mergeCell ref="A119:A121"/>
    <mergeCell ref="A138:B138"/>
    <mergeCell ref="A144:A146"/>
    <mergeCell ref="A161:B161"/>
    <mergeCell ref="A163:A164"/>
    <mergeCell ref="A156:A159"/>
    <mergeCell ref="A129:A136"/>
  </mergeCells>
  <pageMargins left="0.7" right="0.7" top="0.75" bottom="0.75" header="0.3" footer="0.3"/>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M292"/>
  <sheetViews>
    <sheetView topLeftCell="A98" workbookViewId="0">
      <selection activeCell="D110" sqref="D110"/>
    </sheetView>
  </sheetViews>
  <sheetFormatPr defaultRowHeight="14.4" x14ac:dyDescent="0.3"/>
  <cols>
    <col min="1" max="1" width="36.77734375" customWidth="1"/>
    <col min="2" max="2" width="71.88671875" customWidth="1"/>
    <col min="3" max="3" width="11.21875" customWidth="1"/>
    <col min="4" max="4" width="22.6640625" customWidth="1"/>
    <col min="5" max="5" width="16.77734375" customWidth="1"/>
    <col min="6" max="7" width="12" customWidth="1"/>
    <col min="8" max="8" width="11.77734375" customWidth="1"/>
    <col min="9" max="9" width="21.21875" customWidth="1"/>
  </cols>
  <sheetData>
    <row r="1" spans="1:11" s="29" customFormat="1" x14ac:dyDescent="0.3">
      <c r="A1" s="204" t="s">
        <v>263</v>
      </c>
      <c r="B1" s="204"/>
      <c r="E1" s="30"/>
      <c r="G1" s="47"/>
      <c r="I1" s="31"/>
    </row>
    <row r="3" spans="1:11" s="33" customFormat="1" x14ac:dyDescent="0.3">
      <c r="A3" s="33" t="s">
        <v>148</v>
      </c>
      <c r="B3" s="32"/>
      <c r="D3" s="32"/>
      <c r="E3" s="34"/>
      <c r="F3" s="32"/>
      <c r="G3" s="48"/>
    </row>
    <row r="4" spans="1:11" s="15" customFormat="1" x14ac:dyDescent="0.3">
      <c r="B4" s="17"/>
      <c r="D4" s="17"/>
      <c r="E4" s="18"/>
      <c r="F4" s="17"/>
      <c r="G4" s="49"/>
    </row>
    <row r="5" spans="1:11" s="66" customFormat="1" x14ac:dyDescent="0.3">
      <c r="A5" s="66" t="s">
        <v>2034</v>
      </c>
      <c r="B5" s="68"/>
      <c r="D5" s="68"/>
      <c r="E5" s="69"/>
      <c r="F5" s="68"/>
      <c r="G5" s="70"/>
    </row>
    <row r="6" spans="1:11" s="15" customFormat="1" x14ac:dyDescent="0.3">
      <c r="A6" s="17" t="s">
        <v>85</v>
      </c>
      <c r="B6" s="17" t="s">
        <v>52</v>
      </c>
      <c r="C6" s="17" t="s">
        <v>184</v>
      </c>
      <c r="D6" s="18" t="s">
        <v>106</v>
      </c>
      <c r="E6" s="17" t="s">
        <v>183</v>
      </c>
      <c r="F6" s="17">
        <v>2030</v>
      </c>
      <c r="G6" s="17">
        <v>2040</v>
      </c>
      <c r="H6" s="49">
        <v>2050</v>
      </c>
      <c r="J6" s="17"/>
      <c r="K6" s="17"/>
    </row>
    <row r="7" spans="1:11" s="15" customFormat="1" x14ac:dyDescent="0.3">
      <c r="A7" t="s">
        <v>218</v>
      </c>
      <c r="B7" s="13" t="s">
        <v>204</v>
      </c>
      <c r="C7" s="5" t="s">
        <v>422</v>
      </c>
      <c r="D7" s="5" t="s">
        <v>422</v>
      </c>
      <c r="E7" s="14" t="s">
        <v>422</v>
      </c>
      <c r="F7" s="14" t="s">
        <v>422</v>
      </c>
      <c r="G7" s="14" t="s">
        <v>422</v>
      </c>
      <c r="H7" s="14" t="s">
        <v>422</v>
      </c>
      <c r="I7"/>
      <c r="J7"/>
      <c r="K7"/>
    </row>
    <row r="8" spans="1:11" x14ac:dyDescent="0.3">
      <c r="A8" t="s">
        <v>107</v>
      </c>
      <c r="B8" s="13" t="s">
        <v>202</v>
      </c>
      <c r="C8" s="22">
        <v>0</v>
      </c>
      <c r="D8" s="77">
        <v>0</v>
      </c>
      <c r="E8" s="78">
        <v>0</v>
      </c>
      <c r="F8" s="78">
        <v>0</v>
      </c>
      <c r="G8" s="78">
        <v>0</v>
      </c>
      <c r="H8" s="78">
        <v>0</v>
      </c>
    </row>
    <row r="9" spans="1:11" x14ac:dyDescent="0.3">
      <c r="A9" t="s">
        <v>417</v>
      </c>
      <c r="B9" s="13" t="s">
        <v>202</v>
      </c>
      <c r="C9" s="22">
        <v>1</v>
      </c>
      <c r="D9" s="22">
        <v>1</v>
      </c>
      <c r="E9" s="22">
        <v>1</v>
      </c>
      <c r="F9" s="22">
        <v>1</v>
      </c>
      <c r="G9" s="22">
        <v>1</v>
      </c>
      <c r="H9" s="22">
        <v>1</v>
      </c>
    </row>
    <row r="10" spans="1:11" x14ac:dyDescent="0.3">
      <c r="A10" t="s">
        <v>354</v>
      </c>
      <c r="B10" s="13" t="s">
        <v>419</v>
      </c>
      <c r="C10" s="22">
        <v>1</v>
      </c>
      <c r="D10" s="22">
        <v>1</v>
      </c>
      <c r="E10" s="22">
        <v>1</v>
      </c>
      <c r="F10" s="22">
        <v>1</v>
      </c>
      <c r="G10" s="22">
        <v>1</v>
      </c>
      <c r="H10" s="22">
        <v>1</v>
      </c>
    </row>
    <row r="11" spans="1:11" x14ac:dyDescent="0.3">
      <c r="A11" t="s">
        <v>355</v>
      </c>
      <c r="B11" s="13" t="s">
        <v>419</v>
      </c>
      <c r="C11" s="22">
        <v>1</v>
      </c>
      <c r="D11" s="22">
        <v>1</v>
      </c>
      <c r="E11" s="22">
        <v>1</v>
      </c>
      <c r="F11" s="22">
        <v>1</v>
      </c>
      <c r="G11" s="22">
        <v>1</v>
      </c>
      <c r="H11" s="22">
        <v>1</v>
      </c>
    </row>
    <row r="12" spans="1:11" x14ac:dyDescent="0.3">
      <c r="A12" t="s">
        <v>1282</v>
      </c>
      <c r="B12" s="13" t="s">
        <v>202</v>
      </c>
      <c r="C12" s="22">
        <v>0</v>
      </c>
      <c r="D12" s="22">
        <v>0</v>
      </c>
      <c r="E12" s="22">
        <v>0</v>
      </c>
      <c r="F12" s="22">
        <v>0</v>
      </c>
      <c r="G12" s="22">
        <v>0</v>
      </c>
      <c r="H12" s="22">
        <v>0</v>
      </c>
    </row>
    <row r="13" spans="1:11" x14ac:dyDescent="0.3">
      <c r="A13" t="s">
        <v>111</v>
      </c>
      <c r="B13" s="13" t="s">
        <v>123</v>
      </c>
      <c r="C13">
        <f>$C$103</f>
        <v>3</v>
      </c>
      <c r="D13">
        <f t="shared" ref="D13:E13" si="0">$C$103</f>
        <v>3</v>
      </c>
      <c r="E13">
        <f t="shared" si="0"/>
        <v>3</v>
      </c>
      <c r="F13" s="1">
        <f>$C$104</f>
        <v>2.0457695650344849</v>
      </c>
      <c r="G13" s="1">
        <f>$F$13</f>
        <v>2.0457695650344849</v>
      </c>
      <c r="H13" s="1">
        <f>$C$105</f>
        <v>1.7105094635899025</v>
      </c>
    </row>
    <row r="14" spans="1:11" x14ac:dyDescent="0.3">
      <c r="A14" t="s">
        <v>1779</v>
      </c>
      <c r="B14" s="13" t="s">
        <v>264</v>
      </c>
      <c r="C14">
        <f>C120</f>
        <v>11599.548689463636</v>
      </c>
      <c r="D14" s="5">
        <f>$C$122</f>
        <v>9091.7699353448279</v>
      </c>
      <c r="E14" s="14">
        <f>$C$121</f>
        <v>6192.2265491651224</v>
      </c>
      <c r="F14" s="14">
        <f>$C$123</f>
        <v>6982.7586206896558</v>
      </c>
      <c r="G14" s="14">
        <f>$C$124</f>
        <v>3338.6314655172414</v>
      </c>
      <c r="H14" s="14">
        <f>$C$125</f>
        <v>2427.5996767241381</v>
      </c>
    </row>
    <row r="15" spans="1:11" x14ac:dyDescent="0.3">
      <c r="A15" t="s">
        <v>1750</v>
      </c>
      <c r="B15" s="13" t="s">
        <v>341</v>
      </c>
      <c r="C15">
        <f t="shared" ref="C15:H15" si="1">C14*$C$129</f>
        <v>231.99097378927272</v>
      </c>
      <c r="D15">
        <f t="shared" si="1"/>
        <v>181.83539870689657</v>
      </c>
      <c r="E15">
        <f t="shared" si="1"/>
        <v>123.84453098330245</v>
      </c>
      <c r="F15">
        <f t="shared" si="1"/>
        <v>139.65517241379311</v>
      </c>
      <c r="G15">
        <f t="shared" si="1"/>
        <v>66.772629310344826</v>
      </c>
      <c r="H15">
        <f t="shared" si="1"/>
        <v>48.551993534482762</v>
      </c>
    </row>
    <row r="16" spans="1:11" x14ac:dyDescent="0.3">
      <c r="A16" t="s">
        <v>1752</v>
      </c>
      <c r="B16" s="13" t="s">
        <v>38</v>
      </c>
      <c r="C16">
        <v>0</v>
      </c>
      <c r="D16">
        <v>0</v>
      </c>
      <c r="E16">
        <v>0</v>
      </c>
      <c r="F16" s="5">
        <v>0</v>
      </c>
      <c r="G16" s="5">
        <v>0</v>
      </c>
      <c r="H16" s="5">
        <v>0</v>
      </c>
    </row>
    <row r="17" spans="1:11" x14ac:dyDescent="0.3">
      <c r="A17" t="s">
        <v>110</v>
      </c>
      <c r="B17" s="13" t="s">
        <v>201</v>
      </c>
      <c r="C17">
        <f t="shared" ref="C17:H17" si="2">$C$135</f>
        <v>25</v>
      </c>
      <c r="D17">
        <f>$C$135</f>
        <v>25</v>
      </c>
      <c r="E17">
        <f t="shared" si="2"/>
        <v>25</v>
      </c>
      <c r="F17">
        <f t="shared" si="2"/>
        <v>25</v>
      </c>
      <c r="G17">
        <f t="shared" si="2"/>
        <v>25</v>
      </c>
      <c r="H17">
        <f t="shared" si="2"/>
        <v>25</v>
      </c>
    </row>
    <row r="18" spans="1:11" x14ac:dyDescent="0.3">
      <c r="A18" t="s">
        <v>103</v>
      </c>
      <c r="B18" s="13" t="s">
        <v>51</v>
      </c>
      <c r="C18" s="2">
        <f>Annuities!AF19</f>
        <v>9.3678779051968114E-2</v>
      </c>
      <c r="D18" s="2">
        <f>Annuities!AG19</f>
        <v>9.3678779051968114E-2</v>
      </c>
      <c r="E18" s="2">
        <f>Annuities!AH19</f>
        <v>9.3678779051968114E-2</v>
      </c>
      <c r="F18" s="2">
        <f>Annuities!AI19</f>
        <v>9.3678779051968114E-2</v>
      </c>
      <c r="G18" s="2">
        <f>Annuities!AJ19</f>
        <v>9.3678779051968114E-2</v>
      </c>
      <c r="H18" s="2">
        <f>Annuities!AK19</f>
        <v>9.3678779051968114E-2</v>
      </c>
    </row>
    <row r="19" spans="1:11" x14ac:dyDescent="0.3">
      <c r="A19" t="s">
        <v>1642</v>
      </c>
      <c r="B19" s="13" t="s">
        <v>1696</v>
      </c>
      <c r="C19" s="2">
        <v>0</v>
      </c>
      <c r="D19" s="2">
        <v>0</v>
      </c>
      <c r="E19" s="2">
        <v>0</v>
      </c>
      <c r="F19" s="2">
        <v>0</v>
      </c>
      <c r="G19" s="2">
        <v>0</v>
      </c>
      <c r="H19" s="2">
        <v>0</v>
      </c>
    </row>
    <row r="20" spans="1:11" x14ac:dyDescent="0.3">
      <c r="A20" t="s">
        <v>1651</v>
      </c>
      <c r="B20" s="13" t="s">
        <v>1655</v>
      </c>
      <c r="C20" s="2">
        <v>0</v>
      </c>
      <c r="D20" s="2">
        <v>0</v>
      </c>
      <c r="E20" s="2">
        <v>0</v>
      </c>
      <c r="F20" s="2">
        <v>0</v>
      </c>
      <c r="G20" s="2">
        <v>0</v>
      </c>
      <c r="H20" s="2">
        <v>0</v>
      </c>
    </row>
    <row r="21" spans="1:11" s="15" customFormat="1" x14ac:dyDescent="0.3">
      <c r="B21" s="17"/>
      <c r="D21" s="17"/>
      <c r="E21" s="18"/>
      <c r="F21" s="17"/>
      <c r="G21" s="49"/>
    </row>
    <row r="22" spans="1:11" s="66" customFormat="1" x14ac:dyDescent="0.3">
      <c r="A22" s="66" t="s">
        <v>2035</v>
      </c>
      <c r="B22" s="68"/>
      <c r="D22" s="68"/>
      <c r="E22" s="69"/>
      <c r="F22" s="68"/>
      <c r="G22" s="70"/>
    </row>
    <row r="23" spans="1:11" s="15" customFormat="1" x14ac:dyDescent="0.3">
      <c r="A23" s="17" t="s">
        <v>85</v>
      </c>
      <c r="B23" s="17" t="s">
        <v>52</v>
      </c>
      <c r="C23" s="17" t="s">
        <v>184</v>
      </c>
      <c r="D23" s="18" t="s">
        <v>106</v>
      </c>
      <c r="E23" s="17" t="s">
        <v>183</v>
      </c>
      <c r="F23" s="17">
        <v>2030</v>
      </c>
      <c r="G23" s="17">
        <v>2040</v>
      </c>
      <c r="H23" s="49">
        <v>2050</v>
      </c>
      <c r="J23" s="17"/>
      <c r="K23" s="17"/>
    </row>
    <row r="24" spans="1:11" s="15" customFormat="1" x14ac:dyDescent="0.3">
      <c r="A24" t="s">
        <v>218</v>
      </c>
      <c r="B24" s="13" t="s">
        <v>204</v>
      </c>
      <c r="C24" s="5" t="s">
        <v>422</v>
      </c>
      <c r="D24" s="5" t="s">
        <v>422</v>
      </c>
      <c r="E24" s="14" t="s">
        <v>422</v>
      </c>
      <c r="F24" s="14" t="s">
        <v>422</v>
      </c>
      <c r="G24" s="14" t="s">
        <v>422</v>
      </c>
      <c r="H24" s="14" t="s">
        <v>422</v>
      </c>
      <c r="I24"/>
      <c r="J24"/>
      <c r="K24"/>
    </row>
    <row r="25" spans="1:11" x14ac:dyDescent="0.3">
      <c r="A25" t="s">
        <v>107</v>
      </c>
      <c r="B25" s="13" t="s">
        <v>202</v>
      </c>
      <c r="C25" s="22">
        <v>0</v>
      </c>
      <c r="D25" s="77">
        <v>0</v>
      </c>
      <c r="E25" s="78">
        <v>0</v>
      </c>
      <c r="F25" s="78">
        <v>0</v>
      </c>
      <c r="G25" s="78">
        <v>0</v>
      </c>
      <c r="H25" s="78">
        <v>0</v>
      </c>
    </row>
    <row r="26" spans="1:11" x14ac:dyDescent="0.3">
      <c r="A26" t="s">
        <v>417</v>
      </c>
      <c r="B26" s="13" t="s">
        <v>202</v>
      </c>
      <c r="C26" s="22">
        <v>1</v>
      </c>
      <c r="D26" s="22">
        <v>1</v>
      </c>
      <c r="E26" s="22">
        <v>1</v>
      </c>
      <c r="F26" s="22">
        <v>1</v>
      </c>
      <c r="G26" s="22">
        <v>1</v>
      </c>
      <c r="H26" s="22">
        <v>1</v>
      </c>
    </row>
    <row r="27" spans="1:11" x14ac:dyDescent="0.3">
      <c r="A27" t="s">
        <v>354</v>
      </c>
      <c r="B27" s="13" t="s">
        <v>419</v>
      </c>
      <c r="C27" s="22">
        <v>1</v>
      </c>
      <c r="D27" s="22">
        <v>1</v>
      </c>
      <c r="E27" s="22">
        <v>1</v>
      </c>
      <c r="F27" s="22">
        <v>1</v>
      </c>
      <c r="G27" s="22">
        <v>1</v>
      </c>
      <c r="H27" s="22">
        <v>1</v>
      </c>
    </row>
    <row r="28" spans="1:11" x14ac:dyDescent="0.3">
      <c r="A28" t="s">
        <v>355</v>
      </c>
      <c r="B28" s="13" t="s">
        <v>419</v>
      </c>
      <c r="C28" s="22">
        <v>1</v>
      </c>
      <c r="D28" s="22">
        <v>1</v>
      </c>
      <c r="E28" s="22">
        <v>1</v>
      </c>
      <c r="F28" s="22">
        <v>1</v>
      </c>
      <c r="G28" s="22">
        <v>1</v>
      </c>
      <c r="H28" s="22">
        <v>1</v>
      </c>
    </row>
    <row r="29" spans="1:11" x14ac:dyDescent="0.3">
      <c r="A29" t="s">
        <v>1282</v>
      </c>
      <c r="B29" s="13" t="s">
        <v>202</v>
      </c>
      <c r="C29" s="22">
        <v>0</v>
      </c>
      <c r="D29" s="22">
        <v>0</v>
      </c>
      <c r="E29" s="22">
        <v>0</v>
      </c>
      <c r="F29" s="22">
        <v>0</v>
      </c>
      <c r="G29" s="22">
        <v>0</v>
      </c>
      <c r="H29" s="22">
        <v>0</v>
      </c>
    </row>
    <row r="30" spans="1:11" x14ac:dyDescent="0.3">
      <c r="A30" t="s">
        <v>111</v>
      </c>
      <c r="B30" s="13" t="s">
        <v>123</v>
      </c>
      <c r="C30">
        <f>$C$188</f>
        <v>0.94</v>
      </c>
      <c r="D30">
        <f t="shared" ref="D30:H30" si="3">$C$188</f>
        <v>0.94</v>
      </c>
      <c r="E30">
        <f t="shared" si="3"/>
        <v>0.94</v>
      </c>
      <c r="F30">
        <f t="shared" si="3"/>
        <v>0.94</v>
      </c>
      <c r="G30">
        <f t="shared" si="3"/>
        <v>0.94</v>
      </c>
      <c r="H30">
        <f t="shared" si="3"/>
        <v>0.94</v>
      </c>
    </row>
    <row r="31" spans="1:11" x14ac:dyDescent="0.3">
      <c r="A31" t="s">
        <v>1779</v>
      </c>
      <c r="B31" s="13" t="s">
        <v>264</v>
      </c>
      <c r="C31">
        <v>0</v>
      </c>
      <c r="D31">
        <v>0</v>
      </c>
      <c r="E31">
        <v>0</v>
      </c>
      <c r="F31">
        <v>0</v>
      </c>
      <c r="G31">
        <v>0</v>
      </c>
      <c r="H31">
        <v>0</v>
      </c>
    </row>
    <row r="32" spans="1:11" x14ac:dyDescent="0.3">
      <c r="A32" t="s">
        <v>1750</v>
      </c>
      <c r="B32" s="13" t="s">
        <v>341</v>
      </c>
      <c r="C32">
        <f t="shared" ref="C32:H32" si="4">C31*$C$129</f>
        <v>0</v>
      </c>
      <c r="D32">
        <f t="shared" si="4"/>
        <v>0</v>
      </c>
      <c r="E32">
        <f t="shared" si="4"/>
        <v>0</v>
      </c>
      <c r="F32">
        <f t="shared" si="4"/>
        <v>0</v>
      </c>
      <c r="G32">
        <f t="shared" si="4"/>
        <v>0</v>
      </c>
      <c r="H32">
        <f t="shared" si="4"/>
        <v>0</v>
      </c>
    </row>
    <row r="33" spans="1:13" x14ac:dyDescent="0.3">
      <c r="A33" t="s">
        <v>1752</v>
      </c>
      <c r="B33" s="13" t="s">
        <v>38</v>
      </c>
      <c r="C33">
        <v>0</v>
      </c>
      <c r="D33">
        <v>0</v>
      </c>
      <c r="E33">
        <v>0</v>
      </c>
      <c r="F33" s="5">
        <v>0</v>
      </c>
      <c r="G33" s="5">
        <v>0</v>
      </c>
      <c r="H33" s="5">
        <v>0</v>
      </c>
    </row>
    <row r="34" spans="1:13" x14ac:dyDescent="0.3">
      <c r="A34" t="s">
        <v>110</v>
      </c>
      <c r="B34" s="13" t="s">
        <v>201</v>
      </c>
      <c r="C34">
        <f>$C$135</f>
        <v>25</v>
      </c>
      <c r="D34">
        <f t="shared" ref="D34:H34" si="5">$C$135</f>
        <v>25</v>
      </c>
      <c r="E34">
        <f t="shared" si="5"/>
        <v>25</v>
      </c>
      <c r="F34">
        <f t="shared" si="5"/>
        <v>25</v>
      </c>
      <c r="G34">
        <f t="shared" si="5"/>
        <v>25</v>
      </c>
      <c r="H34">
        <f t="shared" si="5"/>
        <v>25</v>
      </c>
    </row>
    <row r="35" spans="1:13" x14ac:dyDescent="0.3">
      <c r="A35" t="s">
        <v>103</v>
      </c>
      <c r="B35" s="13" t="s">
        <v>51</v>
      </c>
      <c r="C35" s="2">
        <f>Annuities!$AF$22</f>
        <v>9.3678779051968114E-2</v>
      </c>
      <c r="D35" s="2">
        <f>Annuities!$AF$22</f>
        <v>9.3678779051968114E-2</v>
      </c>
      <c r="E35" s="2">
        <f>Annuities!$AF$22</f>
        <v>9.3678779051968114E-2</v>
      </c>
      <c r="F35" s="2">
        <f>Annuities!$AF$22</f>
        <v>9.3678779051968114E-2</v>
      </c>
      <c r="G35" s="2">
        <f>Annuities!$AF$22</f>
        <v>9.3678779051968114E-2</v>
      </c>
      <c r="H35" s="2">
        <f>Annuities!$AF$22</f>
        <v>9.3678779051968114E-2</v>
      </c>
    </row>
    <row r="36" spans="1:13" x14ac:dyDescent="0.3">
      <c r="A36" t="s">
        <v>1642</v>
      </c>
      <c r="B36" s="13" t="s">
        <v>1696</v>
      </c>
      <c r="C36" s="2">
        <v>0</v>
      </c>
      <c r="D36" s="2">
        <v>0</v>
      </c>
      <c r="E36" s="2">
        <v>0</v>
      </c>
      <c r="F36" s="2">
        <v>0</v>
      </c>
      <c r="G36" s="2">
        <v>0</v>
      </c>
      <c r="H36" s="2">
        <v>0</v>
      </c>
    </row>
    <row r="37" spans="1:13" x14ac:dyDescent="0.3">
      <c r="A37" t="s">
        <v>1651</v>
      </c>
      <c r="B37" s="13" t="s">
        <v>1655</v>
      </c>
      <c r="C37" s="2">
        <v>0</v>
      </c>
      <c r="D37" s="2">
        <v>0</v>
      </c>
      <c r="E37" s="2">
        <v>0</v>
      </c>
      <c r="F37" s="2">
        <v>0</v>
      </c>
      <c r="G37" s="2">
        <v>0</v>
      </c>
      <c r="H37" s="2">
        <v>0</v>
      </c>
    </row>
    <row r="38" spans="1:13" x14ac:dyDescent="0.3">
      <c r="B38" s="13"/>
      <c r="D38" s="5"/>
      <c r="E38" s="14"/>
      <c r="F38" s="13"/>
      <c r="G38" s="13"/>
      <c r="H38" s="5"/>
    </row>
    <row r="39" spans="1:13" x14ac:dyDescent="0.3">
      <c r="A39" s="66" t="s">
        <v>47</v>
      </c>
      <c r="B39" s="68"/>
      <c r="C39" s="66"/>
      <c r="D39" s="68"/>
      <c r="E39" s="69"/>
      <c r="F39" s="68"/>
      <c r="G39" s="68"/>
      <c r="H39" s="70"/>
      <c r="I39" s="66"/>
      <c r="J39" s="66"/>
      <c r="K39" s="66"/>
      <c r="L39" s="66"/>
      <c r="M39" s="66"/>
    </row>
    <row r="40" spans="1:13" s="26" customFormat="1" x14ac:dyDescent="0.3">
      <c r="A40" s="17" t="s">
        <v>85</v>
      </c>
      <c r="B40" s="17" t="s">
        <v>52</v>
      </c>
      <c r="C40" s="17" t="s">
        <v>184</v>
      </c>
      <c r="D40" s="18" t="s">
        <v>106</v>
      </c>
      <c r="E40" s="17" t="s">
        <v>183</v>
      </c>
      <c r="F40" s="17">
        <v>2030</v>
      </c>
      <c r="G40" s="17">
        <v>2040</v>
      </c>
      <c r="H40" s="49">
        <v>2050</v>
      </c>
      <c r="I40" s="15"/>
      <c r="J40" s="17"/>
      <c r="K40" s="17"/>
      <c r="L40" s="15"/>
      <c r="M40" s="15"/>
    </row>
    <row r="41" spans="1:13" s="15" customFormat="1" x14ac:dyDescent="0.3">
      <c r="A41" t="s">
        <v>218</v>
      </c>
      <c r="B41" s="13" t="s">
        <v>196</v>
      </c>
      <c r="C41" s="5" t="s">
        <v>422</v>
      </c>
      <c r="D41" s="5" t="s">
        <v>422</v>
      </c>
      <c r="E41" s="5" t="s">
        <v>422</v>
      </c>
      <c r="F41" s="5" t="s">
        <v>422</v>
      </c>
      <c r="G41" s="5" t="s">
        <v>422</v>
      </c>
      <c r="H41" s="5" t="s">
        <v>422</v>
      </c>
      <c r="I41"/>
      <c r="J41"/>
      <c r="K41"/>
    </row>
    <row r="42" spans="1:13" x14ac:dyDescent="0.3">
      <c r="A42" t="s">
        <v>107</v>
      </c>
      <c r="B42" s="13" t="s">
        <v>202</v>
      </c>
      <c r="C42" s="22">
        <f>$C$148</f>
        <v>0.03</v>
      </c>
      <c r="D42" s="22">
        <f t="shared" ref="D42:H42" si="6">$C$148</f>
        <v>0.03</v>
      </c>
      <c r="E42" s="22">
        <f t="shared" si="6"/>
        <v>0.03</v>
      </c>
      <c r="F42" s="22">
        <f t="shared" si="6"/>
        <v>0.03</v>
      </c>
      <c r="G42" s="22">
        <f t="shared" si="6"/>
        <v>0.03</v>
      </c>
      <c r="H42" s="22">
        <f t="shared" si="6"/>
        <v>0.03</v>
      </c>
    </row>
    <row r="43" spans="1:13" x14ac:dyDescent="0.3">
      <c r="A43" t="s">
        <v>417</v>
      </c>
      <c r="B43" s="13" t="s">
        <v>202</v>
      </c>
      <c r="C43" s="22">
        <v>1</v>
      </c>
      <c r="D43" s="22">
        <v>1</v>
      </c>
      <c r="E43" s="22">
        <v>1</v>
      </c>
      <c r="F43" s="22">
        <v>1</v>
      </c>
      <c r="G43" s="22">
        <v>1</v>
      </c>
      <c r="H43" s="22">
        <v>1</v>
      </c>
    </row>
    <row r="44" spans="1:13" x14ac:dyDescent="0.3">
      <c r="A44" t="s">
        <v>111</v>
      </c>
      <c r="B44" s="13" t="s">
        <v>123</v>
      </c>
      <c r="C44">
        <v>0</v>
      </c>
      <c r="D44" s="5">
        <v>0</v>
      </c>
      <c r="E44" s="14">
        <v>0</v>
      </c>
      <c r="F44" s="14">
        <v>0</v>
      </c>
      <c r="G44" s="14">
        <v>0</v>
      </c>
      <c r="H44" s="14">
        <v>0</v>
      </c>
    </row>
    <row r="45" spans="1:13" x14ac:dyDescent="0.3">
      <c r="A45" t="s">
        <v>1779</v>
      </c>
      <c r="B45" s="13" t="s">
        <v>265</v>
      </c>
      <c r="C45">
        <f>$C$153</f>
        <v>1111.4252780552783</v>
      </c>
      <c r="D45">
        <f>$C$157</f>
        <v>981.95043103448279</v>
      </c>
      <c r="E45">
        <f>$C$157</f>
        <v>981.95043103448279</v>
      </c>
      <c r="F45" s="5">
        <f>$C$158</f>
        <v>815.0188577586207</v>
      </c>
      <c r="G45" s="5">
        <f>$C$159</f>
        <v>540.07273706896558</v>
      </c>
      <c r="H45" s="5">
        <f>$C$160</f>
        <v>490.97521551724139</v>
      </c>
    </row>
    <row r="46" spans="1:13" x14ac:dyDescent="0.3">
      <c r="A46" t="s">
        <v>1750</v>
      </c>
      <c r="B46" s="13" t="s">
        <v>1500</v>
      </c>
      <c r="C46">
        <f t="shared" ref="C46:H46" si="7">C45*$C$163</f>
        <v>22.228505561105568</v>
      </c>
      <c r="D46">
        <f t="shared" si="7"/>
        <v>19.639008620689655</v>
      </c>
      <c r="E46">
        <f t="shared" si="7"/>
        <v>19.639008620689655</v>
      </c>
      <c r="F46">
        <f t="shared" si="7"/>
        <v>16.300377155172413</v>
      </c>
      <c r="G46">
        <f t="shared" si="7"/>
        <v>10.801454741379311</v>
      </c>
      <c r="H46">
        <f t="shared" si="7"/>
        <v>9.8195043103448274</v>
      </c>
    </row>
    <row r="47" spans="1:13" x14ac:dyDescent="0.3">
      <c r="A47" t="s">
        <v>1752</v>
      </c>
      <c r="B47" s="13" t="s">
        <v>265</v>
      </c>
      <c r="C47">
        <v>0</v>
      </c>
      <c r="D47">
        <v>0</v>
      </c>
      <c r="E47">
        <v>0</v>
      </c>
      <c r="F47">
        <v>0</v>
      </c>
      <c r="G47">
        <v>0</v>
      </c>
      <c r="H47">
        <v>0</v>
      </c>
    </row>
    <row r="48" spans="1:13" x14ac:dyDescent="0.3">
      <c r="A48" t="s">
        <v>110</v>
      </c>
      <c r="B48" s="13" t="s">
        <v>201</v>
      </c>
      <c r="C48">
        <f>$C$165</f>
        <v>20</v>
      </c>
      <c r="D48">
        <f>C166</f>
        <v>25</v>
      </c>
      <c r="E48">
        <f>C166</f>
        <v>25</v>
      </c>
      <c r="F48" s="5">
        <f>C167</f>
        <v>30</v>
      </c>
      <c r="G48" s="5">
        <f>C168</f>
        <v>30</v>
      </c>
      <c r="H48" s="5">
        <f>C169</f>
        <v>30</v>
      </c>
    </row>
    <row r="49" spans="1:13" x14ac:dyDescent="0.3">
      <c r="A49" t="s">
        <v>103</v>
      </c>
      <c r="B49" s="13" t="s">
        <v>51</v>
      </c>
      <c r="C49" s="2">
        <f>Annuities!AF21</f>
        <v>0.10185220882315059</v>
      </c>
      <c r="D49" s="2">
        <f>Annuities!AG21</f>
        <v>9.3678779051968114E-2</v>
      </c>
      <c r="E49" s="2">
        <f>Annuities!AH21</f>
        <v>9.3678779051968114E-2</v>
      </c>
      <c r="F49" s="2">
        <f>Annuities!AI21</f>
        <v>8.8827433387272267E-2</v>
      </c>
      <c r="G49" s="2">
        <f>Annuities!AJ21</f>
        <v>8.8827433387272267E-2</v>
      </c>
      <c r="H49" s="2">
        <f>Annuities!AK21</f>
        <v>8.8827433387272267E-2</v>
      </c>
    </row>
    <row r="50" spans="1:13" x14ac:dyDescent="0.3">
      <c r="A50" t="s">
        <v>1642</v>
      </c>
      <c r="B50" s="13" t="s">
        <v>1890</v>
      </c>
      <c r="C50" s="2">
        <f>$C$179</f>
        <v>6.2260740740740748E-3</v>
      </c>
      <c r="D50" s="2">
        <f>$C$179</f>
        <v>6.2260740740740748E-3</v>
      </c>
      <c r="E50" s="2">
        <f>$C$179</f>
        <v>6.2260740740740748E-3</v>
      </c>
      <c r="F50" s="2">
        <f>$C$180</f>
        <v>3.9431594933333333E-3</v>
      </c>
      <c r="G50" s="2">
        <f>$C$181</f>
        <v>1.9715486162962966E-3</v>
      </c>
      <c r="H50" s="2">
        <f>$C$182</f>
        <v>3.1130370370370379E-4</v>
      </c>
    </row>
    <row r="51" spans="1:13" x14ac:dyDescent="0.3">
      <c r="A51" t="s">
        <v>1651</v>
      </c>
      <c r="B51" s="13" t="s">
        <v>1881</v>
      </c>
      <c r="C51" s="2">
        <v>0</v>
      </c>
      <c r="D51" s="2">
        <v>0</v>
      </c>
      <c r="E51" s="2">
        <v>0</v>
      </c>
      <c r="F51" s="2">
        <v>0</v>
      </c>
      <c r="G51" s="2">
        <v>0</v>
      </c>
      <c r="H51" s="2">
        <v>0</v>
      </c>
    </row>
    <row r="52" spans="1:13" x14ac:dyDescent="0.3">
      <c r="A52" t="s">
        <v>2050</v>
      </c>
      <c r="B52" s="13" t="s">
        <v>2282</v>
      </c>
      <c r="C52" s="2"/>
      <c r="D52" s="2"/>
      <c r="E52" s="2"/>
      <c r="F52" s="2"/>
      <c r="G52" s="2"/>
      <c r="H52" s="2"/>
    </row>
    <row r="53" spans="1:13" x14ac:dyDescent="0.3">
      <c r="B53" s="13"/>
      <c r="C53" s="2"/>
      <c r="D53" s="2"/>
      <c r="E53" s="2"/>
      <c r="F53" s="13"/>
      <c r="G53" s="13"/>
      <c r="H53" s="5"/>
    </row>
    <row r="54" spans="1:13" x14ac:dyDescent="0.3">
      <c r="A54" s="66" t="s">
        <v>2007</v>
      </c>
      <c r="B54" s="68"/>
      <c r="C54" s="66"/>
      <c r="D54" s="68"/>
      <c r="E54" s="69"/>
      <c r="F54" s="68"/>
      <c r="G54" s="68"/>
      <c r="H54" s="70"/>
      <c r="I54" s="66"/>
      <c r="J54" s="66"/>
      <c r="K54" s="66"/>
      <c r="L54" s="66"/>
      <c r="M54" s="66"/>
    </row>
    <row r="55" spans="1:13" s="26" customFormat="1" x14ac:dyDescent="0.3">
      <c r="A55" s="17" t="s">
        <v>85</v>
      </c>
      <c r="B55" s="17" t="s">
        <v>52</v>
      </c>
      <c r="C55" s="17" t="s">
        <v>184</v>
      </c>
      <c r="D55" s="18" t="s">
        <v>106</v>
      </c>
      <c r="E55" s="17" t="s">
        <v>183</v>
      </c>
      <c r="F55" s="17">
        <v>2030</v>
      </c>
      <c r="G55" s="17">
        <v>2040</v>
      </c>
      <c r="H55" s="49">
        <v>2050</v>
      </c>
      <c r="I55" s="15"/>
      <c r="J55" s="17"/>
      <c r="K55" s="17"/>
      <c r="L55" s="15"/>
      <c r="M55" s="15"/>
    </row>
    <row r="56" spans="1:13" s="15" customFormat="1" x14ac:dyDescent="0.3">
      <c r="A56" t="s">
        <v>218</v>
      </c>
      <c r="B56" s="13" t="s">
        <v>196</v>
      </c>
      <c r="C56" s="5" t="s">
        <v>422</v>
      </c>
      <c r="D56" s="5" t="s">
        <v>422</v>
      </c>
      <c r="E56" s="5" t="s">
        <v>422</v>
      </c>
      <c r="F56" s="5" t="s">
        <v>422</v>
      </c>
      <c r="G56" s="5" t="s">
        <v>422</v>
      </c>
      <c r="H56" s="5" t="s">
        <v>422</v>
      </c>
      <c r="I56"/>
      <c r="J56"/>
      <c r="K56"/>
    </row>
    <row r="57" spans="1:13" x14ac:dyDescent="0.3">
      <c r="A57" t="s">
        <v>2036</v>
      </c>
      <c r="B57" s="13" t="s">
        <v>202</v>
      </c>
      <c r="C57" s="22">
        <f>$C$192</f>
        <v>0.09</v>
      </c>
      <c r="D57" s="22">
        <f t="shared" ref="D57:H57" si="8">$C$192</f>
        <v>0.09</v>
      </c>
      <c r="E57" s="22">
        <f t="shared" si="8"/>
        <v>0.09</v>
      </c>
      <c r="F57" s="22">
        <f t="shared" si="8"/>
        <v>0.09</v>
      </c>
      <c r="G57" s="22">
        <f t="shared" si="8"/>
        <v>0.09</v>
      </c>
      <c r="H57" s="22">
        <f t="shared" si="8"/>
        <v>0.09</v>
      </c>
    </row>
    <row r="58" spans="1:13" x14ac:dyDescent="0.3">
      <c r="A58" t="s">
        <v>417</v>
      </c>
      <c r="B58" s="13" t="s">
        <v>202</v>
      </c>
      <c r="C58" s="22">
        <v>1</v>
      </c>
      <c r="D58" s="22">
        <v>1</v>
      </c>
      <c r="E58" s="22">
        <v>1</v>
      </c>
      <c r="F58" s="22">
        <v>1</v>
      </c>
      <c r="G58" s="22">
        <v>1</v>
      </c>
      <c r="H58" s="22">
        <v>1</v>
      </c>
    </row>
    <row r="59" spans="1:13" x14ac:dyDescent="0.3">
      <c r="A59" t="s">
        <v>111</v>
      </c>
      <c r="B59" s="13" t="s">
        <v>123</v>
      </c>
      <c r="C59">
        <v>0</v>
      </c>
      <c r="D59" s="5">
        <v>0</v>
      </c>
      <c r="E59" s="14">
        <v>0</v>
      </c>
      <c r="F59" s="14">
        <v>0</v>
      </c>
      <c r="G59" s="14">
        <v>0</v>
      </c>
      <c r="H59" s="14">
        <v>0</v>
      </c>
    </row>
    <row r="60" spans="1:13" x14ac:dyDescent="0.3">
      <c r="A60" t="s">
        <v>1779</v>
      </c>
      <c r="B60" s="13" t="s">
        <v>265</v>
      </c>
      <c r="C60">
        <f>$C$195</f>
        <v>460.75542459148141</v>
      </c>
      <c r="D60">
        <f t="shared" ref="D60:H60" si="9">$C$195</f>
        <v>460.75542459148141</v>
      </c>
      <c r="E60">
        <f t="shared" si="9"/>
        <v>460.75542459148141</v>
      </c>
      <c r="F60">
        <f t="shared" si="9"/>
        <v>460.75542459148141</v>
      </c>
      <c r="G60">
        <f t="shared" si="9"/>
        <v>460.75542459148141</v>
      </c>
      <c r="H60">
        <f t="shared" si="9"/>
        <v>460.75542459148141</v>
      </c>
    </row>
    <row r="61" spans="1:13" x14ac:dyDescent="0.3">
      <c r="A61" t="s">
        <v>1750</v>
      </c>
      <c r="B61" s="13" t="s">
        <v>1500</v>
      </c>
      <c r="C61">
        <f>$C$197</f>
        <v>0.99167600700525393</v>
      </c>
      <c r="D61">
        <f t="shared" ref="D61:H61" si="10">$C$197</f>
        <v>0.99167600700525393</v>
      </c>
      <c r="E61">
        <f t="shared" si="10"/>
        <v>0.99167600700525393</v>
      </c>
      <c r="F61">
        <f t="shared" si="10"/>
        <v>0.99167600700525393</v>
      </c>
      <c r="G61">
        <f t="shared" si="10"/>
        <v>0.99167600700525393</v>
      </c>
      <c r="H61">
        <f t="shared" si="10"/>
        <v>0.99167600700525393</v>
      </c>
    </row>
    <row r="62" spans="1:13" x14ac:dyDescent="0.3">
      <c r="A62" t="s">
        <v>1752</v>
      </c>
      <c r="B62" s="13" t="s">
        <v>265</v>
      </c>
      <c r="C62">
        <v>0</v>
      </c>
      <c r="D62">
        <v>0</v>
      </c>
      <c r="E62">
        <v>0</v>
      </c>
      <c r="F62">
        <v>0</v>
      </c>
      <c r="G62">
        <v>0</v>
      </c>
      <c r="H62">
        <v>0</v>
      </c>
    </row>
    <row r="63" spans="1:13" x14ac:dyDescent="0.3">
      <c r="A63" t="s">
        <v>110</v>
      </c>
      <c r="B63" s="13" t="s">
        <v>201</v>
      </c>
      <c r="C63">
        <f>$C$199</f>
        <v>50</v>
      </c>
      <c r="D63">
        <f t="shared" ref="D63:H63" si="11">$C$199</f>
        <v>50</v>
      </c>
      <c r="E63">
        <f t="shared" si="11"/>
        <v>50</v>
      </c>
      <c r="F63">
        <f t="shared" si="11"/>
        <v>50</v>
      </c>
      <c r="G63">
        <f t="shared" si="11"/>
        <v>50</v>
      </c>
      <c r="H63">
        <f t="shared" si="11"/>
        <v>50</v>
      </c>
    </row>
    <row r="64" spans="1:13" x14ac:dyDescent="0.3">
      <c r="A64" t="s">
        <v>103</v>
      </c>
      <c r="B64" s="13" t="s">
        <v>51</v>
      </c>
      <c r="C64" s="2">
        <f>Annuities!AF23</f>
        <v>8.174285816161557E-2</v>
      </c>
      <c r="D64" s="2">
        <f>Annuities!AG23</f>
        <v>8.174285816161557E-2</v>
      </c>
      <c r="E64" s="2">
        <f>Annuities!AH23</f>
        <v>8.174285816161557E-2</v>
      </c>
      <c r="F64" s="2">
        <f>Annuities!AI23</f>
        <v>7.7351087237424163E-2</v>
      </c>
      <c r="G64" s="2">
        <f>Annuities!AJ23</f>
        <v>8.174285816161557E-2</v>
      </c>
      <c r="H64" s="2">
        <f>Annuities!AK23</f>
        <v>8.174285816161557E-2</v>
      </c>
    </row>
    <row r="65" spans="1:13" x14ac:dyDescent="0.3">
      <c r="A65" t="s">
        <v>1642</v>
      </c>
      <c r="B65" s="13" t="s">
        <v>1890</v>
      </c>
      <c r="C65" s="2">
        <f>$C$179</f>
        <v>6.2260740740740748E-3</v>
      </c>
      <c r="D65" s="2">
        <f>$C$179</f>
        <v>6.2260740740740748E-3</v>
      </c>
      <c r="E65" s="2">
        <f>$C$179</f>
        <v>6.2260740740740748E-3</v>
      </c>
      <c r="F65" s="2">
        <f>$C$180</f>
        <v>3.9431594933333333E-3</v>
      </c>
      <c r="G65" s="2">
        <f>$C$181</f>
        <v>1.9715486162962966E-3</v>
      </c>
      <c r="H65" s="2">
        <f>$C$182</f>
        <v>3.1130370370370379E-4</v>
      </c>
    </row>
    <row r="66" spans="1:13" x14ac:dyDescent="0.3">
      <c r="A66" t="s">
        <v>1651</v>
      </c>
      <c r="B66" s="13" t="s">
        <v>1881</v>
      </c>
      <c r="C66" s="2">
        <v>0</v>
      </c>
      <c r="D66" s="2">
        <v>0</v>
      </c>
      <c r="E66" s="2">
        <v>0</v>
      </c>
      <c r="F66" s="2">
        <v>0</v>
      </c>
      <c r="G66" s="2">
        <v>0</v>
      </c>
      <c r="H66" s="2">
        <v>0</v>
      </c>
    </row>
    <row r="67" spans="1:13" x14ac:dyDescent="0.3">
      <c r="A67" t="s">
        <v>2050</v>
      </c>
      <c r="B67" s="13" t="s">
        <v>2283</v>
      </c>
      <c r="C67" s="2">
        <f>$C$190</f>
        <v>0.89030920000000002</v>
      </c>
      <c r="D67" s="2">
        <f t="shared" ref="D67:H67" si="12">$C$190</f>
        <v>0.89030920000000002</v>
      </c>
      <c r="E67" s="2">
        <f t="shared" si="12"/>
        <v>0.89030920000000002</v>
      </c>
      <c r="F67" s="2">
        <f t="shared" si="12"/>
        <v>0.89030920000000002</v>
      </c>
      <c r="G67" s="2">
        <f t="shared" si="12"/>
        <v>0.89030920000000002</v>
      </c>
      <c r="H67" s="2">
        <f t="shared" si="12"/>
        <v>0.89030920000000002</v>
      </c>
    </row>
    <row r="68" spans="1:13" x14ac:dyDescent="0.3">
      <c r="B68" s="13"/>
      <c r="C68" s="2"/>
      <c r="D68" s="2"/>
      <c r="E68" s="2"/>
      <c r="F68" s="2"/>
      <c r="G68" s="2"/>
      <c r="H68" s="2"/>
    </row>
    <row r="69" spans="1:13" x14ac:dyDescent="0.3">
      <c r="A69" s="66" t="s">
        <v>922</v>
      </c>
      <c r="B69" s="68"/>
      <c r="C69" s="66"/>
      <c r="D69" s="68"/>
      <c r="E69" s="69"/>
      <c r="F69" s="68"/>
      <c r="G69" s="68"/>
      <c r="H69" s="70"/>
      <c r="I69" s="66"/>
      <c r="J69" s="66"/>
      <c r="K69" s="66"/>
      <c r="L69" s="66"/>
      <c r="M69" s="66"/>
    </row>
    <row r="70" spans="1:13" s="26" customFormat="1" x14ac:dyDescent="0.3">
      <c r="A70" s="17" t="s">
        <v>85</v>
      </c>
      <c r="B70" s="17" t="s">
        <v>52</v>
      </c>
      <c r="C70" s="17" t="s">
        <v>184</v>
      </c>
      <c r="D70" s="18" t="s">
        <v>106</v>
      </c>
      <c r="E70" s="17" t="s">
        <v>183</v>
      </c>
      <c r="F70" s="17">
        <v>2030</v>
      </c>
      <c r="G70" s="17">
        <v>2040</v>
      </c>
      <c r="H70" s="49">
        <v>2050</v>
      </c>
      <c r="I70" s="15"/>
      <c r="J70" s="17"/>
      <c r="K70" s="17"/>
      <c r="L70" s="15"/>
      <c r="M70" s="15"/>
    </row>
    <row r="71" spans="1:13" s="15" customFormat="1" x14ac:dyDescent="0.3">
      <c r="A71" t="s">
        <v>218</v>
      </c>
      <c r="B71" s="13" t="s">
        <v>196</v>
      </c>
      <c r="C71" s="5" t="s">
        <v>422</v>
      </c>
      <c r="D71" s="5" t="s">
        <v>422</v>
      </c>
      <c r="E71" s="5" t="s">
        <v>422</v>
      </c>
      <c r="F71" s="5" t="s">
        <v>422</v>
      </c>
      <c r="G71" s="5" t="s">
        <v>422</v>
      </c>
      <c r="H71" s="5" t="s">
        <v>422</v>
      </c>
      <c r="I71"/>
      <c r="J71"/>
      <c r="K71"/>
    </row>
    <row r="72" spans="1:13" x14ac:dyDescent="0.3">
      <c r="A72" t="s">
        <v>111</v>
      </c>
      <c r="B72" s="13" t="s">
        <v>123</v>
      </c>
      <c r="C72">
        <v>0</v>
      </c>
      <c r="D72" s="5">
        <v>0</v>
      </c>
      <c r="E72" s="14">
        <v>0</v>
      </c>
      <c r="F72" s="14">
        <v>0</v>
      </c>
      <c r="G72" s="14"/>
      <c r="H72" s="14">
        <v>0</v>
      </c>
    </row>
    <row r="73" spans="1:13" x14ac:dyDescent="0.3">
      <c r="A73" t="s">
        <v>944</v>
      </c>
      <c r="B73" s="13" t="s">
        <v>942</v>
      </c>
      <c r="C73">
        <v>0</v>
      </c>
      <c r="D73">
        <v>0</v>
      </c>
      <c r="E73">
        <v>0</v>
      </c>
      <c r="F73" s="13"/>
      <c r="G73" s="13"/>
      <c r="H73" s="5"/>
    </row>
    <row r="74" spans="1:13" x14ac:dyDescent="0.3">
      <c r="A74" t="s">
        <v>1779</v>
      </c>
      <c r="B74" s="13" t="s">
        <v>239</v>
      </c>
      <c r="C74">
        <f>'Calculations 2'!G7*C73</f>
        <v>0</v>
      </c>
      <c r="D74">
        <f>'Calculations 2'!G7*D73</f>
        <v>0</v>
      </c>
      <c r="E74">
        <f>'Calculations 2'!G7*E73</f>
        <v>0</v>
      </c>
      <c r="F74" s="13"/>
      <c r="G74" s="13"/>
      <c r="H74" s="5"/>
    </row>
    <row r="75" spans="1:13" x14ac:dyDescent="0.3">
      <c r="A75" t="s">
        <v>1781</v>
      </c>
      <c r="B75" s="13" t="s">
        <v>932</v>
      </c>
      <c r="C75">
        <f>'Calculations 2'!G3*D73</f>
        <v>0</v>
      </c>
      <c r="D75">
        <f>'Calculations 2'!G3*D73</f>
        <v>0</v>
      </c>
      <c r="E75">
        <f>'Calculations 2'!G3*E73</f>
        <v>0</v>
      </c>
      <c r="F75" s="13"/>
      <c r="G75" s="13"/>
      <c r="H75" s="5"/>
    </row>
    <row r="76" spans="1:13" x14ac:dyDescent="0.3">
      <c r="A76" t="s">
        <v>1750</v>
      </c>
      <c r="B76" s="13" t="s">
        <v>945</v>
      </c>
      <c r="C76">
        <f>C74*0.02</f>
        <v>0</v>
      </c>
      <c r="D76">
        <f t="shared" ref="D76:E76" si="13">D74*0.02</f>
        <v>0</v>
      </c>
      <c r="E76">
        <f t="shared" si="13"/>
        <v>0</v>
      </c>
      <c r="F76" s="13"/>
      <c r="G76" s="13"/>
      <c r="H76" s="5"/>
    </row>
    <row r="77" spans="1:13" x14ac:dyDescent="0.3">
      <c r="A77" t="s">
        <v>110</v>
      </c>
      <c r="B77" s="13" t="s">
        <v>201</v>
      </c>
      <c r="C77">
        <v>20</v>
      </c>
      <c r="D77">
        <v>20</v>
      </c>
      <c r="E77">
        <v>20</v>
      </c>
      <c r="F77" s="13"/>
      <c r="G77" s="13"/>
      <c r="H77" s="5"/>
    </row>
    <row r="78" spans="1:13" x14ac:dyDescent="0.3">
      <c r="A78" t="s">
        <v>103</v>
      </c>
      <c r="B78" s="13" t="s">
        <v>51</v>
      </c>
      <c r="C78" s="2">
        <f>Annuities!AF14</f>
        <v>0.10185220882315059</v>
      </c>
      <c r="D78" s="2">
        <f>Annuities!AG14</f>
        <v>0.10185220882315059</v>
      </c>
      <c r="E78" s="2">
        <f>Annuities!AH14</f>
        <v>0.10185220882315059</v>
      </c>
      <c r="F78" s="13"/>
      <c r="G78" s="13"/>
      <c r="H78" s="5"/>
    </row>
    <row r="79" spans="1:13" x14ac:dyDescent="0.3">
      <c r="A79" t="s">
        <v>1642</v>
      </c>
      <c r="B79" s="13" t="s">
        <v>1880</v>
      </c>
      <c r="C79" s="2">
        <v>0</v>
      </c>
      <c r="D79" s="2">
        <v>0</v>
      </c>
      <c r="E79" s="2">
        <v>0</v>
      </c>
      <c r="F79" s="2">
        <v>0</v>
      </c>
      <c r="G79" s="2">
        <v>0</v>
      </c>
      <c r="H79" s="2">
        <v>0</v>
      </c>
    </row>
    <row r="80" spans="1:13" x14ac:dyDescent="0.3">
      <c r="A80" t="s">
        <v>1651</v>
      </c>
      <c r="B80" s="13" t="s">
        <v>1653</v>
      </c>
      <c r="C80" s="2">
        <v>0</v>
      </c>
      <c r="D80" s="2">
        <v>0</v>
      </c>
      <c r="E80" s="2">
        <v>0</v>
      </c>
      <c r="F80" s="2">
        <v>0</v>
      </c>
      <c r="G80" s="2">
        <v>0</v>
      </c>
      <c r="H80" s="2">
        <v>0</v>
      </c>
    </row>
    <row r="81" spans="1:13" x14ac:dyDescent="0.3">
      <c r="B81" s="13"/>
      <c r="D81" s="5"/>
      <c r="E81" s="14"/>
      <c r="F81" s="13"/>
      <c r="G81" s="13"/>
      <c r="H81" s="5"/>
    </row>
    <row r="82" spans="1:13" x14ac:dyDescent="0.3">
      <c r="A82" s="66" t="s">
        <v>1771</v>
      </c>
      <c r="B82" s="68"/>
      <c r="C82" s="66"/>
      <c r="D82" s="68"/>
      <c r="E82" s="69"/>
      <c r="F82" s="68"/>
      <c r="G82" s="68"/>
      <c r="H82" s="70"/>
      <c r="I82" s="66"/>
      <c r="J82" s="66"/>
      <c r="K82" s="66"/>
      <c r="L82" s="66"/>
      <c r="M82" s="66"/>
    </row>
    <row r="83" spans="1:13" s="26" customFormat="1" x14ac:dyDescent="0.3">
      <c r="A83" s="17" t="s">
        <v>85</v>
      </c>
      <c r="B83" s="17" t="s">
        <v>52</v>
      </c>
      <c r="C83" s="17" t="s">
        <v>184</v>
      </c>
      <c r="D83" s="18" t="s">
        <v>106</v>
      </c>
      <c r="E83" s="17" t="s">
        <v>183</v>
      </c>
      <c r="F83" s="17">
        <v>2030</v>
      </c>
      <c r="G83" s="17">
        <v>2040</v>
      </c>
      <c r="H83" s="49">
        <v>2050</v>
      </c>
      <c r="I83" s="15"/>
      <c r="J83" s="17"/>
      <c r="K83" s="17"/>
      <c r="L83" s="15"/>
      <c r="M83" s="15"/>
    </row>
    <row r="84" spans="1:13" s="15" customFormat="1" x14ac:dyDescent="0.3">
      <c r="A84" t="s">
        <v>218</v>
      </c>
      <c r="B84" s="13" t="s">
        <v>536</v>
      </c>
      <c r="C84" s="5" t="s">
        <v>422</v>
      </c>
      <c r="D84" s="5" t="s">
        <v>422</v>
      </c>
      <c r="E84" s="14" t="s">
        <v>422</v>
      </c>
      <c r="F84" s="5" t="s">
        <v>422</v>
      </c>
      <c r="G84" s="5" t="s">
        <v>422</v>
      </c>
      <c r="H84" s="5" t="s">
        <v>422</v>
      </c>
      <c r="I84"/>
      <c r="J84"/>
      <c r="K84"/>
    </row>
    <row r="85" spans="1:13" x14ac:dyDescent="0.3">
      <c r="A85" t="s">
        <v>107</v>
      </c>
      <c r="B85" s="13" t="s">
        <v>202</v>
      </c>
      <c r="C85" s="22">
        <v>0.2</v>
      </c>
      <c r="D85" s="22">
        <v>0.2</v>
      </c>
      <c r="E85" s="22">
        <v>0.2</v>
      </c>
      <c r="F85" s="22">
        <v>0.2</v>
      </c>
      <c r="G85" s="22">
        <v>0.2</v>
      </c>
      <c r="H85" s="22">
        <v>0.2</v>
      </c>
    </row>
    <row r="86" spans="1:13" x14ac:dyDescent="0.3">
      <c r="A86" t="s">
        <v>693</v>
      </c>
      <c r="B86" s="13" t="s">
        <v>342</v>
      </c>
      <c r="C86">
        <f>$C$222</f>
        <v>0.04</v>
      </c>
      <c r="D86">
        <f>$C$222</f>
        <v>0.04</v>
      </c>
      <c r="E86">
        <f>$C$223</f>
        <v>3.5000000000000003E-2</v>
      </c>
      <c r="F86" s="5">
        <f>$C$226</f>
        <v>3.5000000000000003E-2</v>
      </c>
      <c r="G86" s="5">
        <f>$C$226</f>
        <v>3.5000000000000003E-2</v>
      </c>
      <c r="H86" s="5">
        <f>$C$226</f>
        <v>3.5000000000000003E-2</v>
      </c>
    </row>
    <row r="87" spans="1:13" x14ac:dyDescent="0.3">
      <c r="A87" t="s">
        <v>694</v>
      </c>
      <c r="B87" s="13" t="s">
        <v>692</v>
      </c>
      <c r="C87">
        <f>$C$224</f>
        <v>0.05</v>
      </c>
      <c r="D87">
        <f>$C$224</f>
        <v>0.05</v>
      </c>
      <c r="E87">
        <f>$C$225</f>
        <v>0.04</v>
      </c>
      <c r="F87" s="5">
        <f>$C$227</f>
        <v>4.4999999999999998E-2</v>
      </c>
      <c r="G87" s="5">
        <f>$C$227</f>
        <v>4.4999999999999998E-2</v>
      </c>
      <c r="H87" s="5">
        <f>$C$227</f>
        <v>4.4999999999999998E-2</v>
      </c>
    </row>
    <row r="88" spans="1:13" x14ac:dyDescent="0.3">
      <c r="A88" t="s">
        <v>1779</v>
      </c>
      <c r="B88" s="13" t="s">
        <v>344</v>
      </c>
      <c r="C88">
        <f>$C$241</f>
        <v>1086.5871800000002</v>
      </c>
      <c r="D88">
        <f>$C$233</f>
        <v>361.82973436935305</v>
      </c>
      <c r="E88">
        <f>$C$232</f>
        <v>328.93612215395734</v>
      </c>
      <c r="F88" s="5">
        <f>$C$236</f>
        <v>144.73189374774122</v>
      </c>
      <c r="G88" s="5">
        <f>$C$236</f>
        <v>144.73189374774122</v>
      </c>
      <c r="H88" s="5">
        <f>$C$236</f>
        <v>144.73189374774122</v>
      </c>
    </row>
    <row r="89" spans="1:13" x14ac:dyDescent="0.3">
      <c r="A89" t="s">
        <v>1750</v>
      </c>
      <c r="B89" s="13" t="s">
        <v>343</v>
      </c>
      <c r="C89">
        <f t="shared" ref="C89:H89" si="14">$C$250</f>
        <v>5.0761000000000003</v>
      </c>
      <c r="D89">
        <f t="shared" si="14"/>
        <v>5.0761000000000003</v>
      </c>
      <c r="E89">
        <f t="shared" si="14"/>
        <v>5.0761000000000003</v>
      </c>
      <c r="F89">
        <f t="shared" si="14"/>
        <v>5.0761000000000003</v>
      </c>
      <c r="G89">
        <f t="shared" si="14"/>
        <v>5.0761000000000003</v>
      </c>
      <c r="H89">
        <f t="shared" si="14"/>
        <v>5.0761000000000003</v>
      </c>
    </row>
    <row r="90" spans="1:13" x14ac:dyDescent="0.3">
      <c r="A90" t="s">
        <v>1752</v>
      </c>
      <c r="B90" s="13" t="s">
        <v>345</v>
      </c>
      <c r="C90">
        <f>$C$257</f>
        <v>5.8396240000000007E-3</v>
      </c>
      <c r="D90">
        <f>$C$256</f>
        <v>2.0855800000000001E-3</v>
      </c>
      <c r="E90">
        <f>$C$255</f>
        <v>4.1711600000000004E-4</v>
      </c>
      <c r="F90" s="5">
        <f>$C$258</f>
        <v>1.8770220000000001E-3</v>
      </c>
      <c r="G90" s="5">
        <f>$C$259</f>
        <v>1.772743E-3</v>
      </c>
      <c r="H90" s="5">
        <f>$C$261</f>
        <v>1.6684640000000001E-3</v>
      </c>
    </row>
    <row r="91" spans="1:13" x14ac:dyDescent="0.3">
      <c r="A91" t="s">
        <v>110</v>
      </c>
      <c r="B91" s="13" t="s">
        <v>201</v>
      </c>
      <c r="C91">
        <f>C267</f>
        <v>15</v>
      </c>
      <c r="D91">
        <f>C268</f>
        <v>20</v>
      </c>
      <c r="E91">
        <f>C269</f>
        <v>25</v>
      </c>
      <c r="F91" s="5">
        <f>C270</f>
        <v>25</v>
      </c>
      <c r="G91" s="5">
        <f>C271</f>
        <v>30</v>
      </c>
      <c r="H91" s="5">
        <f>C273</f>
        <v>30</v>
      </c>
    </row>
    <row r="92" spans="1:13" x14ac:dyDescent="0.3">
      <c r="A92" t="s">
        <v>103</v>
      </c>
      <c r="B92" s="13" t="s">
        <v>51</v>
      </c>
      <c r="C92" s="2">
        <f>Annuities!AF44</f>
        <v>0.11682954493601999</v>
      </c>
      <c r="D92" s="2">
        <f>Annuities!AG44</f>
        <v>0.10185220882315059</v>
      </c>
      <c r="E92" s="2">
        <f>Annuities!AH44</f>
        <v>9.3678779051968114E-2</v>
      </c>
      <c r="F92" s="2">
        <f>Annuities!AI44</f>
        <v>8.9946873351580109E-2</v>
      </c>
      <c r="G92" s="2">
        <f>Annuities!AJ44</f>
        <v>8.8827433387272267E-2</v>
      </c>
      <c r="H92" s="2">
        <f>Annuities!AK44</f>
        <v>8.8827433387272267E-2</v>
      </c>
    </row>
    <row r="93" spans="1:13" x14ac:dyDescent="0.3">
      <c r="A93" t="s">
        <v>1642</v>
      </c>
      <c r="B93" s="13" t="s">
        <v>1882</v>
      </c>
      <c r="C93" s="2">
        <f>$C$283</f>
        <v>2.6463492063492065</v>
      </c>
      <c r="D93" s="2">
        <f>$C$283</f>
        <v>2.6463492063492065</v>
      </c>
      <c r="E93" s="2">
        <f>$C$283</f>
        <v>2.6463492063492065</v>
      </c>
      <c r="F93" s="2">
        <f>$C$287</f>
        <v>1.5728301886792453</v>
      </c>
      <c r="G93" s="2">
        <f>$C$288</f>
        <v>1.3106918238993712</v>
      </c>
      <c r="H93" s="2">
        <f>$C$289</f>
        <v>1.0485534591194969</v>
      </c>
    </row>
    <row r="94" spans="1:13" x14ac:dyDescent="0.3">
      <c r="A94" t="s">
        <v>1651</v>
      </c>
      <c r="B94" s="13" t="s">
        <v>1652</v>
      </c>
      <c r="C94" s="2">
        <v>0</v>
      </c>
      <c r="D94" s="2">
        <v>0</v>
      </c>
      <c r="E94" s="2">
        <v>0</v>
      </c>
      <c r="F94" s="2">
        <v>0</v>
      </c>
      <c r="G94" s="2">
        <v>0</v>
      </c>
      <c r="H94" s="2">
        <v>0</v>
      </c>
    </row>
    <row r="95" spans="1:13" x14ac:dyDescent="0.3">
      <c r="A95" t="s">
        <v>2050</v>
      </c>
      <c r="B95" s="13" t="s">
        <v>2284</v>
      </c>
      <c r="C95" s="23">
        <f>$C$292</f>
        <v>7.4999999999999997E-3</v>
      </c>
      <c r="D95" s="2">
        <f>(C95+E95)/2</f>
        <v>6.2500000000000003E-3</v>
      </c>
      <c r="E95" s="23">
        <f>$C$291</f>
        <v>5.0000000000000001E-3</v>
      </c>
      <c r="F95" s="23">
        <f t="shared" ref="F95:H95" si="15">$C$291</f>
        <v>5.0000000000000001E-3</v>
      </c>
      <c r="G95" s="23">
        <f t="shared" si="15"/>
        <v>5.0000000000000001E-3</v>
      </c>
      <c r="H95" s="23">
        <f t="shared" si="15"/>
        <v>5.0000000000000001E-3</v>
      </c>
    </row>
    <row r="96" spans="1:13" x14ac:dyDescent="0.3">
      <c r="B96" s="13"/>
      <c r="C96" s="2"/>
      <c r="D96" s="2"/>
      <c r="E96" s="2"/>
      <c r="F96" s="13"/>
      <c r="G96" s="5"/>
    </row>
    <row r="97" spans="1:12" s="73" customFormat="1" x14ac:dyDescent="0.3">
      <c r="A97" s="33" t="s">
        <v>112</v>
      </c>
      <c r="B97" s="32"/>
      <c r="C97" s="33"/>
      <c r="D97" s="72"/>
      <c r="E97" s="34"/>
      <c r="F97" s="32"/>
      <c r="G97" s="48"/>
      <c r="H97" s="33"/>
      <c r="I97" s="33"/>
      <c r="J97" s="33"/>
      <c r="K97" s="33"/>
      <c r="L97" s="33"/>
    </row>
    <row r="98" spans="1:12" x14ac:dyDescent="0.3">
      <c r="A98" s="15"/>
      <c r="B98" s="17"/>
      <c r="C98" s="15"/>
      <c r="D98" s="5"/>
      <c r="E98" s="18"/>
      <c r="F98" s="17"/>
      <c r="G98" s="49"/>
      <c r="H98" s="15"/>
      <c r="I98" s="15"/>
      <c r="J98" s="15"/>
      <c r="K98" s="15"/>
      <c r="L98" s="15"/>
    </row>
    <row r="99" spans="1:12" x14ac:dyDescent="0.3">
      <c r="A99" s="66" t="s">
        <v>2021</v>
      </c>
      <c r="B99" s="68"/>
      <c r="C99" s="66"/>
      <c r="D99" s="68"/>
      <c r="E99" s="69"/>
      <c r="F99" s="68"/>
      <c r="G99" s="70"/>
      <c r="H99" s="66"/>
      <c r="I99" s="66"/>
      <c r="J99" s="66"/>
      <c r="K99" s="66"/>
      <c r="L99" s="66"/>
    </row>
    <row r="100" spans="1:12" x14ac:dyDescent="0.3">
      <c r="A100" s="17" t="s">
        <v>85</v>
      </c>
      <c r="B100" s="17" t="s">
        <v>82</v>
      </c>
      <c r="C100" s="15" t="s">
        <v>49</v>
      </c>
      <c r="D100" s="17" t="s">
        <v>52</v>
      </c>
      <c r="E100" s="18" t="s">
        <v>58</v>
      </c>
      <c r="F100" s="15" t="s">
        <v>93</v>
      </c>
      <c r="G100" s="15" t="s">
        <v>80</v>
      </c>
      <c r="H100" s="35" t="s">
        <v>59</v>
      </c>
    </row>
    <row r="101" spans="1:12" x14ac:dyDescent="0.3">
      <c r="A101" s="17"/>
      <c r="B101" s="17"/>
      <c r="C101" s="15"/>
      <c r="D101" s="17"/>
      <c r="E101" s="18"/>
      <c r="F101" s="15"/>
      <c r="G101" s="15"/>
      <c r="H101" s="35"/>
    </row>
    <row r="102" spans="1:12" x14ac:dyDescent="0.3">
      <c r="A102" s="203" t="s">
        <v>111</v>
      </c>
      <c r="B102" t="s">
        <v>288</v>
      </c>
      <c r="C102">
        <v>2.2000000000000002</v>
      </c>
      <c r="D102" t="s">
        <v>2</v>
      </c>
      <c r="E102" t="str">
        <f>Sources!A7</f>
        <v>Ikäheimo2018</v>
      </c>
      <c r="F102" t="str">
        <f>Sources!A33</f>
        <v>Gardiner2009</v>
      </c>
    </row>
    <row r="103" spans="1:12" s="45" customFormat="1" x14ac:dyDescent="0.3">
      <c r="A103" s="203"/>
      <c r="B103" s="45" t="s">
        <v>289</v>
      </c>
      <c r="C103" s="45">
        <v>3</v>
      </c>
      <c r="D103" s="45" t="s">
        <v>2</v>
      </c>
      <c r="E103" s="45" t="str">
        <f>Sources!A7</f>
        <v>Ikäheimo2018</v>
      </c>
      <c r="F103" s="45" t="str">
        <f>Sources!A33</f>
        <v>Gardiner2009</v>
      </c>
    </row>
    <row r="104" spans="1:12" s="60" customFormat="1" x14ac:dyDescent="0.3">
      <c r="A104" s="203"/>
      <c r="B104" s="60" t="s">
        <v>1354</v>
      </c>
      <c r="C104" s="60">
        <v>2.0457695650344849</v>
      </c>
      <c r="D104" s="60" t="s">
        <v>2</v>
      </c>
      <c r="E104" t="s">
        <v>407</v>
      </c>
    </row>
    <row r="105" spans="1:12" s="60" customFormat="1" x14ac:dyDescent="0.3">
      <c r="A105" s="203"/>
      <c r="B105" s="60" t="s">
        <v>1355</v>
      </c>
      <c r="C105" s="60">
        <v>1.7105094635899025</v>
      </c>
      <c r="D105" s="60" t="s">
        <v>2</v>
      </c>
      <c r="E105" t="s">
        <v>407</v>
      </c>
    </row>
    <row r="106" spans="1:12" x14ac:dyDescent="0.3">
      <c r="A106" s="203"/>
      <c r="B106" t="s">
        <v>285</v>
      </c>
      <c r="C106">
        <v>3.1</v>
      </c>
      <c r="D106" t="s">
        <v>2</v>
      </c>
      <c r="E106" t="str">
        <f>Sources!A33</f>
        <v>Gardiner2009</v>
      </c>
      <c r="G106" t="s">
        <v>286</v>
      </c>
      <c r="H106" t="s">
        <v>287</v>
      </c>
    </row>
    <row r="107" spans="1:12" x14ac:dyDescent="0.3">
      <c r="A107" s="203"/>
      <c r="B107" t="s">
        <v>290</v>
      </c>
      <c r="C107">
        <v>1.7</v>
      </c>
      <c r="D107" t="s">
        <v>2</v>
      </c>
      <c r="E107" t="str">
        <f>Sources!A33</f>
        <v>Gardiner2009</v>
      </c>
      <c r="G107" t="s">
        <v>286</v>
      </c>
      <c r="H107" t="s">
        <v>287</v>
      </c>
    </row>
    <row r="108" spans="1:12" x14ac:dyDescent="0.3">
      <c r="A108" s="203"/>
      <c r="B108" t="s">
        <v>291</v>
      </c>
      <c r="C108">
        <v>6.4</v>
      </c>
      <c r="D108" t="s">
        <v>2</v>
      </c>
      <c r="E108" t="str">
        <f>Sources!A33</f>
        <v>Gardiner2009</v>
      </c>
      <c r="G108" t="s">
        <v>286</v>
      </c>
      <c r="H108" t="s">
        <v>287</v>
      </c>
    </row>
    <row r="109" spans="1:12" x14ac:dyDescent="0.3">
      <c r="A109" s="203"/>
      <c r="B109" t="s">
        <v>337</v>
      </c>
      <c r="C109" s="5"/>
      <c r="E109" t="str">
        <f>Sources!A31</f>
        <v>Parks2014</v>
      </c>
      <c r="G109" t="str">
        <f>Sources!A33</f>
        <v>Gardiner2009</v>
      </c>
      <c r="H109" t="s">
        <v>292</v>
      </c>
    </row>
    <row r="110" spans="1:12" x14ac:dyDescent="0.3">
      <c r="A110" s="203"/>
      <c r="B110" t="s">
        <v>406</v>
      </c>
      <c r="C110" s="5"/>
      <c r="E110" t="str">
        <f>Sources!A45</f>
        <v>Belotti2017</v>
      </c>
    </row>
    <row r="111" spans="1:12" x14ac:dyDescent="0.3">
      <c r="A111" s="203"/>
      <c r="B111" t="s">
        <v>679</v>
      </c>
      <c r="C111" s="5">
        <v>4</v>
      </c>
      <c r="D111" t="s">
        <v>2</v>
      </c>
      <c r="E111" t="str">
        <f>Sources!A54</f>
        <v>DEA2020</v>
      </c>
    </row>
    <row r="112" spans="1:12" x14ac:dyDescent="0.3">
      <c r="A112" s="203"/>
      <c r="B112" t="s">
        <v>336</v>
      </c>
      <c r="C112" s="5">
        <v>2.84</v>
      </c>
      <c r="D112" t="s">
        <v>2</v>
      </c>
      <c r="E112" t="s">
        <v>407</v>
      </c>
    </row>
    <row r="113" spans="1:6" x14ac:dyDescent="0.3">
      <c r="A113" s="8"/>
      <c r="C113" s="5"/>
    </row>
    <row r="114" spans="1:6" x14ac:dyDescent="0.3">
      <c r="A114" s="203" t="s">
        <v>1283</v>
      </c>
      <c r="B114" t="s">
        <v>1284</v>
      </c>
      <c r="C114" s="22">
        <v>0.12</v>
      </c>
      <c r="D114" t="s">
        <v>202</v>
      </c>
      <c r="E114" t="str">
        <f>Sources!A54</f>
        <v>DEA2020</v>
      </c>
    </row>
    <row r="115" spans="1:6" x14ac:dyDescent="0.3">
      <c r="A115" s="203"/>
      <c r="B115" t="s">
        <v>1285</v>
      </c>
      <c r="C115" s="78">
        <v>0.11</v>
      </c>
      <c r="D115" t="s">
        <v>202</v>
      </c>
      <c r="E115" t="str">
        <f>Sources!A54</f>
        <v>DEA2020</v>
      </c>
    </row>
    <row r="116" spans="1:6" x14ac:dyDescent="0.3">
      <c r="A116" s="203"/>
      <c r="B116" t="s">
        <v>1286</v>
      </c>
      <c r="C116" s="78">
        <v>0.1</v>
      </c>
      <c r="D116" t="s">
        <v>202</v>
      </c>
      <c r="E116" t="str">
        <f>Sources!A54</f>
        <v>DEA2020</v>
      </c>
    </row>
    <row r="117" spans="1:6" x14ac:dyDescent="0.3">
      <c r="A117" s="203"/>
      <c r="B117" t="s">
        <v>1287</v>
      </c>
      <c r="C117" s="78">
        <v>0.1</v>
      </c>
      <c r="D117" t="s">
        <v>202</v>
      </c>
      <c r="E117" t="str">
        <f>Sources!A54</f>
        <v>DEA2020</v>
      </c>
    </row>
    <row r="119" spans="1:6" x14ac:dyDescent="0.3">
      <c r="A119" s="203" t="s">
        <v>1779</v>
      </c>
      <c r="B119" t="s">
        <v>1356</v>
      </c>
      <c r="C119">
        <f>15600*DE2014_*(CEPCI_ref/CEPCI2014)</f>
        <v>12384.453098330245</v>
      </c>
      <c r="D119" t="s">
        <v>37</v>
      </c>
      <c r="E119" t="str">
        <f>Sources!A7</f>
        <v>Ikäheimo2018</v>
      </c>
      <c r="F119" t="str">
        <f>Sources!A31</f>
        <v>Parks2014</v>
      </c>
    </row>
    <row r="120" spans="1:6" s="45" customFormat="1" x14ac:dyDescent="0.3">
      <c r="A120" s="203"/>
      <c r="B120" s="45" t="s">
        <v>1358</v>
      </c>
      <c r="C120" s="45">
        <f>11000*(CEPCI_ref/CEPCI2014)</f>
        <v>11599.548689463636</v>
      </c>
      <c r="D120" s="45" t="s">
        <v>37</v>
      </c>
      <c r="E120" s="45" t="str">
        <f>Sources!A7</f>
        <v>Ikäheimo2018</v>
      </c>
      <c r="F120" s="45" t="str">
        <f>Sources!A31</f>
        <v>Parks2014</v>
      </c>
    </row>
    <row r="121" spans="1:6" s="45" customFormat="1" x14ac:dyDescent="0.3">
      <c r="A121" s="203"/>
      <c r="B121" s="45" t="s">
        <v>1359</v>
      </c>
      <c r="C121" s="45">
        <f>7800*DE2014_*(CEPCI_ref/CEPCI2014)</f>
        <v>6192.2265491651224</v>
      </c>
      <c r="D121" s="45" t="s">
        <v>37</v>
      </c>
      <c r="E121" s="45" t="str">
        <f>Sources!A7</f>
        <v>Ikäheimo2018</v>
      </c>
      <c r="F121" s="45" t="str">
        <f>Sources!A31</f>
        <v>Parks2014</v>
      </c>
    </row>
    <row r="122" spans="1:6" s="45" customFormat="1" x14ac:dyDescent="0.3">
      <c r="A122" s="203"/>
      <c r="B122" s="45" t="s">
        <v>1360</v>
      </c>
      <c r="C122" s="45">
        <f>8333*(CEPCI_ref/CEPCI2015)</f>
        <v>9091.7699353448279</v>
      </c>
      <c r="D122" s="45" t="s">
        <v>37</v>
      </c>
      <c r="E122" s="45" t="str">
        <f>Sources!A54</f>
        <v>DEA2020</v>
      </c>
    </row>
    <row r="123" spans="1:6" x14ac:dyDescent="0.3">
      <c r="A123" s="203"/>
      <c r="B123" t="s">
        <v>1361</v>
      </c>
      <c r="C123">
        <f>6400*(CEPCI_ref/CEPCI2015)</f>
        <v>6982.7586206896558</v>
      </c>
      <c r="D123" t="s">
        <v>37</v>
      </c>
      <c r="E123" t="str">
        <f>Sources!A54</f>
        <v>DEA2020</v>
      </c>
    </row>
    <row r="124" spans="1:6" x14ac:dyDescent="0.3">
      <c r="A124" s="203"/>
      <c r="B124" t="s">
        <v>1362</v>
      </c>
      <c r="C124">
        <f>3060*(CEPCI_ref/CEPCI2015)</f>
        <v>3338.6314655172414</v>
      </c>
      <c r="D124" t="s">
        <v>37</v>
      </c>
      <c r="E124" t="str">
        <f>Sources!A54</f>
        <v>DEA2020</v>
      </c>
    </row>
    <row r="125" spans="1:6" x14ac:dyDescent="0.3">
      <c r="A125" s="203"/>
      <c r="B125" t="s">
        <v>1363</v>
      </c>
      <c r="C125">
        <f>2225*(CEPCI_ref/CEPCI2015)</f>
        <v>2427.5996767241381</v>
      </c>
      <c r="D125" t="s">
        <v>37</v>
      </c>
      <c r="E125" t="str">
        <f>Sources!A54</f>
        <v>DEA2020</v>
      </c>
    </row>
    <row r="126" spans="1:6" x14ac:dyDescent="0.3">
      <c r="A126" s="203"/>
      <c r="B126" t="s">
        <v>1364</v>
      </c>
      <c r="C126">
        <f>4175*(CEPCI_ref/CEPCI2015)</f>
        <v>4555.1589439655172</v>
      </c>
      <c r="D126" t="s">
        <v>37</v>
      </c>
      <c r="E126" t="str">
        <f>Sources!A54</f>
        <v>DEA2020</v>
      </c>
    </row>
    <row r="127" spans="1:6" x14ac:dyDescent="0.3">
      <c r="A127" s="8"/>
    </row>
    <row r="128" spans="1:6" s="45" customFormat="1" x14ac:dyDescent="0.3">
      <c r="A128" s="203" t="s">
        <v>1750</v>
      </c>
      <c r="B128" s="45" t="s">
        <v>529</v>
      </c>
      <c r="C128" s="143">
        <v>0.01</v>
      </c>
      <c r="D128" s="45" t="s">
        <v>195</v>
      </c>
      <c r="E128" s="45" t="str">
        <f>Sources!A7</f>
        <v>Ikäheimo2018</v>
      </c>
    </row>
    <row r="129" spans="1:12" x14ac:dyDescent="0.3">
      <c r="A129" s="203"/>
      <c r="B129" t="s">
        <v>424</v>
      </c>
      <c r="C129" s="22">
        <v>0.02</v>
      </c>
      <c r="D129" t="s">
        <v>329</v>
      </c>
      <c r="E129" t="str">
        <f>Sources!A7</f>
        <v>Ikäheimo2018</v>
      </c>
    </row>
    <row r="130" spans="1:12" s="60" customFormat="1" x14ac:dyDescent="0.3">
      <c r="A130" s="203"/>
      <c r="B130" s="60" t="s">
        <v>1365</v>
      </c>
      <c r="C130" s="144">
        <f>100*(CEPCI_ref/CEPCI2015)</f>
        <v>109.10560344827587</v>
      </c>
      <c r="D130" s="60" t="s">
        <v>423</v>
      </c>
      <c r="E130" s="60" t="str">
        <f>Sources!A54</f>
        <v>DEA2020</v>
      </c>
    </row>
    <row r="131" spans="1:12" x14ac:dyDescent="0.3">
      <c r="A131" s="8"/>
    </row>
    <row r="132" spans="1:12" x14ac:dyDescent="0.3">
      <c r="A132" s="8" t="s">
        <v>1752</v>
      </c>
    </row>
    <row r="133" spans="1:12" x14ac:dyDescent="0.3">
      <c r="A133" s="8"/>
    </row>
    <row r="134" spans="1:12" x14ac:dyDescent="0.3">
      <c r="A134" s="203" t="s">
        <v>110</v>
      </c>
      <c r="C134">
        <v>10</v>
      </c>
      <c r="D134" t="s">
        <v>132</v>
      </c>
      <c r="E134" t="str">
        <f>Sources!A31</f>
        <v>Parks2014</v>
      </c>
      <c r="H134" t="s">
        <v>300</v>
      </c>
    </row>
    <row r="135" spans="1:12" s="45" customFormat="1" x14ac:dyDescent="0.3">
      <c r="A135" s="203"/>
      <c r="C135" s="45">
        <v>25</v>
      </c>
      <c r="D135" s="45" t="s">
        <v>132</v>
      </c>
      <c r="E135" s="45" t="str">
        <f>Sources!A54</f>
        <v>DEA2020</v>
      </c>
    </row>
    <row r="136" spans="1:12" s="45" customFormat="1" x14ac:dyDescent="0.3">
      <c r="A136" s="8"/>
    </row>
    <row r="137" spans="1:12" s="45" customFormat="1" x14ac:dyDescent="0.3">
      <c r="A137" s="8" t="s">
        <v>2294</v>
      </c>
      <c r="B137" s="74" t="s">
        <v>2295</v>
      </c>
    </row>
    <row r="138" spans="1:12" x14ac:dyDescent="0.3">
      <c r="A138" s="8"/>
    </row>
    <row r="139" spans="1:12" x14ac:dyDescent="0.3">
      <c r="A139" s="66" t="s">
        <v>283</v>
      </c>
      <c r="B139" s="68"/>
      <c r="C139" s="66"/>
      <c r="D139" s="68"/>
      <c r="E139" s="69"/>
      <c r="F139" s="68"/>
      <c r="G139" s="70"/>
      <c r="H139" s="66"/>
      <c r="I139" s="66"/>
      <c r="J139" s="66"/>
      <c r="K139" s="66"/>
      <c r="L139" s="66"/>
    </row>
    <row r="140" spans="1:12" x14ac:dyDescent="0.3">
      <c r="A140" s="17" t="s">
        <v>85</v>
      </c>
      <c r="B140" s="17" t="s">
        <v>82</v>
      </c>
      <c r="C140" s="15" t="s">
        <v>49</v>
      </c>
      <c r="D140" s="17" t="s">
        <v>52</v>
      </c>
      <c r="E140" s="18" t="s">
        <v>58</v>
      </c>
      <c r="F140" s="15" t="s">
        <v>93</v>
      </c>
      <c r="G140" s="15" t="s">
        <v>80</v>
      </c>
      <c r="H140" s="35" t="s">
        <v>59</v>
      </c>
    </row>
    <row r="142" spans="1:12" x14ac:dyDescent="0.3">
      <c r="A142" s="203" t="s">
        <v>153</v>
      </c>
      <c r="B142" t="s">
        <v>258</v>
      </c>
      <c r="C142">
        <v>0.65</v>
      </c>
      <c r="D142" t="s">
        <v>259</v>
      </c>
      <c r="E142" t="str">
        <f>Sources!A7</f>
        <v>Ikäheimo2018</v>
      </c>
      <c r="F142" t="str">
        <f>Sources!A9</f>
        <v>Morgan2013</v>
      </c>
    </row>
    <row r="143" spans="1:12" x14ac:dyDescent="0.3">
      <c r="A143" s="203"/>
      <c r="B143" t="s">
        <v>258</v>
      </c>
      <c r="C143">
        <v>0.9</v>
      </c>
      <c r="D143" t="s">
        <v>259</v>
      </c>
      <c r="E143" t="str">
        <f>Sources!A7</f>
        <v>Ikäheimo2018</v>
      </c>
      <c r="F143" t="str">
        <f>Sources!A14</f>
        <v>Olson2017</v>
      </c>
    </row>
    <row r="145" spans="1:8" x14ac:dyDescent="0.3">
      <c r="A145" s="13" t="s">
        <v>154</v>
      </c>
      <c r="C145">
        <v>157</v>
      </c>
      <c r="D145" t="s">
        <v>143</v>
      </c>
    </row>
    <row r="148" spans="1:8" x14ac:dyDescent="0.3">
      <c r="A148" s="13" t="s">
        <v>680</v>
      </c>
      <c r="B148" t="s">
        <v>299</v>
      </c>
      <c r="C148" s="22">
        <v>0.03</v>
      </c>
      <c r="D148" t="s">
        <v>51</v>
      </c>
      <c r="E148" t="str">
        <f>Sources!A34</f>
        <v>Adams2019</v>
      </c>
    </row>
    <row r="150" spans="1:8" x14ac:dyDescent="0.3">
      <c r="A150" s="203" t="s">
        <v>155</v>
      </c>
      <c r="B150" t="s">
        <v>1375</v>
      </c>
      <c r="C150">
        <v>555</v>
      </c>
      <c r="D150" t="s">
        <v>38</v>
      </c>
      <c r="E150" t="str">
        <f>Sources!A25</f>
        <v>Bezmalinovic2013</v>
      </c>
      <c r="H150" t="s">
        <v>253</v>
      </c>
    </row>
    <row r="151" spans="1:8" x14ac:dyDescent="0.3">
      <c r="A151" s="203"/>
      <c r="B151" t="s">
        <v>304</v>
      </c>
      <c r="C151">
        <v>5.8</v>
      </c>
      <c r="D151" t="s">
        <v>301</v>
      </c>
      <c r="E151" t="str">
        <f>Sources!A7</f>
        <v>Ikäheimo2018</v>
      </c>
      <c r="F151" t="str">
        <f>Sources!A35</f>
        <v>Aicher2014</v>
      </c>
    </row>
    <row r="152" spans="1:8" x14ac:dyDescent="0.3">
      <c r="A152" s="203"/>
      <c r="B152" t="s">
        <v>1372</v>
      </c>
      <c r="C152">
        <f>470*DE2014_*(CEPCI_ref/CEPCI2014)</f>
        <v>373.1213433471292</v>
      </c>
      <c r="D152" t="s">
        <v>38</v>
      </c>
      <c r="E152" t="str">
        <f>Sources!A7</f>
        <v>Ikäheimo2018</v>
      </c>
      <c r="F152" t="str">
        <f>Sources!A31</f>
        <v>Parks2014</v>
      </c>
    </row>
    <row r="153" spans="1:8" s="45" customFormat="1" x14ac:dyDescent="0.3">
      <c r="A153" s="203"/>
      <c r="B153" s="45" t="s">
        <v>1371</v>
      </c>
      <c r="C153" s="45">
        <f>1400*DE2014_*(CEPCI_ref/CEPCI2014)</f>
        <v>1111.4252780552783</v>
      </c>
      <c r="D153" s="45" t="s">
        <v>38</v>
      </c>
      <c r="E153" s="45" t="str">
        <f>Sources!A7</f>
        <v>Ikäheimo2018</v>
      </c>
      <c r="F153" s="45" t="str">
        <f>Sources!A31</f>
        <v>Parks2014</v>
      </c>
    </row>
    <row r="154" spans="1:8" x14ac:dyDescent="0.3">
      <c r="A154" s="203"/>
      <c r="B154" t="s">
        <v>1373</v>
      </c>
      <c r="C154">
        <v>425.5</v>
      </c>
      <c r="D154" t="s">
        <v>38</v>
      </c>
      <c r="E154" t="str">
        <f>Sources!A7</f>
        <v>Ikäheimo2018</v>
      </c>
      <c r="F154" t="str">
        <f>Sources!A14</f>
        <v>Olson2017</v>
      </c>
    </row>
    <row r="155" spans="1:8" x14ac:dyDescent="0.3">
      <c r="A155" s="203"/>
      <c r="B155" t="s">
        <v>1374</v>
      </c>
      <c r="C155">
        <v>462.5</v>
      </c>
      <c r="D155" t="s">
        <v>38</v>
      </c>
      <c r="E155" t="str">
        <f>Sources!A7</f>
        <v>Ikäheimo2018</v>
      </c>
      <c r="F155" t="str">
        <f>Sources!A32</f>
        <v>Schoenung2011</v>
      </c>
    </row>
    <row r="156" spans="1:8" x14ac:dyDescent="0.3">
      <c r="A156" s="203"/>
      <c r="B156" t="s">
        <v>1367</v>
      </c>
      <c r="C156">
        <f>500*(CEPCI_ref/CEPCI2015)</f>
        <v>545.5280172413793</v>
      </c>
      <c r="D156" t="s">
        <v>38</v>
      </c>
      <c r="E156" t="str">
        <f>Sources!A54</f>
        <v>DEA2020</v>
      </c>
    </row>
    <row r="157" spans="1:8" x14ac:dyDescent="0.3">
      <c r="A157" s="203"/>
      <c r="B157" s="45" t="s">
        <v>1366</v>
      </c>
      <c r="C157" s="45">
        <f>900*(CEPCI_ref/CEPCI2015)</f>
        <v>981.95043103448279</v>
      </c>
      <c r="D157" s="45" t="s">
        <v>38</v>
      </c>
      <c r="E157" t="str">
        <f>Sources!A7</f>
        <v>Ikäheimo2018</v>
      </c>
    </row>
    <row r="158" spans="1:8" s="60" customFormat="1" x14ac:dyDescent="0.3">
      <c r="A158" s="203"/>
      <c r="B158" s="60" t="s">
        <v>1368</v>
      </c>
      <c r="C158" s="60">
        <f>C157*0.83</f>
        <v>815.0188577586207</v>
      </c>
      <c r="D158" s="60" t="s">
        <v>1256</v>
      </c>
      <c r="E158" s="60" t="str">
        <f>Sources!A54</f>
        <v>DEA2020</v>
      </c>
    </row>
    <row r="159" spans="1:8" s="60" customFormat="1" x14ac:dyDescent="0.3">
      <c r="A159" s="203"/>
      <c r="B159" s="60" t="s">
        <v>1369</v>
      </c>
      <c r="C159" s="60">
        <f>C157*0.55</f>
        <v>540.07273706896558</v>
      </c>
      <c r="D159" s="60" t="s">
        <v>1256</v>
      </c>
      <c r="E159" s="60" t="str">
        <f>Sources!A54</f>
        <v>DEA2020</v>
      </c>
    </row>
    <row r="160" spans="1:8" s="60" customFormat="1" x14ac:dyDescent="0.3">
      <c r="A160" s="203"/>
      <c r="B160" s="60" t="s">
        <v>1370</v>
      </c>
      <c r="C160" s="60">
        <f>C157*0.5</f>
        <v>490.97521551724139</v>
      </c>
      <c r="D160" s="60" t="s">
        <v>1256</v>
      </c>
      <c r="E160" s="60" t="str">
        <f>Sources!A54</f>
        <v>DEA2020</v>
      </c>
    </row>
    <row r="161" spans="1:5" x14ac:dyDescent="0.3">
      <c r="A161" s="8"/>
    </row>
    <row r="162" spans="1:5" s="60" customFormat="1" x14ac:dyDescent="0.3">
      <c r="A162" s="203" t="s">
        <v>257</v>
      </c>
      <c r="B162" s="60" t="s">
        <v>88</v>
      </c>
      <c r="C162" s="96">
        <v>0.01</v>
      </c>
      <c r="D162" s="60" t="s">
        <v>195</v>
      </c>
      <c r="E162" s="60" t="str">
        <f>Sources!A7</f>
        <v>Ikäheimo2018</v>
      </c>
    </row>
    <row r="163" spans="1:5" s="45" customFormat="1" x14ac:dyDescent="0.3">
      <c r="A163" s="203"/>
      <c r="B163" s="45" t="s">
        <v>712</v>
      </c>
      <c r="C163" s="143">
        <v>0.02</v>
      </c>
      <c r="D163" s="45" t="s">
        <v>195</v>
      </c>
      <c r="E163" s="45" t="str">
        <f>Sources!A55</f>
        <v>Hank2018</v>
      </c>
    </row>
    <row r="165" spans="1:5" x14ac:dyDescent="0.3">
      <c r="A165" s="203" t="s">
        <v>165</v>
      </c>
      <c r="B165" t="s">
        <v>671</v>
      </c>
      <c r="C165">
        <v>20</v>
      </c>
      <c r="D165" t="s">
        <v>132</v>
      </c>
      <c r="E165" t="str">
        <f>Sources!A25</f>
        <v>Bezmalinovic2013</v>
      </c>
    </row>
    <row r="166" spans="1:5" x14ac:dyDescent="0.3">
      <c r="A166" s="203"/>
      <c r="B166" t="s">
        <v>672</v>
      </c>
      <c r="C166">
        <v>25</v>
      </c>
      <c r="D166" t="s">
        <v>132</v>
      </c>
      <c r="E166" t="str">
        <f>Sources!A54</f>
        <v>DEA2020</v>
      </c>
    </row>
    <row r="167" spans="1:5" x14ac:dyDescent="0.3">
      <c r="A167" s="203"/>
      <c r="B167" t="s">
        <v>673</v>
      </c>
      <c r="C167">
        <v>30</v>
      </c>
      <c r="D167" t="s">
        <v>132</v>
      </c>
      <c r="E167" t="str">
        <f>Sources!A54</f>
        <v>DEA2020</v>
      </c>
    </row>
    <row r="168" spans="1:5" x14ac:dyDescent="0.3">
      <c r="A168" s="203"/>
      <c r="B168" t="s">
        <v>674</v>
      </c>
      <c r="C168">
        <v>30</v>
      </c>
      <c r="D168" t="s">
        <v>132</v>
      </c>
      <c r="E168" t="str">
        <f>Sources!A54</f>
        <v>DEA2020</v>
      </c>
    </row>
    <row r="169" spans="1:5" x14ac:dyDescent="0.3">
      <c r="A169" s="203"/>
      <c r="B169" t="s">
        <v>675</v>
      </c>
      <c r="C169">
        <v>30</v>
      </c>
      <c r="D169" t="s">
        <v>132</v>
      </c>
      <c r="E169" t="str">
        <f>Sources!A54</f>
        <v>DEA2020</v>
      </c>
    </row>
    <row r="170" spans="1:5" x14ac:dyDescent="0.3">
      <c r="A170" s="8"/>
    </row>
    <row r="171" spans="1:5" x14ac:dyDescent="0.3">
      <c r="A171" s="203" t="s">
        <v>605</v>
      </c>
      <c r="B171" s="16" t="s">
        <v>1883</v>
      </c>
      <c r="C171">
        <v>0.17</v>
      </c>
      <c r="D171" t="s">
        <v>1725</v>
      </c>
      <c r="E171" t="str">
        <f>Sources!A120</f>
        <v>Spath2004</v>
      </c>
    </row>
    <row r="172" spans="1:5" x14ac:dyDescent="0.3">
      <c r="A172" s="203"/>
      <c r="B172" t="s">
        <v>1703</v>
      </c>
      <c r="C172">
        <v>0.11616666666666675</v>
      </c>
      <c r="D172" t="s">
        <v>1725</v>
      </c>
      <c r="E172" t="s">
        <v>529</v>
      </c>
    </row>
    <row r="173" spans="1:5" x14ac:dyDescent="0.3">
      <c r="A173" s="203"/>
      <c r="B173" s="16">
        <v>2040</v>
      </c>
      <c r="C173">
        <v>6.2333333333333379E-2</v>
      </c>
      <c r="D173" t="s">
        <v>1725</v>
      </c>
      <c r="E173" t="s">
        <v>529</v>
      </c>
    </row>
    <row r="174" spans="1:5" x14ac:dyDescent="0.3">
      <c r="A174" s="203"/>
      <c r="B174" s="16">
        <v>2050</v>
      </c>
      <c r="C174">
        <f>C171*0.05</f>
        <v>8.5000000000000006E-3</v>
      </c>
      <c r="D174" t="s">
        <v>1725</v>
      </c>
      <c r="E174" t="s">
        <v>529</v>
      </c>
    </row>
    <row r="175" spans="1:5" x14ac:dyDescent="0.3">
      <c r="A175" s="203"/>
      <c r="B175" s="16" t="s">
        <v>1886</v>
      </c>
      <c r="C175">
        <f>2670/5.8/20</f>
        <v>23.017241379310345</v>
      </c>
      <c r="D175" t="s">
        <v>1885</v>
      </c>
      <c r="E175" t="str">
        <f>Sources!A128</f>
        <v>Elgowainy2013</v>
      </c>
    </row>
    <row r="176" spans="1:5" x14ac:dyDescent="0.3">
      <c r="A176" s="203"/>
      <c r="B176" t="s">
        <v>1703</v>
      </c>
      <c r="C176">
        <f>C175*0.63333</f>
        <v>14.57750948275862</v>
      </c>
      <c r="D176" t="s">
        <v>1885</v>
      </c>
      <c r="E176" t="s">
        <v>529</v>
      </c>
    </row>
    <row r="177" spans="1:12" x14ac:dyDescent="0.3">
      <c r="A177" s="203"/>
      <c r="B177" s="16">
        <v>2040</v>
      </c>
      <c r="C177">
        <f>C175*0.31666</f>
        <v>7.288639655172414</v>
      </c>
      <c r="D177" t="s">
        <v>1885</v>
      </c>
      <c r="E177" t="s">
        <v>529</v>
      </c>
    </row>
    <row r="178" spans="1:12" x14ac:dyDescent="0.3">
      <c r="A178" s="203"/>
      <c r="B178" s="16">
        <v>2050</v>
      </c>
      <c r="C178">
        <f>C175*0.05</f>
        <v>1.1508620689655173</v>
      </c>
      <c r="D178" t="s">
        <v>1885</v>
      </c>
      <c r="E178" t="s">
        <v>529</v>
      </c>
    </row>
    <row r="179" spans="1:12" x14ac:dyDescent="0.3">
      <c r="A179" s="203"/>
      <c r="B179" s="16" t="s">
        <v>1891</v>
      </c>
      <c r="C179">
        <v>6.2260740740740748E-3</v>
      </c>
      <c r="D179" t="s">
        <v>1885</v>
      </c>
      <c r="E179" t="s">
        <v>1893</v>
      </c>
    </row>
    <row r="180" spans="1:12" x14ac:dyDescent="0.3">
      <c r="A180" s="203"/>
      <c r="B180" s="16" t="s">
        <v>1892</v>
      </c>
      <c r="C180">
        <f>C179*0.63333</f>
        <v>3.9431594933333333E-3</v>
      </c>
      <c r="D180" t="s">
        <v>1885</v>
      </c>
      <c r="E180" t="s">
        <v>529</v>
      </c>
    </row>
    <row r="181" spans="1:12" x14ac:dyDescent="0.3">
      <c r="A181" s="203"/>
      <c r="B181" s="16">
        <v>2040</v>
      </c>
      <c r="C181">
        <f>C179*0.31666</f>
        <v>1.9715486162962966E-3</v>
      </c>
      <c r="D181" t="s">
        <v>1885</v>
      </c>
      <c r="E181" t="s">
        <v>529</v>
      </c>
    </row>
    <row r="182" spans="1:12" x14ac:dyDescent="0.3">
      <c r="A182" s="203"/>
      <c r="B182" s="16">
        <v>2050</v>
      </c>
      <c r="C182">
        <f>C179*0.05</f>
        <v>3.1130370370370379E-4</v>
      </c>
      <c r="D182" t="s">
        <v>1885</v>
      </c>
      <c r="E182" t="s">
        <v>529</v>
      </c>
    </row>
    <row r="183" spans="1:12" x14ac:dyDescent="0.3">
      <c r="A183" s="13"/>
      <c r="B183" s="16"/>
    </row>
    <row r="184" spans="1:12" x14ac:dyDescent="0.3">
      <c r="A184" s="66" t="s">
        <v>2014</v>
      </c>
      <c r="B184" s="68"/>
      <c r="C184" s="66"/>
      <c r="D184" s="68"/>
      <c r="E184" s="69"/>
      <c r="F184" s="68"/>
      <c r="G184" s="70"/>
      <c r="H184" s="66"/>
      <c r="I184" s="66"/>
      <c r="J184" s="66"/>
      <c r="K184" s="66"/>
      <c r="L184" s="66"/>
    </row>
    <row r="185" spans="1:12" x14ac:dyDescent="0.3">
      <c r="A185" s="17" t="s">
        <v>85</v>
      </c>
      <c r="B185" s="17" t="s">
        <v>82</v>
      </c>
      <c r="C185" s="15" t="s">
        <v>49</v>
      </c>
      <c r="D185" s="17" t="s">
        <v>52</v>
      </c>
      <c r="E185" s="18" t="s">
        <v>58</v>
      </c>
      <c r="F185" s="15" t="s">
        <v>93</v>
      </c>
      <c r="G185" s="15" t="s">
        <v>80</v>
      </c>
      <c r="H185" s="35" t="s">
        <v>59</v>
      </c>
    </row>
    <row r="186" spans="1:12" x14ac:dyDescent="0.3">
      <c r="A186" s="17"/>
      <c r="B186" s="17"/>
      <c r="C186" s="15"/>
      <c r="D186" s="17"/>
      <c r="E186" s="18"/>
      <c r="F186" s="15"/>
      <c r="G186" s="15"/>
      <c r="H186" s="35"/>
    </row>
    <row r="187" spans="1:12" x14ac:dyDescent="0.3">
      <c r="A187" s="13" t="s">
        <v>2024</v>
      </c>
      <c r="B187" t="s">
        <v>2049</v>
      </c>
      <c r="C187">
        <v>100</v>
      </c>
      <c r="D187" t="s">
        <v>2025</v>
      </c>
    </row>
    <row r="188" spans="1:12" x14ac:dyDescent="0.3">
      <c r="A188" s="13" t="s">
        <v>2028</v>
      </c>
      <c r="B188" t="s">
        <v>2029</v>
      </c>
      <c r="C188">
        <v>0.94</v>
      </c>
      <c r="D188" t="s">
        <v>1747</v>
      </c>
    </row>
    <row r="189" spans="1:12" x14ac:dyDescent="0.3">
      <c r="A189" s="13"/>
    </row>
    <row r="190" spans="1:12" x14ac:dyDescent="0.3">
      <c r="A190" s="13" t="s">
        <v>2046</v>
      </c>
      <c r="B190" t="s">
        <v>2048</v>
      </c>
      <c r="C190" s="135">
        <f>(110*4046.86/500)/1000</f>
        <v>0.89030920000000002</v>
      </c>
      <c r="D190" t="s">
        <v>2283</v>
      </c>
      <c r="E190" t="str">
        <f>Sources!A131</f>
        <v>Papadias2021</v>
      </c>
    </row>
    <row r="191" spans="1:12" x14ac:dyDescent="0.3">
      <c r="A191" s="13"/>
    </row>
    <row r="192" spans="1:12" x14ac:dyDescent="0.3">
      <c r="A192" s="13" t="s">
        <v>107</v>
      </c>
      <c r="B192" t="s">
        <v>2032</v>
      </c>
      <c r="C192" s="22">
        <v>0.09</v>
      </c>
      <c r="D192" t="s">
        <v>202</v>
      </c>
      <c r="E192" t="str">
        <f>Sources!A131</f>
        <v>Papadias2021</v>
      </c>
    </row>
    <row r="194" spans="1:12" x14ac:dyDescent="0.3">
      <c r="A194" s="203" t="s">
        <v>2015</v>
      </c>
      <c r="B194" t="s">
        <v>2022</v>
      </c>
      <c r="C194">
        <f>(12/25)*1000*(CEPCI_ref/CEPCI2016)</f>
        <v>538.30533505630422</v>
      </c>
      <c r="D194" t="s">
        <v>2023</v>
      </c>
      <c r="E194" t="str">
        <f>Sources!A130</f>
        <v>Bünger2016</v>
      </c>
    </row>
    <row r="195" spans="1:12" s="45" customFormat="1" x14ac:dyDescent="0.3">
      <c r="A195" s="203"/>
      <c r="B195" s="45" t="s">
        <v>2047</v>
      </c>
      <c r="C195" s="45">
        <f>516*DE2019_*(CEPCI_ref/CEPCI2019)</f>
        <v>460.75542459148141</v>
      </c>
      <c r="D195" s="45" t="s">
        <v>2023</v>
      </c>
      <c r="E195" s="45" t="str">
        <f>Sources!A131</f>
        <v>Papadias2021</v>
      </c>
    </row>
    <row r="196" spans="1:12" x14ac:dyDescent="0.3">
      <c r="A196" s="8"/>
    </row>
    <row r="197" spans="1:12" s="60" customFormat="1" x14ac:dyDescent="0.3">
      <c r="A197" s="8" t="s">
        <v>2016</v>
      </c>
      <c r="B197" s="60" t="s">
        <v>2030</v>
      </c>
      <c r="C197" s="60">
        <f>(566247/500000)*DE2020_*(CEPCI_ref/CEPCI2019)</f>
        <v>0.99167600700525393</v>
      </c>
      <c r="D197" s="190" t="s">
        <v>2031</v>
      </c>
      <c r="E197" s="60" t="str">
        <f>Sources!A131</f>
        <v>Papadias2021</v>
      </c>
      <c r="H197" s="60" t="s">
        <v>2033</v>
      </c>
    </row>
    <row r="199" spans="1:12" s="45" customFormat="1" x14ac:dyDescent="0.3">
      <c r="A199" s="203" t="s">
        <v>2017</v>
      </c>
      <c r="C199" s="45">
        <v>50</v>
      </c>
      <c r="D199" s="45" t="s">
        <v>132</v>
      </c>
      <c r="E199" s="45" t="str">
        <f>Sources!A130</f>
        <v>Bünger2016</v>
      </c>
    </row>
    <row r="200" spans="1:12" x14ac:dyDescent="0.3">
      <c r="A200" s="203"/>
      <c r="C200">
        <v>30</v>
      </c>
      <c r="D200" t="s">
        <v>132</v>
      </c>
      <c r="E200" t="str">
        <f>Sources!A131</f>
        <v>Papadias2021</v>
      </c>
    </row>
    <row r="201" spans="1:12" x14ac:dyDescent="0.3">
      <c r="A201" s="8"/>
    </row>
    <row r="202" spans="1:12" x14ac:dyDescent="0.3">
      <c r="A202" s="8" t="s">
        <v>605</v>
      </c>
      <c r="B202" s="16" t="s">
        <v>2020</v>
      </c>
    </row>
    <row r="203" spans="1:12" x14ac:dyDescent="0.3">
      <c r="A203" s="13"/>
      <c r="B203" s="16"/>
    </row>
    <row r="204" spans="1:12" x14ac:dyDescent="0.3">
      <c r="A204" s="66" t="s">
        <v>922</v>
      </c>
      <c r="B204" s="68"/>
      <c r="C204" s="66"/>
      <c r="D204" s="68"/>
      <c r="E204" s="69"/>
      <c r="F204" s="68"/>
      <c r="G204" s="70"/>
      <c r="H204" s="66"/>
      <c r="I204" s="66"/>
      <c r="J204" s="66"/>
      <c r="K204" s="66"/>
      <c r="L204" s="66"/>
    </row>
    <row r="206" spans="1:12" x14ac:dyDescent="0.3">
      <c r="A206" s="203" t="s">
        <v>1779</v>
      </c>
      <c r="B206" t="s">
        <v>923</v>
      </c>
      <c r="D206" t="s">
        <v>932</v>
      </c>
      <c r="E206" t="str">
        <f>Sources!A60</f>
        <v>Jepma2018</v>
      </c>
      <c r="H206" t="s">
        <v>930</v>
      </c>
    </row>
    <row r="207" spans="1:12" x14ac:dyDescent="0.3">
      <c r="A207" s="203"/>
      <c r="B207" t="s">
        <v>931</v>
      </c>
      <c r="D207" t="s">
        <v>933</v>
      </c>
      <c r="E207" t="str">
        <f>Sources!A72</f>
        <v>Baufumé2013</v>
      </c>
    </row>
    <row r="208" spans="1:12" x14ac:dyDescent="0.3">
      <c r="A208" s="203"/>
      <c r="B208" t="s">
        <v>934</v>
      </c>
      <c r="E208" t="str">
        <f>Sources!A72</f>
        <v>Baufumé2013</v>
      </c>
    </row>
    <row r="209" spans="1:12" x14ac:dyDescent="0.3">
      <c r="A209" s="203"/>
      <c r="B209" t="s">
        <v>970</v>
      </c>
      <c r="C209">
        <v>38.299999999999997</v>
      </c>
      <c r="D209" t="s">
        <v>939</v>
      </c>
      <c r="E209" t="s">
        <v>940</v>
      </c>
    </row>
    <row r="210" spans="1:12" x14ac:dyDescent="0.3">
      <c r="A210" s="8"/>
    </row>
    <row r="211" spans="1:12" x14ac:dyDescent="0.3">
      <c r="A211" s="8" t="s">
        <v>1780</v>
      </c>
      <c r="B211" t="s">
        <v>971</v>
      </c>
      <c r="C211">
        <v>342413</v>
      </c>
      <c r="D211" t="s">
        <v>932</v>
      </c>
      <c r="E211" t="s">
        <v>940</v>
      </c>
    </row>
    <row r="213" spans="1:12" x14ac:dyDescent="0.3">
      <c r="A213" s="13" t="s">
        <v>1750</v>
      </c>
      <c r="C213">
        <v>2</v>
      </c>
      <c r="D213" t="s">
        <v>318</v>
      </c>
      <c r="E213" t="str">
        <f>Sources!A60</f>
        <v>Jepma2018</v>
      </c>
    </row>
    <row r="214" spans="1:12" x14ac:dyDescent="0.3">
      <c r="A214" s="13"/>
    </row>
    <row r="215" spans="1:12" x14ac:dyDescent="0.3">
      <c r="A215" s="13" t="s">
        <v>941</v>
      </c>
      <c r="B215" t="s">
        <v>943</v>
      </c>
      <c r="C215">
        <v>20</v>
      </c>
      <c r="D215" t="s">
        <v>942</v>
      </c>
    </row>
    <row r="216" spans="1:12" x14ac:dyDescent="0.3">
      <c r="A216" s="13"/>
    </row>
    <row r="217" spans="1:12" x14ac:dyDescent="0.3">
      <c r="A217" s="13" t="s">
        <v>865</v>
      </c>
    </row>
    <row r="219" spans="1:12" x14ac:dyDescent="0.3">
      <c r="A219" s="66" t="s">
        <v>282</v>
      </c>
      <c r="B219" s="68"/>
      <c r="C219" s="66"/>
      <c r="D219" s="68"/>
      <c r="E219" s="69"/>
      <c r="F219" s="68"/>
      <c r="G219" s="70"/>
      <c r="H219" s="66"/>
      <c r="I219" s="66"/>
      <c r="J219" s="66"/>
      <c r="K219" s="66"/>
      <c r="L219" s="66"/>
    </row>
    <row r="220" spans="1:12" x14ac:dyDescent="0.3">
      <c r="A220" s="15"/>
      <c r="B220" s="17"/>
      <c r="C220" s="15"/>
      <c r="D220" s="17"/>
      <c r="E220" s="18"/>
      <c r="F220" s="17"/>
      <c r="G220" s="49"/>
      <c r="H220" s="15"/>
      <c r="I220" s="15"/>
      <c r="J220" s="15"/>
      <c r="K220" s="15"/>
      <c r="L220" s="15"/>
    </row>
    <row r="221" spans="1:12" x14ac:dyDescent="0.3">
      <c r="A221" s="203" t="s">
        <v>111</v>
      </c>
      <c r="B221" t="s">
        <v>691</v>
      </c>
      <c r="C221">
        <v>0.1</v>
      </c>
      <c r="D221" t="s">
        <v>281</v>
      </c>
      <c r="E221" t="str">
        <f>Sources!A7</f>
        <v>Ikäheimo2018</v>
      </c>
      <c r="H221" t="s">
        <v>88</v>
      </c>
    </row>
    <row r="222" spans="1:12" s="45" customFormat="1" x14ac:dyDescent="0.3">
      <c r="A222" s="203"/>
      <c r="B222" s="45" t="s">
        <v>1218</v>
      </c>
      <c r="C222" s="45">
        <v>0.04</v>
      </c>
      <c r="D222" s="45" t="s">
        <v>281</v>
      </c>
      <c r="E222" s="45" t="str">
        <f>Sources!A54</f>
        <v>DEA2020</v>
      </c>
    </row>
    <row r="223" spans="1:12" x14ac:dyDescent="0.3">
      <c r="A223" s="203"/>
      <c r="B223" t="s">
        <v>1219</v>
      </c>
      <c r="C223">
        <v>3.5000000000000003E-2</v>
      </c>
      <c r="D223" t="s">
        <v>281</v>
      </c>
      <c r="E223" t="str">
        <f>Sources!A54</f>
        <v>DEA2020</v>
      </c>
    </row>
    <row r="224" spans="1:12" s="45" customFormat="1" x14ac:dyDescent="0.3">
      <c r="A224" s="203"/>
      <c r="B224" s="45" t="s">
        <v>1220</v>
      </c>
      <c r="C224" s="45">
        <v>0.05</v>
      </c>
      <c r="D224" s="45" t="s">
        <v>695</v>
      </c>
      <c r="E224" s="45" t="str">
        <f>Sources!A54</f>
        <v>DEA2020</v>
      </c>
    </row>
    <row r="225" spans="1:5" s="45" customFormat="1" x14ac:dyDescent="0.3">
      <c r="A225" s="203"/>
      <c r="B225" t="s">
        <v>1221</v>
      </c>
      <c r="C225">
        <v>0.04</v>
      </c>
      <c r="D225" t="s">
        <v>695</v>
      </c>
      <c r="E225" t="str">
        <f>Sources!A54</f>
        <v>DEA2020</v>
      </c>
    </row>
    <row r="226" spans="1:5" s="60" customFormat="1" x14ac:dyDescent="0.3">
      <c r="A226" s="203"/>
      <c r="B226" s="60" t="s">
        <v>1257</v>
      </c>
      <c r="C226" s="60">
        <v>3.5000000000000003E-2</v>
      </c>
      <c r="D226" t="s">
        <v>695</v>
      </c>
      <c r="E226" s="60" t="str">
        <f>Sources!A54</f>
        <v>DEA2020</v>
      </c>
    </row>
    <row r="227" spans="1:5" x14ac:dyDescent="0.3">
      <c r="A227" s="203"/>
      <c r="B227" t="s">
        <v>1258</v>
      </c>
      <c r="C227">
        <v>4.4999999999999998E-2</v>
      </c>
      <c r="D227" t="s">
        <v>695</v>
      </c>
      <c r="E227" t="str">
        <f>Sources!A54</f>
        <v>DEA2020</v>
      </c>
    </row>
    <row r="229" spans="1:5" x14ac:dyDescent="0.3">
      <c r="A229" s="203" t="s">
        <v>164</v>
      </c>
      <c r="B229" t="s">
        <v>305</v>
      </c>
      <c r="C229">
        <v>122</v>
      </c>
      <c r="D229" t="s">
        <v>280</v>
      </c>
      <c r="E229" t="str">
        <f>Sources!A24</f>
        <v>Zachar2015</v>
      </c>
    </row>
    <row r="230" spans="1:5" s="60" customFormat="1" x14ac:dyDescent="0.3">
      <c r="A230" s="203"/>
      <c r="B230" s="60" t="s">
        <v>1197</v>
      </c>
      <c r="C230" s="60">
        <f>147*DE2016_*E2016_ref</f>
        <v>138.1531713046621</v>
      </c>
      <c r="D230" s="60" t="s">
        <v>280</v>
      </c>
      <c r="E230" s="60" t="str">
        <f>Sources!A85</f>
        <v>IRENA2017</v>
      </c>
    </row>
    <row r="231" spans="1:5" s="60" customFormat="1" x14ac:dyDescent="0.3">
      <c r="A231" s="203"/>
      <c r="B231" s="60" t="s">
        <v>1198</v>
      </c>
      <c r="C231" s="60">
        <f>263*DE2016_*E2016_ref</f>
        <v>247.17200036140221</v>
      </c>
      <c r="D231" s="60" t="s">
        <v>280</v>
      </c>
      <c r="E231" s="60" t="str">
        <f>Sources!A85</f>
        <v>IRENA2017</v>
      </c>
    </row>
    <row r="232" spans="1:5" s="60" customFormat="1" x14ac:dyDescent="0.3">
      <c r="A232" s="203"/>
      <c r="B232" s="60" t="s">
        <v>1125</v>
      </c>
      <c r="C232" s="60">
        <f>350*DE2016_*E2016_ref</f>
        <v>328.93612215395734</v>
      </c>
      <c r="D232" s="60" t="s">
        <v>280</v>
      </c>
      <c r="E232" s="60" t="str">
        <f>Sources!A85</f>
        <v>IRENA2017</v>
      </c>
    </row>
    <row r="233" spans="1:5" s="60" customFormat="1" x14ac:dyDescent="0.3">
      <c r="A233" s="203"/>
      <c r="B233" s="60" t="s">
        <v>1523</v>
      </c>
      <c r="C233" s="60">
        <f>(C232+C234)/2</f>
        <v>361.82973436935305</v>
      </c>
      <c r="D233" s="60" t="s">
        <v>280</v>
      </c>
      <c r="E233" s="61" t="s">
        <v>1470</v>
      </c>
    </row>
    <row r="234" spans="1:5" x14ac:dyDescent="0.3">
      <c r="A234" s="203"/>
      <c r="B234" t="s">
        <v>1126</v>
      </c>
      <c r="C234">
        <f>420*DE2016_*E2016_ref</f>
        <v>394.72334658474875</v>
      </c>
      <c r="D234" t="s">
        <v>280</v>
      </c>
      <c r="E234" t="str">
        <f>Sources!A85</f>
        <v>IRENA2017</v>
      </c>
    </row>
    <row r="235" spans="1:5" s="60" customFormat="1" x14ac:dyDescent="0.3">
      <c r="A235" s="203"/>
      <c r="B235" s="60" t="s">
        <v>1217</v>
      </c>
      <c r="C235" s="60">
        <f>1050*DE2016_*E2016_ref</f>
        <v>986.80836646187197</v>
      </c>
      <c r="D235" s="60" t="s">
        <v>280</v>
      </c>
      <c r="E235" s="60" t="str">
        <f>Sources!A85</f>
        <v>IRENA2017</v>
      </c>
    </row>
    <row r="236" spans="1:5" s="60" customFormat="1" x14ac:dyDescent="0.3">
      <c r="A236" s="203"/>
      <c r="B236" s="60" t="s">
        <v>1524</v>
      </c>
      <c r="C236" s="60">
        <f>C233*0.4</f>
        <v>144.73189374774122</v>
      </c>
      <c r="D236" s="60" t="s">
        <v>280</v>
      </c>
      <c r="E236" s="60" t="str">
        <f>Sources!A85</f>
        <v>IRENA2017</v>
      </c>
    </row>
    <row r="237" spans="1:5" x14ac:dyDescent="0.3">
      <c r="A237" s="203"/>
      <c r="B237" t="s">
        <v>532</v>
      </c>
      <c r="C237">
        <v>148</v>
      </c>
      <c r="D237" t="s">
        <v>280</v>
      </c>
      <c r="E237" t="str">
        <f>Sources!A7</f>
        <v>Ikäheimo2018</v>
      </c>
    </row>
    <row r="238" spans="1:5" x14ac:dyDescent="0.3">
      <c r="A238" s="203"/>
      <c r="B238" t="s">
        <v>534</v>
      </c>
      <c r="C238">
        <v>198</v>
      </c>
      <c r="D238" t="s">
        <v>280</v>
      </c>
      <c r="E238" t="str">
        <f>Sources!A7</f>
        <v>Ikäheimo2018</v>
      </c>
    </row>
    <row r="239" spans="1:5" x14ac:dyDescent="0.3">
      <c r="A239" s="203"/>
      <c r="B239" t="s">
        <v>533</v>
      </c>
      <c r="C239">
        <v>200</v>
      </c>
      <c r="D239" t="s">
        <v>280</v>
      </c>
      <c r="E239" t="str">
        <f>Sources!A7</f>
        <v>Ikäheimo2018</v>
      </c>
    </row>
    <row r="240" spans="1:5" s="60" customFormat="1" x14ac:dyDescent="0.3">
      <c r="A240" s="203"/>
      <c r="B240" s="60" t="s">
        <v>1376</v>
      </c>
      <c r="C240" s="60">
        <f>880*E2015_ref</f>
        <v>917.65520000000015</v>
      </c>
      <c r="D240" s="60" t="s">
        <v>280</v>
      </c>
      <c r="E240" s="60" t="str">
        <f>Sources!A54</f>
        <v>DEA2020</v>
      </c>
    </row>
    <row r="241" spans="1:5" s="45" customFormat="1" x14ac:dyDescent="0.3">
      <c r="A241" s="203"/>
      <c r="B241" s="45" t="s">
        <v>1377</v>
      </c>
      <c r="C241" s="45">
        <f>1042*E2015_ref</f>
        <v>1086.5871800000002</v>
      </c>
      <c r="D241" s="45" t="s">
        <v>280</v>
      </c>
      <c r="E241" s="45" t="str">
        <f>Sources!A54</f>
        <v>DEA2020</v>
      </c>
    </row>
    <row r="242" spans="1:5" s="60" customFormat="1" x14ac:dyDescent="0.3">
      <c r="A242" s="203"/>
      <c r="B242" s="60" t="s">
        <v>1378</v>
      </c>
      <c r="C242" s="60">
        <f>1829*E2015_ref</f>
        <v>1907.2629100000001</v>
      </c>
      <c r="D242" s="60" t="s">
        <v>280</v>
      </c>
      <c r="E242" s="60" t="str">
        <f>Sources!A54</f>
        <v>DEA2020</v>
      </c>
    </row>
    <row r="243" spans="1:5" x14ac:dyDescent="0.3">
      <c r="A243" s="203"/>
      <c r="B243" t="s">
        <v>1379</v>
      </c>
      <c r="C243">
        <f>622*E2015_ref</f>
        <v>648.61538000000007</v>
      </c>
      <c r="D243" t="s">
        <v>280</v>
      </c>
      <c r="E243" t="str">
        <f>Sources!A54</f>
        <v>DEA2020</v>
      </c>
    </row>
    <row r="244" spans="1:5" x14ac:dyDescent="0.3">
      <c r="A244" s="203"/>
      <c r="B244" t="s">
        <v>1380</v>
      </c>
      <c r="C244">
        <f>394*E2015_ref</f>
        <v>410.85926000000006</v>
      </c>
      <c r="D244" t="s">
        <v>280</v>
      </c>
      <c r="E244" t="str">
        <f>Sources!A54</f>
        <v>DEA2020</v>
      </c>
    </row>
    <row r="245" spans="1:5" x14ac:dyDescent="0.3">
      <c r="A245" s="203"/>
      <c r="B245" t="s">
        <v>1381</v>
      </c>
      <c r="C245">
        <f>166*E2015_ref</f>
        <v>173.10314000000002</v>
      </c>
      <c r="D245" t="s">
        <v>280</v>
      </c>
      <c r="E245" t="str">
        <f>Sources!A54</f>
        <v>DEA2020</v>
      </c>
    </row>
    <row r="246" spans="1:5" x14ac:dyDescent="0.3">
      <c r="A246" s="203"/>
      <c r="B246" t="s">
        <v>1382</v>
      </c>
      <c r="C246">
        <f>255*E2015_ref</f>
        <v>265.91145</v>
      </c>
      <c r="D246" t="s">
        <v>280</v>
      </c>
      <c r="E246" t="str">
        <f>Sources!A54</f>
        <v>DEA2020</v>
      </c>
    </row>
    <row r="247" spans="1:5" x14ac:dyDescent="0.3">
      <c r="A247" s="203"/>
      <c r="B247" t="s">
        <v>1383</v>
      </c>
      <c r="C247">
        <f>975*E2015_ref</f>
        <v>1016.7202500000001</v>
      </c>
      <c r="D247" t="s">
        <v>280</v>
      </c>
      <c r="E247" t="str">
        <f>Sources!A54</f>
        <v>DEA2020</v>
      </c>
    </row>
    <row r="248" spans="1:5" x14ac:dyDescent="0.3">
      <c r="A248" s="8"/>
    </row>
    <row r="249" spans="1:5" x14ac:dyDescent="0.3">
      <c r="A249" s="203" t="s">
        <v>1750</v>
      </c>
      <c r="B249" t="s">
        <v>535</v>
      </c>
      <c r="C249">
        <v>1.4300000000000001E-3</v>
      </c>
      <c r="D249" t="s">
        <v>156</v>
      </c>
      <c r="E249" t="str">
        <f>Sources!A24</f>
        <v>Zachar2015</v>
      </c>
    </row>
    <row r="250" spans="1:5" s="45" customFormat="1" x14ac:dyDescent="0.3">
      <c r="A250" s="203"/>
      <c r="B250" s="45" t="s">
        <v>1384</v>
      </c>
      <c r="C250" s="45">
        <f>5*E2018_ref</f>
        <v>5.0761000000000003</v>
      </c>
      <c r="D250" s="45" t="s">
        <v>280</v>
      </c>
      <c r="E250" s="45" t="str">
        <f>Sources!A7</f>
        <v>Ikäheimo2018</v>
      </c>
    </row>
    <row r="251" spans="1:5" x14ac:dyDescent="0.3">
      <c r="A251" s="203"/>
      <c r="B251" t="s">
        <v>1385</v>
      </c>
      <c r="C251">
        <f>0.45*E2015_ref</f>
        <v>0.46925550000000005</v>
      </c>
      <c r="D251" t="s">
        <v>1568</v>
      </c>
      <c r="E251" t="str">
        <f>Sources!A54</f>
        <v>DEA2020</v>
      </c>
    </row>
    <row r="252" spans="1:5" x14ac:dyDescent="0.3">
      <c r="A252" s="203"/>
      <c r="B252" t="s">
        <v>1386</v>
      </c>
      <c r="C252">
        <f>0.54*E2015_ref</f>
        <v>0.56310660000000012</v>
      </c>
      <c r="D252" t="s">
        <v>1568</v>
      </c>
      <c r="E252" t="str">
        <f>Sources!A54</f>
        <v>DEA2020</v>
      </c>
    </row>
    <row r="253" spans="1:5" x14ac:dyDescent="0.3">
      <c r="A253" s="203"/>
      <c r="B253" t="s">
        <v>1387</v>
      </c>
      <c r="C253">
        <f>0.4*E2015_ref</f>
        <v>0.41711600000000004</v>
      </c>
      <c r="D253" t="s">
        <v>1568</v>
      </c>
      <c r="E253" t="str">
        <f>Sources!A54</f>
        <v>DEA2020</v>
      </c>
    </row>
    <row r="254" spans="1:5" x14ac:dyDescent="0.3">
      <c r="A254" s="8"/>
    </row>
    <row r="255" spans="1:5" x14ac:dyDescent="0.3">
      <c r="A255" s="203" t="s">
        <v>1753</v>
      </c>
      <c r="B255" t="s">
        <v>1388</v>
      </c>
      <c r="C255">
        <f>0.0004*E2015_ref</f>
        <v>4.1711600000000004E-4</v>
      </c>
      <c r="D255" t="s">
        <v>1567</v>
      </c>
      <c r="E255" t="str">
        <f>Sources!A54</f>
        <v>DEA2020</v>
      </c>
    </row>
    <row r="256" spans="1:5" x14ac:dyDescent="0.3">
      <c r="A256" s="203"/>
      <c r="B256" t="s">
        <v>1389</v>
      </c>
      <c r="C256">
        <f>0.002*E2015_ref</f>
        <v>2.0855800000000001E-3</v>
      </c>
      <c r="D256" t="s">
        <v>1567</v>
      </c>
      <c r="E256" t="str">
        <f>Sources!A54</f>
        <v>DEA2020</v>
      </c>
    </row>
    <row r="257" spans="1:5" x14ac:dyDescent="0.3">
      <c r="A257" s="203"/>
      <c r="B257" t="s">
        <v>1390</v>
      </c>
      <c r="C257">
        <f>0.0056*E2015_ref</f>
        <v>5.8396240000000007E-3</v>
      </c>
      <c r="D257" t="s">
        <v>1567</v>
      </c>
      <c r="E257" t="str">
        <f>Sources!A54</f>
        <v>DEA2020</v>
      </c>
    </row>
    <row r="258" spans="1:5" x14ac:dyDescent="0.3">
      <c r="A258" s="203"/>
      <c r="B258" t="s">
        <v>1394</v>
      </c>
      <c r="C258">
        <f>0.0018*E2015_ref</f>
        <v>1.8770220000000001E-3</v>
      </c>
      <c r="D258" t="s">
        <v>1567</v>
      </c>
      <c r="E258" t="str">
        <f>Sources!A54</f>
        <v>DEA2020</v>
      </c>
    </row>
    <row r="259" spans="1:5" x14ac:dyDescent="0.3">
      <c r="A259" s="203"/>
      <c r="B259" t="s">
        <v>1395</v>
      </c>
      <c r="C259">
        <f>0.0017*E2015_ref</f>
        <v>1.772743E-3</v>
      </c>
      <c r="D259" t="s">
        <v>1567</v>
      </c>
      <c r="E259" t="str">
        <f>Sources!A54</f>
        <v>DEA2020</v>
      </c>
    </row>
    <row r="260" spans="1:5" x14ac:dyDescent="0.3">
      <c r="A260" s="203"/>
      <c r="B260" t="s">
        <v>1391</v>
      </c>
      <c r="C260">
        <f>0.0003*E2015_ref</f>
        <v>3.12837E-4</v>
      </c>
      <c r="D260" t="s">
        <v>1567</v>
      </c>
      <c r="E260" t="str">
        <f>Sources!A54</f>
        <v>DEA2020</v>
      </c>
    </row>
    <row r="261" spans="1:5" x14ac:dyDescent="0.3">
      <c r="A261" s="203"/>
      <c r="B261" t="s">
        <v>1392</v>
      </c>
      <c r="C261">
        <f>0.0016*E2015_ref</f>
        <v>1.6684640000000001E-3</v>
      </c>
      <c r="D261" t="s">
        <v>1567</v>
      </c>
      <c r="E261" t="str">
        <f>Sources!A54</f>
        <v>DEA2020</v>
      </c>
    </row>
    <row r="262" spans="1:5" x14ac:dyDescent="0.3">
      <c r="A262" s="203"/>
      <c r="B262" t="s">
        <v>1393</v>
      </c>
      <c r="C262">
        <f>0.0025*E2015_ref</f>
        <v>2.6069750000000005E-3</v>
      </c>
      <c r="D262" t="s">
        <v>1567</v>
      </c>
      <c r="E262" t="str">
        <f>Sources!A54</f>
        <v>DEA2020</v>
      </c>
    </row>
    <row r="263" spans="1:5" x14ac:dyDescent="0.3">
      <c r="A263" s="203"/>
      <c r="B263" t="s">
        <v>690</v>
      </c>
      <c r="C263">
        <f>0.002*E2015_ref</f>
        <v>2.0855800000000001E-3</v>
      </c>
      <c r="D263" t="s">
        <v>1567</v>
      </c>
      <c r="E263" t="str">
        <f>Sources!A7</f>
        <v>Ikäheimo2018</v>
      </c>
    </row>
    <row r="264" spans="1:5" x14ac:dyDescent="0.3">
      <c r="A264" s="8"/>
    </row>
    <row r="265" spans="1:5" x14ac:dyDescent="0.3">
      <c r="A265" s="203" t="s">
        <v>163</v>
      </c>
      <c r="C265">
        <v>5</v>
      </c>
      <c r="D265" t="s">
        <v>132</v>
      </c>
      <c r="E265" t="str">
        <f>Sources!A24</f>
        <v>Zachar2015</v>
      </c>
    </row>
    <row r="266" spans="1:5" x14ac:dyDescent="0.3">
      <c r="A266" s="203"/>
      <c r="C266">
        <v>15</v>
      </c>
      <c r="D266" t="s">
        <v>132</v>
      </c>
      <c r="E266" t="str">
        <f>Sources!A7</f>
        <v>Ikäheimo2018</v>
      </c>
    </row>
    <row r="267" spans="1:5" s="60" customFormat="1" x14ac:dyDescent="0.3">
      <c r="A267" s="203"/>
      <c r="B267" s="60" t="s">
        <v>682</v>
      </c>
      <c r="C267" s="60">
        <v>15</v>
      </c>
      <c r="D267" s="60" t="s">
        <v>132</v>
      </c>
      <c r="E267" s="60" t="str">
        <f>Sources!A54</f>
        <v>DEA2020</v>
      </c>
    </row>
    <row r="268" spans="1:5" s="60" customFormat="1" x14ac:dyDescent="0.3">
      <c r="A268" s="203"/>
      <c r="B268" s="60" t="s">
        <v>688</v>
      </c>
      <c r="C268" s="60">
        <v>20</v>
      </c>
      <c r="D268" s="60" t="s">
        <v>132</v>
      </c>
      <c r="E268" s="60" t="str">
        <f>Sources!A54</f>
        <v>DEA2020</v>
      </c>
    </row>
    <row r="269" spans="1:5" s="60" customFormat="1" x14ac:dyDescent="0.3">
      <c r="A269" s="203"/>
      <c r="B269" s="60" t="s">
        <v>689</v>
      </c>
      <c r="C269" s="60">
        <v>25</v>
      </c>
      <c r="D269" s="60" t="s">
        <v>132</v>
      </c>
      <c r="E269" s="60" t="str">
        <f>Sources!A54</f>
        <v>DEA2020</v>
      </c>
    </row>
    <row r="270" spans="1:5" s="45" customFormat="1" x14ac:dyDescent="0.3">
      <c r="A270" s="203"/>
      <c r="B270" t="s">
        <v>683</v>
      </c>
      <c r="C270">
        <v>25</v>
      </c>
      <c r="D270" t="s">
        <v>132</v>
      </c>
      <c r="E270" t="str">
        <f>Sources!A54</f>
        <v>DEA2020</v>
      </c>
    </row>
    <row r="271" spans="1:5" s="45" customFormat="1" x14ac:dyDescent="0.3">
      <c r="A271" s="203"/>
      <c r="B271" t="s">
        <v>684</v>
      </c>
      <c r="C271">
        <v>30</v>
      </c>
      <c r="D271" t="s">
        <v>132</v>
      </c>
      <c r="E271" t="str">
        <f>Sources!A54</f>
        <v>DEA2020</v>
      </c>
    </row>
    <row r="272" spans="1:5" s="45" customFormat="1" x14ac:dyDescent="0.3">
      <c r="A272" s="203"/>
      <c r="B272" t="s">
        <v>685</v>
      </c>
      <c r="C272">
        <v>20</v>
      </c>
      <c r="D272" t="s">
        <v>132</v>
      </c>
      <c r="E272" t="str">
        <f>Sources!A54</f>
        <v>DEA2020</v>
      </c>
    </row>
    <row r="273" spans="1:5" x14ac:dyDescent="0.3">
      <c r="A273" s="203"/>
      <c r="B273" t="s">
        <v>681</v>
      </c>
      <c r="C273">
        <v>30</v>
      </c>
      <c r="D273" t="s">
        <v>132</v>
      </c>
      <c r="E273" t="str">
        <f>Sources!A54</f>
        <v>DEA2020</v>
      </c>
    </row>
    <row r="274" spans="1:5" x14ac:dyDescent="0.3">
      <c r="A274" s="203"/>
      <c r="B274" t="s">
        <v>686</v>
      </c>
      <c r="C274">
        <v>45</v>
      </c>
      <c r="D274" t="s">
        <v>132</v>
      </c>
      <c r="E274" t="str">
        <f>Sources!A54</f>
        <v>DEA2020</v>
      </c>
    </row>
    <row r="275" spans="1:5" x14ac:dyDescent="0.3">
      <c r="A275" s="203"/>
      <c r="B275" s="60" t="s">
        <v>682</v>
      </c>
      <c r="C275" s="60">
        <v>7</v>
      </c>
      <c r="D275" s="60" t="s">
        <v>132</v>
      </c>
      <c r="E275" s="60" t="s">
        <v>2306</v>
      </c>
    </row>
    <row r="276" spans="1:5" x14ac:dyDescent="0.3">
      <c r="A276" s="203"/>
      <c r="B276" s="60" t="s">
        <v>688</v>
      </c>
      <c r="C276" s="60">
        <v>15</v>
      </c>
      <c r="D276" s="60" t="s">
        <v>132</v>
      </c>
      <c r="E276" s="60" t="s">
        <v>2306</v>
      </c>
    </row>
    <row r="277" spans="1:5" x14ac:dyDescent="0.3">
      <c r="A277" s="203"/>
      <c r="B277" s="60" t="s">
        <v>689</v>
      </c>
      <c r="C277" s="60">
        <v>17</v>
      </c>
      <c r="D277" s="60" t="s">
        <v>132</v>
      </c>
      <c r="E277" s="60" t="s">
        <v>2306</v>
      </c>
    </row>
    <row r="278" spans="1:5" x14ac:dyDescent="0.3">
      <c r="A278" s="203"/>
      <c r="B278" s="118">
        <v>2030</v>
      </c>
      <c r="C278" s="60">
        <v>20</v>
      </c>
      <c r="D278" s="60" t="s">
        <v>132</v>
      </c>
      <c r="E278" s="60" t="s">
        <v>2306</v>
      </c>
    </row>
    <row r="279" spans="1:5" x14ac:dyDescent="0.3">
      <c r="A279" s="203"/>
      <c r="B279" s="118">
        <v>2050</v>
      </c>
      <c r="C279" s="60">
        <v>30</v>
      </c>
      <c r="D279" s="60" t="s">
        <v>132</v>
      </c>
      <c r="E279" s="60" t="s">
        <v>2306</v>
      </c>
    </row>
    <row r="280" spans="1:5" x14ac:dyDescent="0.3">
      <c r="A280" s="203"/>
    </row>
    <row r="282" spans="1:5" x14ac:dyDescent="0.3">
      <c r="A282" s="203" t="s">
        <v>605</v>
      </c>
      <c r="B282" t="s">
        <v>2309</v>
      </c>
      <c r="C282">
        <f>(8.336/0.1)/C275</f>
        <v>11.908571428571429</v>
      </c>
      <c r="D282" t="s">
        <v>1882</v>
      </c>
      <c r="E282" t="str">
        <f>Sources!A125</f>
        <v>Ecoinvent2020</v>
      </c>
    </row>
    <row r="283" spans="1:5" x14ac:dyDescent="0.3">
      <c r="A283" s="203"/>
      <c r="B283" t="s">
        <v>1745</v>
      </c>
      <c r="C283">
        <f>(8.336/C286)/C276</f>
        <v>2.6463492063492065</v>
      </c>
      <c r="D283" t="s">
        <v>1882</v>
      </c>
      <c r="E283" t="str">
        <f>Sources!A125</f>
        <v>Ecoinvent2020</v>
      </c>
    </row>
    <row r="284" spans="1:5" x14ac:dyDescent="0.3">
      <c r="A284" s="203"/>
      <c r="B284" t="s">
        <v>2310</v>
      </c>
      <c r="C284">
        <f>(8.336/C285)/C277</f>
        <v>1.8503884572697002</v>
      </c>
      <c r="D284" t="s">
        <v>1882</v>
      </c>
      <c r="E284" t="str">
        <f>Sources!A125</f>
        <v>Ecoinvent2020</v>
      </c>
    </row>
    <row r="285" spans="1:5" x14ac:dyDescent="0.3">
      <c r="A285" s="203"/>
      <c r="B285" t="s">
        <v>1746</v>
      </c>
      <c r="C285">
        <v>0.26500000000000001</v>
      </c>
      <c r="D285" t="s">
        <v>1747</v>
      </c>
      <c r="E285" t="str">
        <f>Sources!A126</f>
        <v>CleanEnergyInstitute2020</v>
      </c>
    </row>
    <row r="286" spans="1:5" x14ac:dyDescent="0.3">
      <c r="A286" s="203"/>
      <c r="B286" t="s">
        <v>2304</v>
      </c>
      <c r="C286">
        <v>0.21</v>
      </c>
      <c r="D286" t="s">
        <v>1747</v>
      </c>
      <c r="E286" t="str">
        <f>Sources!A139</f>
        <v>Terlouw2022</v>
      </c>
    </row>
    <row r="287" spans="1:5" x14ac:dyDescent="0.3">
      <c r="A287" s="203"/>
      <c r="B287" t="s">
        <v>2305</v>
      </c>
      <c r="C287">
        <f>(8.336/C285)/C278</f>
        <v>1.5728301886792453</v>
      </c>
      <c r="D287" t="s">
        <v>1882</v>
      </c>
      <c r="E287" t="s">
        <v>529</v>
      </c>
    </row>
    <row r="288" spans="1:5" x14ac:dyDescent="0.3">
      <c r="A288" s="203"/>
      <c r="B288" t="s">
        <v>2307</v>
      </c>
      <c r="C288">
        <f>(C287+C289)/2</f>
        <v>1.3106918238993712</v>
      </c>
      <c r="D288" t="s">
        <v>1882</v>
      </c>
      <c r="E288" t="s">
        <v>529</v>
      </c>
    </row>
    <row r="289" spans="1:5" x14ac:dyDescent="0.3">
      <c r="A289" s="203"/>
      <c r="B289" t="s">
        <v>2308</v>
      </c>
      <c r="C289">
        <f>(8.336/C285)/C279</f>
        <v>1.0485534591194969</v>
      </c>
      <c r="D289" t="s">
        <v>1882</v>
      </c>
      <c r="E289" t="s">
        <v>529</v>
      </c>
    </row>
    <row r="291" spans="1:5" x14ac:dyDescent="0.3">
      <c r="A291" t="s">
        <v>2050</v>
      </c>
      <c r="B291" t="s">
        <v>2285</v>
      </c>
      <c r="C291">
        <f>5/1000</f>
        <v>5.0000000000000001E-3</v>
      </c>
      <c r="D291" t="s">
        <v>2287</v>
      </c>
      <c r="E291" t="str">
        <f>Sources!A54</f>
        <v>DEA2020</v>
      </c>
    </row>
    <row r="292" spans="1:5" x14ac:dyDescent="0.3">
      <c r="B292" t="s">
        <v>2286</v>
      </c>
      <c r="C292">
        <f>7.5/1000</f>
        <v>7.4999999999999997E-3</v>
      </c>
      <c r="D292" t="s">
        <v>2287</v>
      </c>
      <c r="E292" t="str">
        <f>Sources!A54</f>
        <v>DEA2020</v>
      </c>
    </row>
  </sheetData>
  <mergeCells count="20">
    <mergeCell ref="A1:B1"/>
    <mergeCell ref="A229:A247"/>
    <mergeCell ref="A249:A253"/>
    <mergeCell ref="A102:A112"/>
    <mergeCell ref="A119:A126"/>
    <mergeCell ref="A134:A135"/>
    <mergeCell ref="A150:A160"/>
    <mergeCell ref="A142:A143"/>
    <mergeCell ref="A165:A169"/>
    <mergeCell ref="A128:A130"/>
    <mergeCell ref="A162:A163"/>
    <mergeCell ref="A114:A117"/>
    <mergeCell ref="A171:A182"/>
    <mergeCell ref="A194:A195"/>
    <mergeCell ref="A199:A200"/>
    <mergeCell ref="A282:A289"/>
    <mergeCell ref="A206:A209"/>
    <mergeCell ref="A255:A263"/>
    <mergeCell ref="A265:A280"/>
    <mergeCell ref="A221:A227"/>
  </mergeCells>
  <hyperlinks>
    <hyperlink ref="B137" r:id="rId1" xr:uid="{00000000-0004-0000-0B00-00000000000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O393"/>
  <sheetViews>
    <sheetView topLeftCell="A255" zoomScaleNormal="100" workbookViewId="0">
      <pane xSplit="1" topLeftCell="B1" activePane="topRight" state="frozen"/>
      <selection activeCell="A22" sqref="A22"/>
      <selection pane="topRight" activeCell="D269" sqref="D269"/>
    </sheetView>
  </sheetViews>
  <sheetFormatPr defaultRowHeight="14.4" x14ac:dyDescent="0.3"/>
  <cols>
    <col min="1" max="1" width="35.77734375" style="13" customWidth="1"/>
    <col min="2" max="2" width="78.88671875" style="13" customWidth="1"/>
    <col min="3" max="3" width="9.44140625" customWidth="1"/>
    <col min="4" max="4" width="16.21875" customWidth="1"/>
    <col min="5" max="5" width="15.109375" style="14" customWidth="1"/>
    <col min="6" max="7" width="12" style="13" customWidth="1"/>
    <col min="8" max="8" width="10.77734375" style="13" customWidth="1"/>
    <col min="9" max="9" width="27.77734375" customWidth="1"/>
    <col min="10" max="10" width="18.77734375" customWidth="1"/>
    <col min="11" max="11" width="9.44140625" customWidth="1"/>
    <col min="12" max="12" width="11.77734375" customWidth="1"/>
    <col min="13" max="13" width="7.21875" customWidth="1"/>
    <col min="14" max="14" width="12" customWidth="1"/>
  </cols>
  <sheetData>
    <row r="1" spans="1:15" s="29" customFormat="1" x14ac:dyDescent="0.3">
      <c r="A1" s="204" t="s">
        <v>394</v>
      </c>
      <c r="B1" s="204"/>
      <c r="E1" s="91"/>
      <c r="I1" s="31"/>
    </row>
    <row r="2" spans="1:15" s="33" customFormat="1" x14ac:dyDescent="0.3">
      <c r="A2" s="32" t="s">
        <v>105</v>
      </c>
      <c r="B2" s="32"/>
      <c r="D2" s="63"/>
      <c r="E2" s="92"/>
      <c r="F2" s="32"/>
      <c r="G2" s="32"/>
      <c r="H2" s="32"/>
    </row>
    <row r="3" spans="1:15" s="67" customFormat="1" x14ac:dyDescent="0.3">
      <c r="A3" s="68" t="s">
        <v>1929</v>
      </c>
      <c r="B3" s="25"/>
      <c r="D3" s="25"/>
      <c r="E3" s="93"/>
      <c r="F3" s="25"/>
      <c r="G3" s="25"/>
      <c r="H3" s="25"/>
    </row>
    <row r="4" spans="1:15" ht="15.6" customHeight="1" x14ac:dyDescent="0.3">
      <c r="A4" s="17" t="s">
        <v>85</v>
      </c>
      <c r="B4" s="17" t="s">
        <v>52</v>
      </c>
      <c r="C4" s="17" t="s">
        <v>184</v>
      </c>
      <c r="D4" s="18" t="s">
        <v>106</v>
      </c>
      <c r="E4" s="49" t="s">
        <v>183</v>
      </c>
      <c r="F4" s="17">
        <v>2030</v>
      </c>
      <c r="G4" s="17">
        <v>2040</v>
      </c>
      <c r="H4" s="17">
        <v>2050</v>
      </c>
      <c r="I4" s="13"/>
    </row>
    <row r="5" spans="1:15" x14ac:dyDescent="0.3">
      <c r="A5" s="13" t="s">
        <v>218</v>
      </c>
      <c r="B5" s="13" t="s">
        <v>204</v>
      </c>
      <c r="C5" s="5" t="s">
        <v>422</v>
      </c>
      <c r="D5" s="5" t="s">
        <v>422</v>
      </c>
      <c r="E5" s="5" t="s">
        <v>422</v>
      </c>
      <c r="F5" s="13" t="s">
        <v>422</v>
      </c>
      <c r="G5" s="13" t="s">
        <v>422</v>
      </c>
      <c r="H5" s="13" t="s">
        <v>422</v>
      </c>
      <c r="I5" s="13"/>
      <c r="J5" s="13"/>
      <c r="K5" s="13"/>
      <c r="L5" s="5"/>
      <c r="M5" s="5"/>
      <c r="N5" s="5"/>
      <c r="O5" s="13"/>
    </row>
    <row r="6" spans="1:15" ht="15.6" customHeight="1" x14ac:dyDescent="0.3">
      <c r="A6" s="13" t="s">
        <v>107</v>
      </c>
      <c r="B6" s="13" t="s">
        <v>202</v>
      </c>
      <c r="C6" s="22">
        <v>0</v>
      </c>
      <c r="D6" s="22">
        <v>0</v>
      </c>
      <c r="E6" s="78">
        <v>0</v>
      </c>
      <c r="F6" s="78">
        <v>0</v>
      </c>
      <c r="G6" s="78">
        <v>0</v>
      </c>
      <c r="H6" s="78">
        <v>0</v>
      </c>
      <c r="I6" s="13"/>
    </row>
    <row r="7" spans="1:15" ht="15.6" customHeight="1" x14ac:dyDescent="0.3">
      <c r="A7" s="13" t="s">
        <v>417</v>
      </c>
      <c r="B7" s="13" t="s">
        <v>202</v>
      </c>
      <c r="C7" s="22">
        <v>1</v>
      </c>
      <c r="D7" s="22">
        <v>1</v>
      </c>
      <c r="E7" s="78">
        <v>1</v>
      </c>
      <c r="F7" s="78">
        <v>1</v>
      </c>
      <c r="G7" s="78">
        <v>1</v>
      </c>
      <c r="H7" s="22">
        <v>1</v>
      </c>
      <c r="I7" s="13"/>
    </row>
    <row r="8" spans="1:15" ht="15.6" customHeight="1" x14ac:dyDescent="0.3">
      <c r="A8" s="13" t="s">
        <v>354</v>
      </c>
      <c r="B8" s="13" t="s">
        <v>419</v>
      </c>
      <c r="C8" s="22">
        <v>1</v>
      </c>
      <c r="D8" s="22">
        <v>1</v>
      </c>
      <c r="E8" s="78">
        <v>1</v>
      </c>
      <c r="F8" s="78">
        <v>1</v>
      </c>
      <c r="G8" s="78">
        <v>1</v>
      </c>
      <c r="H8" s="22">
        <v>1</v>
      </c>
      <c r="I8" s="13"/>
    </row>
    <row r="9" spans="1:15" ht="15.6" customHeight="1" x14ac:dyDescent="0.3">
      <c r="A9" s="13" t="s">
        <v>355</v>
      </c>
      <c r="B9" s="13" t="s">
        <v>419</v>
      </c>
      <c r="C9" s="22">
        <v>1</v>
      </c>
      <c r="D9" s="22">
        <v>1</v>
      </c>
      <c r="E9" s="78">
        <v>1</v>
      </c>
      <c r="F9" s="78">
        <v>1</v>
      </c>
      <c r="G9" s="78">
        <v>1</v>
      </c>
      <c r="H9" s="22">
        <v>1</v>
      </c>
      <c r="I9" s="13"/>
    </row>
    <row r="10" spans="1:15" ht="15.6" customHeight="1" x14ac:dyDescent="0.3">
      <c r="A10" s="13" t="s">
        <v>921</v>
      </c>
      <c r="B10" s="13" t="s">
        <v>123</v>
      </c>
      <c r="C10">
        <f>C11*$C$94</f>
        <v>7.4620000000000006</v>
      </c>
      <c r="D10">
        <f>D11*$C$94</f>
        <v>7.2100000000000009</v>
      </c>
      <c r="E10">
        <f>E11*$C$94</f>
        <v>6.7200000000000006</v>
      </c>
      <c r="F10">
        <f>F11*$C$95</f>
        <v>5.6759999999999993</v>
      </c>
      <c r="G10">
        <f>G11*($C$95+$C$96)/2</f>
        <v>4.6150000000000002</v>
      </c>
      <c r="H10">
        <f>H11*$C$96</f>
        <v>3.6</v>
      </c>
      <c r="I10" s="13"/>
    </row>
    <row r="11" spans="1:15" ht="15.6" customHeight="1" x14ac:dyDescent="0.3">
      <c r="A11" s="13" t="s">
        <v>111</v>
      </c>
      <c r="B11" s="13" t="s">
        <v>123</v>
      </c>
      <c r="C11">
        <f>$C$110</f>
        <v>53.3</v>
      </c>
      <c r="D11" s="14">
        <f>$C$102</f>
        <v>51.5</v>
      </c>
      <c r="E11" s="14">
        <f>$C$112</f>
        <v>48</v>
      </c>
      <c r="F11">
        <f>$C$114</f>
        <v>47.3</v>
      </c>
      <c r="G11">
        <f>(F11+H11)/2</f>
        <v>46.15</v>
      </c>
      <c r="H11">
        <f>$C$115</f>
        <v>45</v>
      </c>
      <c r="I11" s="13"/>
    </row>
    <row r="12" spans="1:15" ht="15.6" customHeight="1" x14ac:dyDescent="0.3">
      <c r="A12" s="13" t="s">
        <v>205</v>
      </c>
      <c r="B12" s="13" t="s">
        <v>206</v>
      </c>
      <c r="C12">
        <f>$C$125</f>
        <v>6.7000000000000004E-2</v>
      </c>
      <c r="D12">
        <f t="shared" ref="D12:H12" si="0">$C$125</f>
        <v>6.7000000000000004E-2</v>
      </c>
      <c r="E12">
        <f t="shared" si="0"/>
        <v>6.7000000000000004E-2</v>
      </c>
      <c r="F12">
        <f t="shared" si="0"/>
        <v>6.7000000000000004E-2</v>
      </c>
      <c r="G12">
        <f t="shared" si="0"/>
        <v>6.7000000000000004E-2</v>
      </c>
      <c r="H12">
        <f t="shared" si="0"/>
        <v>6.7000000000000004E-2</v>
      </c>
      <c r="I12" s="13"/>
    </row>
    <row r="13" spans="1:15" ht="15.6" customHeight="1" x14ac:dyDescent="0.3">
      <c r="A13" s="13" t="s">
        <v>209</v>
      </c>
      <c r="B13" s="13" t="s">
        <v>210</v>
      </c>
      <c r="C13">
        <f>$C$129</f>
        <v>7.76</v>
      </c>
      <c r="D13">
        <f t="shared" ref="D13:H13" si="1">$C$129</f>
        <v>7.76</v>
      </c>
      <c r="E13">
        <f t="shared" si="1"/>
        <v>7.76</v>
      </c>
      <c r="F13">
        <f t="shared" si="1"/>
        <v>7.76</v>
      </c>
      <c r="G13">
        <f t="shared" si="1"/>
        <v>7.76</v>
      </c>
      <c r="H13">
        <f t="shared" si="1"/>
        <v>7.76</v>
      </c>
      <c r="I13" s="13"/>
    </row>
    <row r="14" spans="1:15" ht="15.6" customHeight="1" x14ac:dyDescent="0.3">
      <c r="A14" s="13" t="s">
        <v>1779</v>
      </c>
      <c r="B14" s="13" t="s">
        <v>200</v>
      </c>
      <c r="C14" s="141">
        <f>$C$139*C11</f>
        <v>58440.827173081707</v>
      </c>
      <c r="D14" s="141">
        <f>$C$139*D11</f>
        <v>56467.215748850052</v>
      </c>
      <c r="E14" s="141">
        <f>$C$139*E11</f>
        <v>52629.637979510735</v>
      </c>
      <c r="F14" s="4">
        <f>$C$140*F11</f>
        <v>41435.03860818065</v>
      </c>
      <c r="G14" s="4">
        <f>(F14+H14)/2</f>
        <v>29480.412139691885</v>
      </c>
      <c r="H14" s="4">
        <f>$C$141*H11</f>
        <v>17525.785671203121</v>
      </c>
      <c r="I14" s="13"/>
    </row>
    <row r="15" spans="1:15" ht="15.6" customHeight="1" x14ac:dyDescent="0.3">
      <c r="A15" s="13" t="s">
        <v>1750</v>
      </c>
      <c r="B15" s="13" t="s">
        <v>241</v>
      </c>
      <c r="C15" s="4">
        <f>C14*$C$173</f>
        <v>1753.2248151924512</v>
      </c>
      <c r="D15" s="141">
        <f>D14*$C$172</f>
        <v>1129.344314977001</v>
      </c>
      <c r="E15" s="142">
        <f>E14*$C$172</f>
        <v>1052.5927595902147</v>
      </c>
      <c r="F15" s="142">
        <f>F14*$C$172</f>
        <v>828.70077216361301</v>
      </c>
      <c r="G15" s="142">
        <f>G14*$C$172</f>
        <v>589.60824279383769</v>
      </c>
      <c r="H15" s="142">
        <f>H14*$C$172</f>
        <v>350.51571342406243</v>
      </c>
      <c r="I15" s="13"/>
    </row>
    <row r="16" spans="1:15" ht="15.6" customHeight="1" x14ac:dyDescent="0.3">
      <c r="A16" s="13" t="s">
        <v>1751</v>
      </c>
      <c r="B16" s="13" t="s">
        <v>200</v>
      </c>
      <c r="C16">
        <v>0</v>
      </c>
      <c r="D16" s="5">
        <v>0</v>
      </c>
      <c r="E16" s="14">
        <v>0</v>
      </c>
      <c r="F16">
        <v>0</v>
      </c>
      <c r="G16">
        <v>0</v>
      </c>
      <c r="H16">
        <v>0</v>
      </c>
      <c r="I16" s="13"/>
    </row>
    <row r="17" spans="1:15" ht="15.6" customHeight="1" x14ac:dyDescent="0.3">
      <c r="A17" s="13" t="s">
        <v>110</v>
      </c>
      <c r="B17" s="13" t="s">
        <v>201</v>
      </c>
      <c r="C17">
        <f>$C$186</f>
        <v>25</v>
      </c>
      <c r="D17">
        <f t="shared" ref="D17:H17" si="2">$C$186</f>
        <v>25</v>
      </c>
      <c r="E17">
        <f t="shared" si="2"/>
        <v>25</v>
      </c>
      <c r="F17">
        <f t="shared" si="2"/>
        <v>25</v>
      </c>
      <c r="G17">
        <f t="shared" si="2"/>
        <v>25</v>
      </c>
      <c r="H17">
        <f t="shared" si="2"/>
        <v>25</v>
      </c>
      <c r="I17" s="13"/>
    </row>
    <row r="18" spans="1:15" x14ac:dyDescent="0.3">
      <c r="A18" s="13" t="s">
        <v>103</v>
      </c>
      <c r="B18" s="13" t="s">
        <v>51</v>
      </c>
      <c r="C18">
        <f>Annuities!AF12</f>
        <v>9.3678779051968114E-2</v>
      </c>
      <c r="D18">
        <f>Annuities!AG12</f>
        <v>9.3678779051968114E-2</v>
      </c>
      <c r="E18" s="5">
        <f>Annuities!AH12</f>
        <v>9.3678779051968114E-2</v>
      </c>
      <c r="F18" s="5">
        <f>Annuities!AI12</f>
        <v>9.3678779051968114E-2</v>
      </c>
      <c r="G18" s="5">
        <f>Annuities!AJ12</f>
        <v>9.3678779051968114E-2</v>
      </c>
      <c r="H18" s="5">
        <f>Annuities!AK12</f>
        <v>9.3678779051968114E-2</v>
      </c>
      <c r="I18" s="5"/>
      <c r="J18" s="13"/>
      <c r="K18" s="13"/>
      <c r="L18" s="2"/>
      <c r="M18" s="2"/>
      <c r="N18" s="1"/>
      <c r="O18" s="13"/>
    </row>
    <row r="19" spans="1:15" ht="15.6" customHeight="1" x14ac:dyDescent="0.3">
      <c r="A19" s="13" t="s">
        <v>1642</v>
      </c>
      <c r="B19" s="13" t="s">
        <v>1696</v>
      </c>
      <c r="C19" s="126">
        <f>$C$219*C11</f>
        <v>121.81376196100278</v>
      </c>
      <c r="D19" s="126">
        <f>$C$219*D11</f>
        <v>117.69997637883009</v>
      </c>
      <c r="E19" s="126">
        <f>$C$219*E11</f>
        <v>109.70094885793873</v>
      </c>
      <c r="F19" s="126">
        <f>$C$220*F11</f>
        <v>68.4636971202371</v>
      </c>
      <c r="G19" s="126">
        <f>$C$221*G11</f>
        <v>33.399045807835989</v>
      </c>
      <c r="H19" s="126">
        <f>$C$222*H11</f>
        <v>5.1422319777158778</v>
      </c>
      <c r="I19" s="13"/>
    </row>
    <row r="20" spans="1:15" ht="15.6" customHeight="1" x14ac:dyDescent="0.3">
      <c r="A20" s="13" t="s">
        <v>1651</v>
      </c>
      <c r="B20" s="13" t="s">
        <v>1697</v>
      </c>
      <c r="C20" s="126">
        <v>0</v>
      </c>
      <c r="D20" s="126">
        <v>0</v>
      </c>
      <c r="E20" s="126">
        <v>0</v>
      </c>
      <c r="F20" s="126">
        <v>0</v>
      </c>
      <c r="G20" s="126">
        <v>0</v>
      </c>
      <c r="H20" s="126">
        <v>0</v>
      </c>
      <c r="I20" s="13"/>
    </row>
    <row r="21" spans="1:15" ht="15.6" customHeight="1" x14ac:dyDescent="0.3">
      <c r="A21" s="13" t="s">
        <v>2050</v>
      </c>
      <c r="B21" s="13" t="s">
        <v>2229</v>
      </c>
      <c r="C21" s="126">
        <f>$C$206*C11/1000</f>
        <v>0.79949999999999999</v>
      </c>
      <c r="D21" s="126">
        <f>$C$205*D11/1000</f>
        <v>0.64375000000000004</v>
      </c>
      <c r="E21" s="126">
        <f>$C$204*E11/1000</f>
        <v>0.48</v>
      </c>
      <c r="F21" s="126">
        <f>$C$207*F11/1000</f>
        <v>0.47299999999999998</v>
      </c>
      <c r="G21" s="126">
        <f>$C$208*G11/1000</f>
        <v>0.36919999999999997</v>
      </c>
      <c r="H21" s="126">
        <f>$C$210*H11/1000</f>
        <v>0.33750000000000002</v>
      </c>
      <c r="I21" s="13"/>
    </row>
    <row r="22" spans="1:15" x14ac:dyDescent="0.3">
      <c r="E22" s="5"/>
      <c r="F22" s="5"/>
      <c r="G22" s="5"/>
      <c r="H22" s="5"/>
      <c r="I22" s="5"/>
      <c r="J22" s="13"/>
      <c r="K22" s="13"/>
      <c r="L22" s="2"/>
      <c r="M22" s="2"/>
      <c r="N22" s="1"/>
      <c r="O22" s="13"/>
    </row>
    <row r="23" spans="1:15" s="67" customFormat="1" x14ac:dyDescent="0.3">
      <c r="A23" s="68" t="s">
        <v>1916</v>
      </c>
      <c r="B23" s="25"/>
      <c r="D23" s="25"/>
      <c r="E23" s="93"/>
      <c r="F23" s="25"/>
      <c r="G23" s="25"/>
      <c r="H23" s="25"/>
    </row>
    <row r="24" spans="1:15" ht="15.6" customHeight="1" x14ac:dyDescent="0.3">
      <c r="A24" s="17" t="s">
        <v>85</v>
      </c>
      <c r="B24" s="17" t="s">
        <v>52</v>
      </c>
      <c r="C24" s="17" t="s">
        <v>184</v>
      </c>
      <c r="D24" s="18" t="s">
        <v>106</v>
      </c>
      <c r="E24" s="49" t="s">
        <v>183</v>
      </c>
      <c r="F24" s="17">
        <v>2030</v>
      </c>
      <c r="G24" s="17">
        <v>2040</v>
      </c>
      <c r="H24" s="17">
        <v>2050</v>
      </c>
      <c r="I24" s="13"/>
    </row>
    <row r="25" spans="1:15" ht="15.6" customHeight="1" x14ac:dyDescent="0.3">
      <c r="A25" s="13" t="s">
        <v>107</v>
      </c>
      <c r="B25" s="13" t="s">
        <v>202</v>
      </c>
      <c r="C25" s="78">
        <v>0</v>
      </c>
      <c r="D25" s="78">
        <v>0</v>
      </c>
      <c r="E25" s="78">
        <v>0</v>
      </c>
      <c r="F25" s="78">
        <v>0</v>
      </c>
      <c r="G25" s="78">
        <v>0</v>
      </c>
      <c r="H25" s="78">
        <v>0</v>
      </c>
      <c r="I25" s="13"/>
    </row>
    <row r="26" spans="1:15" ht="15.6" customHeight="1" x14ac:dyDescent="0.3">
      <c r="A26" s="13" t="s">
        <v>417</v>
      </c>
      <c r="B26" s="13" t="s">
        <v>202</v>
      </c>
      <c r="C26" s="22">
        <v>1</v>
      </c>
      <c r="D26" s="22">
        <v>1</v>
      </c>
      <c r="E26" s="78">
        <v>1</v>
      </c>
      <c r="F26" s="78">
        <v>1</v>
      </c>
      <c r="G26" s="78">
        <v>1</v>
      </c>
      <c r="H26" s="78">
        <v>1</v>
      </c>
      <c r="I26" s="13"/>
    </row>
    <row r="27" spans="1:15" ht="15.6" customHeight="1" x14ac:dyDescent="0.3">
      <c r="A27" s="13" t="s">
        <v>354</v>
      </c>
      <c r="B27" s="13" t="s">
        <v>419</v>
      </c>
      <c r="C27" s="22">
        <v>1</v>
      </c>
      <c r="D27" s="22">
        <v>1</v>
      </c>
      <c r="E27" s="78">
        <v>1</v>
      </c>
      <c r="F27" s="78">
        <v>1</v>
      </c>
      <c r="G27" s="78">
        <v>1</v>
      </c>
      <c r="H27" s="78">
        <v>1</v>
      </c>
      <c r="I27" s="13"/>
    </row>
    <row r="28" spans="1:15" ht="15.6" customHeight="1" x14ac:dyDescent="0.3">
      <c r="A28" s="13" t="s">
        <v>355</v>
      </c>
      <c r="B28" s="13" t="s">
        <v>419</v>
      </c>
      <c r="C28" s="22">
        <v>1</v>
      </c>
      <c r="D28" s="22">
        <v>1</v>
      </c>
      <c r="E28" s="78">
        <v>1</v>
      </c>
      <c r="F28" s="78">
        <v>1</v>
      </c>
      <c r="G28" s="78">
        <v>1</v>
      </c>
      <c r="H28" s="78">
        <v>1</v>
      </c>
      <c r="I28" s="13"/>
    </row>
    <row r="29" spans="1:15" ht="15.6" customHeight="1" x14ac:dyDescent="0.3">
      <c r="A29" s="13" t="s">
        <v>921</v>
      </c>
      <c r="B29" s="13" t="s">
        <v>123</v>
      </c>
      <c r="C29">
        <v>0</v>
      </c>
      <c r="D29">
        <v>0</v>
      </c>
      <c r="E29">
        <v>0</v>
      </c>
      <c r="F29">
        <v>0</v>
      </c>
      <c r="G29">
        <v>0</v>
      </c>
      <c r="H29">
        <v>0</v>
      </c>
      <c r="I29" s="13"/>
    </row>
    <row r="30" spans="1:15" ht="15.6" customHeight="1" x14ac:dyDescent="0.3">
      <c r="A30" s="13" t="s">
        <v>111</v>
      </c>
      <c r="B30" s="13" t="s">
        <v>123</v>
      </c>
      <c r="C30">
        <f>C240</f>
        <v>46.6</v>
      </c>
      <c r="D30" s="14">
        <f>$C$236</f>
        <v>37.9</v>
      </c>
      <c r="E30" s="14">
        <f t="shared" ref="E30:H30" si="3">$C$236</f>
        <v>37.9</v>
      </c>
      <c r="F30" s="14">
        <f t="shared" si="3"/>
        <v>37.9</v>
      </c>
      <c r="G30" s="14">
        <f t="shared" si="3"/>
        <v>37.9</v>
      </c>
      <c r="H30" s="14">
        <f t="shared" si="3"/>
        <v>37.9</v>
      </c>
      <c r="I30" s="13"/>
    </row>
    <row r="31" spans="1:15" ht="15.6" customHeight="1" x14ac:dyDescent="0.3">
      <c r="A31" s="13" t="s">
        <v>205</v>
      </c>
      <c r="B31" s="13" t="s">
        <v>206</v>
      </c>
      <c r="C31">
        <f t="shared" ref="C31:H32" si="4">C12</f>
        <v>6.7000000000000004E-2</v>
      </c>
      <c r="D31">
        <f t="shared" si="4"/>
        <v>6.7000000000000004E-2</v>
      </c>
      <c r="E31">
        <f t="shared" si="4"/>
        <v>6.7000000000000004E-2</v>
      </c>
      <c r="F31">
        <f t="shared" si="4"/>
        <v>6.7000000000000004E-2</v>
      </c>
      <c r="G31">
        <f t="shared" si="4"/>
        <v>6.7000000000000004E-2</v>
      </c>
      <c r="H31">
        <f t="shared" si="4"/>
        <v>6.7000000000000004E-2</v>
      </c>
      <c r="I31" s="13"/>
    </row>
    <row r="32" spans="1:15" ht="15.6" customHeight="1" x14ac:dyDescent="0.3">
      <c r="A32" s="13" t="s">
        <v>209</v>
      </c>
      <c r="B32" s="13" t="s">
        <v>210</v>
      </c>
      <c r="C32">
        <f t="shared" si="4"/>
        <v>7.76</v>
      </c>
      <c r="D32">
        <f t="shared" si="4"/>
        <v>7.76</v>
      </c>
      <c r="E32">
        <f t="shared" si="4"/>
        <v>7.76</v>
      </c>
      <c r="F32">
        <f t="shared" si="4"/>
        <v>7.76</v>
      </c>
      <c r="G32">
        <f t="shared" si="4"/>
        <v>7.76</v>
      </c>
      <c r="H32">
        <f t="shared" si="4"/>
        <v>7.76</v>
      </c>
      <c r="I32" s="13"/>
    </row>
    <row r="33" spans="1:15" ht="15.6" customHeight="1" x14ac:dyDescent="0.3">
      <c r="A33" s="13" t="s">
        <v>1779</v>
      </c>
      <c r="B33" s="13" t="s">
        <v>200</v>
      </c>
      <c r="C33">
        <f>$C$260*C30</f>
        <v>161677.43415770328</v>
      </c>
      <c r="D33">
        <f>$C$260*D30</f>
        <v>131493.020484484</v>
      </c>
      <c r="E33">
        <f>$C$260*E30</f>
        <v>131493.020484484</v>
      </c>
      <c r="F33" s="5">
        <f>$C$261*F30</f>
        <v>51493.887665355403</v>
      </c>
      <c r="G33" s="5">
        <f>(H33+F33)/2</f>
        <v>34532.079139529087</v>
      </c>
      <c r="H33" s="5">
        <f>$C$262*H30</f>
        <v>17570.270613702771</v>
      </c>
      <c r="I33" s="13"/>
    </row>
    <row r="34" spans="1:15" ht="15.6" customHeight="1" x14ac:dyDescent="0.3">
      <c r="A34" s="13" t="s">
        <v>1750</v>
      </c>
      <c r="B34" s="13" t="s">
        <v>241</v>
      </c>
      <c r="C34" s="5">
        <f t="shared" ref="C34:H34" si="5">C33*$C$280/100</f>
        <v>4850.3230247310976</v>
      </c>
      <c r="D34" s="5">
        <f t="shared" si="5"/>
        <v>3944.79061453452</v>
      </c>
      <c r="E34" s="5">
        <f t="shared" si="5"/>
        <v>3944.79061453452</v>
      </c>
      <c r="F34" s="5">
        <f t="shared" si="5"/>
        <v>1544.8166299606621</v>
      </c>
      <c r="G34" s="5">
        <f t="shared" si="5"/>
        <v>1035.9623741858727</v>
      </c>
      <c r="H34" s="5">
        <f t="shared" si="5"/>
        <v>527.10811841108307</v>
      </c>
      <c r="I34" s="13"/>
    </row>
    <row r="35" spans="1:15" ht="15.6" customHeight="1" x14ac:dyDescent="0.3">
      <c r="A35" s="13" t="s">
        <v>1752</v>
      </c>
      <c r="B35" s="13" t="s">
        <v>200</v>
      </c>
      <c r="C35">
        <v>0</v>
      </c>
      <c r="D35" s="5">
        <v>0</v>
      </c>
      <c r="E35" s="14">
        <v>0</v>
      </c>
      <c r="F35" s="14">
        <v>0</v>
      </c>
      <c r="G35" s="14">
        <v>0</v>
      </c>
      <c r="H35" s="14">
        <v>0</v>
      </c>
      <c r="I35" s="13"/>
    </row>
    <row r="36" spans="1:15" ht="15.6" customHeight="1" x14ac:dyDescent="0.3">
      <c r="A36" s="13" t="s">
        <v>110</v>
      </c>
      <c r="B36" s="13" t="s">
        <v>201</v>
      </c>
      <c r="C36" s="5">
        <f t="shared" ref="C36:H36" si="6">$C$292</f>
        <v>25</v>
      </c>
      <c r="D36" s="5">
        <f t="shared" si="6"/>
        <v>25</v>
      </c>
      <c r="E36" s="5">
        <f t="shared" si="6"/>
        <v>25</v>
      </c>
      <c r="F36" s="5">
        <f t="shared" si="6"/>
        <v>25</v>
      </c>
      <c r="G36" s="5">
        <f t="shared" si="6"/>
        <v>25</v>
      </c>
      <c r="H36" s="5">
        <f t="shared" si="6"/>
        <v>25</v>
      </c>
      <c r="I36" s="13"/>
    </row>
    <row r="37" spans="1:15" x14ac:dyDescent="0.3">
      <c r="A37" s="13" t="s">
        <v>103</v>
      </c>
      <c r="B37" s="13" t="s">
        <v>51</v>
      </c>
      <c r="C37">
        <f>Annuities!AF13</f>
        <v>9.3678779051968114E-2</v>
      </c>
      <c r="D37">
        <f>Annuities!AG13</f>
        <v>9.3678779051968114E-2</v>
      </c>
      <c r="E37">
        <f>Annuities!AH13</f>
        <v>9.3678779051968114E-2</v>
      </c>
      <c r="F37">
        <f>Annuities!AI13</f>
        <v>8.9946873351580109E-2</v>
      </c>
      <c r="G37">
        <f>Annuities!AJ13</f>
        <v>9.3678779051968114E-2</v>
      </c>
      <c r="H37">
        <f>Annuities!AK13</f>
        <v>9.3678779051968114E-2</v>
      </c>
      <c r="I37" s="5"/>
      <c r="J37" s="13"/>
      <c r="K37" s="13"/>
      <c r="L37" s="2"/>
      <c r="M37" s="2"/>
      <c r="N37" s="1"/>
      <c r="O37" s="13"/>
    </row>
    <row r="38" spans="1:15" ht="15.6" customHeight="1" x14ac:dyDescent="0.3">
      <c r="A38" s="13" t="s">
        <v>1642</v>
      </c>
      <c r="B38" s="13" t="s">
        <v>1654</v>
      </c>
      <c r="C38" s="163">
        <f>$C$318*C30</f>
        <v>127.29937324137931</v>
      </c>
      <c r="D38" s="163">
        <f>$C$318*D30</f>
        <v>103.53318124137931</v>
      </c>
      <c r="E38" s="163">
        <f>$C$318*E30</f>
        <v>103.53318124137931</v>
      </c>
      <c r="F38" s="163">
        <f>$C$319*F30</f>
        <v>65.570669675602744</v>
      </c>
      <c r="G38" s="163">
        <f>$C$320*G30</f>
        <v>32.78481717189517</v>
      </c>
      <c r="H38" s="163">
        <f>$C$321*H30</f>
        <v>5.1766590620689659</v>
      </c>
      <c r="I38" s="13"/>
    </row>
    <row r="39" spans="1:15" ht="15.6" customHeight="1" x14ac:dyDescent="0.3">
      <c r="A39" s="13" t="s">
        <v>1651</v>
      </c>
      <c r="B39" s="13" t="s">
        <v>1656</v>
      </c>
      <c r="C39" s="126">
        <v>0</v>
      </c>
      <c r="D39" s="126">
        <v>0</v>
      </c>
      <c r="E39" s="126">
        <v>0</v>
      </c>
      <c r="F39" s="126">
        <v>0</v>
      </c>
      <c r="G39" s="126">
        <v>0</v>
      </c>
      <c r="H39" s="126">
        <v>0</v>
      </c>
      <c r="I39" s="13"/>
    </row>
    <row r="40" spans="1:15" ht="15.6" customHeight="1" x14ac:dyDescent="0.3">
      <c r="A40" s="13" t="s">
        <v>2050</v>
      </c>
      <c r="B40" s="13" t="s">
        <v>2239</v>
      </c>
      <c r="C40" s="126">
        <f>$C$310*C30/1000</f>
        <v>1.631</v>
      </c>
      <c r="D40" s="126">
        <f>$C$309*D30/1000</f>
        <v>1.3265</v>
      </c>
      <c r="E40" s="126">
        <f>$C$308*E30/1000</f>
        <v>1.3265</v>
      </c>
      <c r="F40" s="126">
        <f>$C$311*F30/1000</f>
        <v>0.75800000000000001</v>
      </c>
      <c r="G40" s="126">
        <f>$C$312*G30/1000</f>
        <v>0.56850000000000001</v>
      </c>
      <c r="H40" s="126">
        <f>$C$314*H30/1000</f>
        <v>0.379</v>
      </c>
      <c r="I40" s="13"/>
    </row>
    <row r="41" spans="1:15" x14ac:dyDescent="0.3">
      <c r="E41" s="5"/>
      <c r="F41" s="5"/>
      <c r="G41" s="5"/>
      <c r="H41" s="5"/>
      <c r="I41" s="5"/>
      <c r="J41" s="13"/>
      <c r="K41" s="13"/>
      <c r="L41" s="2"/>
      <c r="M41" s="2"/>
      <c r="N41" s="1"/>
      <c r="O41" s="13"/>
    </row>
    <row r="42" spans="1:15" s="67" customFormat="1" x14ac:dyDescent="0.3">
      <c r="A42" s="68" t="s">
        <v>1930</v>
      </c>
      <c r="B42" s="25"/>
      <c r="D42" s="25"/>
      <c r="E42" s="93"/>
      <c r="F42" s="25"/>
      <c r="G42" s="25"/>
      <c r="H42" s="25"/>
    </row>
    <row r="43" spans="1:15" x14ac:dyDescent="0.3">
      <c r="A43" s="13" t="s">
        <v>242</v>
      </c>
      <c r="B43" s="13" t="s">
        <v>243</v>
      </c>
      <c r="C43">
        <f>C57</f>
        <v>2.7E-2</v>
      </c>
      <c r="D43" s="5">
        <f>C61</f>
        <v>0.10288700000000001</v>
      </c>
      <c r="E43" s="14">
        <f>C53</f>
        <v>0.15</v>
      </c>
      <c r="F43" s="5">
        <f>C54</f>
        <v>0.05</v>
      </c>
      <c r="G43" s="5">
        <f>(F43+H43)/2</f>
        <v>3.85E-2</v>
      </c>
      <c r="H43" s="5">
        <f>C57</f>
        <v>2.7E-2</v>
      </c>
      <c r="I43" s="13"/>
      <c r="J43" s="13"/>
      <c r="K43" s="13"/>
      <c r="M43" s="5"/>
      <c r="N43" s="14"/>
      <c r="O43" s="13"/>
    </row>
    <row r="44" spans="1:15" x14ac:dyDescent="0.3">
      <c r="A44" s="13" t="s">
        <v>875</v>
      </c>
      <c r="B44" s="13" t="s">
        <v>280</v>
      </c>
      <c r="C44">
        <f>C67</f>
        <v>0.02</v>
      </c>
      <c r="D44">
        <f>C68</f>
        <v>3.0032352000000005E-2</v>
      </c>
      <c r="E44">
        <f>C68</f>
        <v>3.0032352000000005E-2</v>
      </c>
      <c r="F44" s="5">
        <f>C67</f>
        <v>0.02</v>
      </c>
      <c r="G44" s="5">
        <f>C67</f>
        <v>0.02</v>
      </c>
      <c r="H44" s="5">
        <f>C67</f>
        <v>0.02</v>
      </c>
      <c r="I44" s="13"/>
      <c r="J44" s="13"/>
      <c r="K44" s="13"/>
      <c r="M44" s="5"/>
      <c r="N44" s="14"/>
      <c r="O44" s="13"/>
    </row>
    <row r="45" spans="1:15" x14ac:dyDescent="0.3">
      <c r="A45" s="13" t="s">
        <v>946</v>
      </c>
      <c r="B45" s="13" t="s">
        <v>280</v>
      </c>
      <c r="C45" s="23">
        <f>$C$73</f>
        <v>1.6649999999999998E-2</v>
      </c>
      <c r="D45" s="23">
        <f t="shared" ref="D45:H45" si="7">$C$73</f>
        <v>1.6649999999999998E-2</v>
      </c>
      <c r="E45" s="23">
        <f t="shared" si="7"/>
        <v>1.6649999999999998E-2</v>
      </c>
      <c r="F45" s="23">
        <f>$C$73</f>
        <v>1.6649999999999998E-2</v>
      </c>
      <c r="G45" s="23">
        <f>$C$73</f>
        <v>1.6649999999999998E-2</v>
      </c>
      <c r="H45" s="23">
        <f t="shared" si="7"/>
        <v>1.6649999999999998E-2</v>
      </c>
      <c r="I45" s="13"/>
      <c r="J45" s="13"/>
      <c r="K45" s="13"/>
      <c r="L45" s="2"/>
      <c r="M45" s="2"/>
      <c r="N45" s="1"/>
      <c r="O45" s="13"/>
    </row>
    <row r="46" spans="1:15" x14ac:dyDescent="0.3">
      <c r="A46" s="13" t="s">
        <v>2206</v>
      </c>
      <c r="B46" s="13" t="s">
        <v>192</v>
      </c>
      <c r="C46" s="4">
        <f>$C$74</f>
        <v>180</v>
      </c>
      <c r="D46" s="4">
        <f t="shared" ref="D46:H46" si="8">$C$74</f>
        <v>180</v>
      </c>
      <c r="E46" s="4">
        <f t="shared" si="8"/>
        <v>180</v>
      </c>
      <c r="F46" s="4">
        <f t="shared" si="8"/>
        <v>180</v>
      </c>
      <c r="G46" s="4">
        <f t="shared" si="8"/>
        <v>180</v>
      </c>
      <c r="H46" s="4">
        <f t="shared" si="8"/>
        <v>180</v>
      </c>
      <c r="I46" s="13"/>
      <c r="J46" s="13"/>
      <c r="K46" s="13"/>
      <c r="L46" s="2"/>
      <c r="M46" s="2"/>
      <c r="N46" s="1"/>
      <c r="O46" s="13"/>
    </row>
    <row r="47" spans="1:15" x14ac:dyDescent="0.3">
      <c r="A47" s="13" t="s">
        <v>1672</v>
      </c>
      <c r="B47" s="13" t="s">
        <v>1879</v>
      </c>
      <c r="C47" s="23">
        <v>0</v>
      </c>
      <c r="D47" s="23">
        <v>0</v>
      </c>
      <c r="E47" s="23">
        <v>0</v>
      </c>
      <c r="F47" s="23">
        <v>0</v>
      </c>
      <c r="G47" s="23">
        <v>0</v>
      </c>
      <c r="H47" s="23">
        <v>0</v>
      </c>
      <c r="I47" s="13"/>
      <c r="J47" s="13"/>
      <c r="K47" s="13"/>
      <c r="L47" s="2"/>
      <c r="M47" s="2"/>
      <c r="N47" s="1"/>
      <c r="O47" s="13"/>
    </row>
    <row r="48" spans="1:15" x14ac:dyDescent="0.3">
      <c r="A48" s="13" t="s">
        <v>1673</v>
      </c>
      <c r="B48" s="13" t="s">
        <v>1650</v>
      </c>
      <c r="C48" s="23">
        <f>$C$81</f>
        <v>0.52071675648504789</v>
      </c>
      <c r="D48" s="23">
        <f t="shared" ref="D48:E48" si="9">$C$81</f>
        <v>0.52071675648504789</v>
      </c>
      <c r="E48" s="23">
        <f t="shared" si="9"/>
        <v>0.52071675648504789</v>
      </c>
      <c r="F48" s="23">
        <f>$C$82</f>
        <v>0.18714358462514541</v>
      </c>
      <c r="G48" s="23">
        <f>$C$83</f>
        <v>1.9847560930373143E-2</v>
      </c>
      <c r="H48" s="23">
        <f>$C$84</f>
        <v>2.8336085303342978E-3</v>
      </c>
      <c r="I48" s="13"/>
      <c r="J48" s="13"/>
      <c r="K48" s="13"/>
      <c r="L48" s="2"/>
      <c r="M48" s="2"/>
      <c r="N48" s="1"/>
      <c r="O48" s="13"/>
    </row>
    <row r="49" spans="1:14" x14ac:dyDescent="0.3">
      <c r="C49" s="2"/>
      <c r="D49" s="23"/>
      <c r="E49" s="1"/>
      <c r="F49" s="23"/>
      <c r="I49" s="13"/>
      <c r="J49" s="13"/>
      <c r="K49" s="2"/>
      <c r="L49" s="2"/>
      <c r="M49" s="1"/>
      <c r="N49" s="13"/>
    </row>
    <row r="50" spans="1:14" s="33" customFormat="1" x14ac:dyDescent="0.3">
      <c r="A50" s="120" t="s">
        <v>203</v>
      </c>
      <c r="B50" s="32"/>
      <c r="D50" s="63"/>
      <c r="E50" s="92"/>
      <c r="F50" s="32"/>
      <c r="G50" s="32"/>
      <c r="H50" s="32"/>
    </row>
    <row r="51" spans="1:14" s="67" customFormat="1" x14ac:dyDescent="0.3">
      <c r="A51" s="68" t="s">
        <v>1931</v>
      </c>
      <c r="B51" s="25"/>
      <c r="D51" s="25"/>
      <c r="E51" s="93"/>
      <c r="F51" s="25"/>
      <c r="G51" s="25"/>
      <c r="H51" s="25"/>
    </row>
    <row r="52" spans="1:14" x14ac:dyDescent="0.3">
      <c r="A52" s="17" t="s">
        <v>85</v>
      </c>
      <c r="B52" s="17" t="s">
        <v>82</v>
      </c>
      <c r="C52" s="17" t="s">
        <v>49</v>
      </c>
      <c r="D52" s="17" t="s">
        <v>52</v>
      </c>
      <c r="E52" s="95" t="s">
        <v>58</v>
      </c>
      <c r="F52" s="15" t="s">
        <v>93</v>
      </c>
      <c r="G52" s="15" t="s">
        <v>80</v>
      </c>
      <c r="H52" s="17" t="s">
        <v>59</v>
      </c>
      <c r="I52" s="13"/>
      <c r="J52" s="13"/>
      <c r="K52" s="2"/>
      <c r="L52" s="2"/>
      <c r="M52" s="1"/>
      <c r="N52" s="13"/>
    </row>
    <row r="53" spans="1:14" x14ac:dyDescent="0.3">
      <c r="A53" s="203" t="s">
        <v>145</v>
      </c>
      <c r="B53" s="13" t="s">
        <v>2214</v>
      </c>
      <c r="C53">
        <f>177*(1/1.18)/1000</f>
        <v>0.15</v>
      </c>
      <c r="D53" s="14" t="s">
        <v>152</v>
      </c>
      <c r="E53" s="14" t="str">
        <f>Sources!A20</f>
        <v>Zhang2020</v>
      </c>
      <c r="F53" s="16"/>
      <c r="G53" s="46" t="str">
        <f>Sources!A30</f>
        <v>Guilera2018</v>
      </c>
      <c r="H53" s="16" t="s">
        <v>317</v>
      </c>
    </row>
    <row r="54" spans="1:14" x14ac:dyDescent="0.3">
      <c r="A54" s="203"/>
      <c r="B54" s="13" t="s">
        <v>716</v>
      </c>
      <c r="C54">
        <v>0.05</v>
      </c>
      <c r="D54" s="14" t="s">
        <v>152</v>
      </c>
      <c r="E54" s="14" t="str">
        <f>Sources!A55</f>
        <v>Hank2018</v>
      </c>
      <c r="F54" s="16"/>
      <c r="G54" s="46"/>
      <c r="H54" s="16"/>
    </row>
    <row r="55" spans="1:14" x14ac:dyDescent="0.3">
      <c r="A55" s="203"/>
      <c r="C55">
        <v>7.4999999999999997E-2</v>
      </c>
      <c r="D55" s="14" t="s">
        <v>152</v>
      </c>
      <c r="E55" s="14" t="str">
        <f>Sources!A55</f>
        <v>Hank2018</v>
      </c>
      <c r="F55" s="16"/>
      <c r="G55" s="46"/>
      <c r="H55" s="16"/>
    </row>
    <row r="56" spans="1:14" x14ac:dyDescent="0.3">
      <c r="A56" s="203"/>
      <c r="B56" s="13" t="s">
        <v>1230</v>
      </c>
      <c r="C56">
        <v>8.7400000000000005E-2</v>
      </c>
      <c r="D56" s="14" t="s">
        <v>152</v>
      </c>
      <c r="E56" s="14" t="str">
        <f>Sources!A59</f>
        <v>Konstantinos2016</v>
      </c>
      <c r="F56" s="16"/>
      <c r="G56" s="46"/>
      <c r="H56" s="16"/>
    </row>
    <row r="57" spans="1:14" x14ac:dyDescent="0.3">
      <c r="A57" s="203"/>
      <c r="B57" s="13" t="s">
        <v>884</v>
      </c>
      <c r="C57">
        <v>2.7E-2</v>
      </c>
      <c r="D57" s="14" t="s">
        <v>152</v>
      </c>
      <c r="E57" s="14" t="str">
        <f>Sources!A67</f>
        <v>Hannula2015</v>
      </c>
      <c r="F57" s="16"/>
      <c r="G57" s="46"/>
      <c r="H57" s="16"/>
    </row>
    <row r="58" spans="1:14" x14ac:dyDescent="0.3">
      <c r="A58" s="203"/>
      <c r="B58" s="13" t="s">
        <v>885</v>
      </c>
      <c r="C58">
        <v>5.5E-2</v>
      </c>
      <c r="D58" s="14" t="s">
        <v>152</v>
      </c>
      <c r="E58" s="14" t="str">
        <f>Sources!A68</f>
        <v>Mosheni2013</v>
      </c>
      <c r="F58" s="16"/>
      <c r="G58" s="46"/>
      <c r="H58" s="16"/>
    </row>
    <row r="59" spans="1:14" x14ac:dyDescent="0.3">
      <c r="A59" s="203"/>
      <c r="B59" s="13" t="s">
        <v>908</v>
      </c>
      <c r="C59">
        <f>0.1/1.42</f>
        <v>7.0422535211267609E-2</v>
      </c>
      <c r="D59" s="14" t="s">
        <v>152</v>
      </c>
      <c r="E59" s="14" t="str">
        <f>Sources!A70</f>
        <v>McDonagh2018</v>
      </c>
      <c r="F59" s="16"/>
      <c r="G59" s="46"/>
      <c r="H59" s="16"/>
    </row>
    <row r="60" spans="1:14" x14ac:dyDescent="0.3">
      <c r="A60" s="203"/>
      <c r="B60" s="13" t="s">
        <v>1237</v>
      </c>
      <c r="C60">
        <v>7.0000000000000007E-2</v>
      </c>
      <c r="D60" s="14" t="s">
        <v>152</v>
      </c>
      <c r="F60" s="16"/>
      <c r="G60" s="46"/>
      <c r="H60" s="16"/>
    </row>
    <row r="61" spans="1:14" s="45" customFormat="1" x14ac:dyDescent="0.3">
      <c r="A61" s="203"/>
      <c r="B61" s="43" t="s">
        <v>1498</v>
      </c>
      <c r="C61" s="45">
        <f>0.1*E2017_ref</f>
        <v>0.10288700000000001</v>
      </c>
      <c r="D61" s="44" t="s">
        <v>152</v>
      </c>
      <c r="E61" s="44" t="str">
        <f>Sources!A45</f>
        <v>Belotti2017</v>
      </c>
      <c r="F61" s="116" t="s">
        <v>409</v>
      </c>
      <c r="G61" s="122"/>
      <c r="H61" s="116"/>
    </row>
    <row r="62" spans="1:14" s="45" customFormat="1" x14ac:dyDescent="0.3">
      <c r="A62" s="8"/>
      <c r="B62" s="43"/>
      <c r="D62" s="44"/>
      <c r="E62" s="44"/>
      <c r="F62" s="116"/>
      <c r="G62" s="122"/>
      <c r="H62" s="116"/>
    </row>
    <row r="63" spans="1:14" s="60" customFormat="1" x14ac:dyDescent="0.3">
      <c r="A63" s="59" t="s">
        <v>1229</v>
      </c>
      <c r="B63" s="58" t="s">
        <v>1231</v>
      </c>
      <c r="C63" s="60">
        <v>0.37109999999999999</v>
      </c>
      <c r="D63" s="62" t="s">
        <v>1232</v>
      </c>
      <c r="E63" s="62" t="str">
        <f>Sources!A59</f>
        <v>Konstantinos2016</v>
      </c>
      <c r="F63" s="118"/>
      <c r="G63" s="46"/>
      <c r="H63" s="118"/>
    </row>
    <row r="64" spans="1:14" x14ac:dyDescent="0.3">
      <c r="A64" s="8"/>
      <c r="D64" s="14"/>
      <c r="F64" s="16"/>
      <c r="G64" s="46"/>
      <c r="H64" s="16"/>
    </row>
    <row r="65" spans="1:8" x14ac:dyDescent="0.3">
      <c r="A65" s="203" t="s">
        <v>866</v>
      </c>
      <c r="B65" s="13" t="s">
        <v>1588</v>
      </c>
      <c r="C65">
        <f>(85*E2016_ref/7.5)/(1/0.0036)</f>
        <v>4.2439751999999997E-2</v>
      </c>
      <c r="D65" s="14" t="s">
        <v>280</v>
      </c>
      <c r="E65" s="14" t="str">
        <f>Sources!A64</f>
        <v>Energinet2018</v>
      </c>
      <c r="F65" s="16"/>
      <c r="G65" s="46"/>
      <c r="H65" s="16" t="s">
        <v>883</v>
      </c>
    </row>
    <row r="66" spans="1:8" x14ac:dyDescent="0.3">
      <c r="A66" s="203"/>
      <c r="B66" s="13" t="s">
        <v>871</v>
      </c>
      <c r="C66">
        <f>(120/7.5)/(1/0.0036)</f>
        <v>5.7599999999999998E-2</v>
      </c>
      <c r="D66" s="14" t="s">
        <v>280</v>
      </c>
      <c r="E66" s="14" t="str">
        <f>Sources!A64</f>
        <v>Energinet2018</v>
      </c>
      <c r="F66" s="16"/>
      <c r="G66" s="46"/>
      <c r="H66" s="16"/>
    </row>
    <row r="67" spans="1:8" x14ac:dyDescent="0.3">
      <c r="A67" s="203"/>
      <c r="B67" s="13" t="s">
        <v>879</v>
      </c>
      <c r="C67">
        <f>20*10^-3</f>
        <v>0.02</v>
      </c>
      <c r="D67" s="14" t="s">
        <v>280</v>
      </c>
      <c r="E67" s="14" t="str">
        <f>Sources!A69</f>
        <v>Fu2010</v>
      </c>
      <c r="F67" s="16"/>
      <c r="G67" s="46"/>
      <c r="H67" s="16"/>
    </row>
    <row r="68" spans="1:8" s="45" customFormat="1" x14ac:dyDescent="0.3">
      <c r="A68" s="203"/>
      <c r="B68" s="43" t="s">
        <v>897</v>
      </c>
      <c r="C68" s="45">
        <f>(8*E2015_ref)/(1/0.0036)</f>
        <v>3.0032352000000005E-2</v>
      </c>
      <c r="D68" s="44" t="s">
        <v>280</v>
      </c>
      <c r="E68" s="44" t="str">
        <f>Sources!A67</f>
        <v>Hannula2015</v>
      </c>
      <c r="F68" s="116"/>
      <c r="G68" s="122"/>
      <c r="H68" s="116"/>
    </row>
    <row r="69" spans="1:8" s="45" customFormat="1" x14ac:dyDescent="0.3">
      <c r="A69" s="203"/>
      <c r="B69" s="43" t="s">
        <v>2211</v>
      </c>
      <c r="C69" s="45">
        <v>2.3E-2</v>
      </c>
      <c r="D69" s="44" t="s">
        <v>280</v>
      </c>
      <c r="E69" s="44" t="str">
        <f>Sources!A138</f>
        <v>DanskFjernvarme2021</v>
      </c>
      <c r="F69" s="116"/>
      <c r="G69" s="122"/>
      <c r="H69" s="116" t="s">
        <v>2210</v>
      </c>
    </row>
    <row r="70" spans="1:8" x14ac:dyDescent="0.3">
      <c r="A70" s="203"/>
      <c r="B70" t="s">
        <v>901</v>
      </c>
      <c r="C70">
        <f>31*0.001</f>
        <v>3.1E-2</v>
      </c>
      <c r="D70" s="14" t="s">
        <v>280</v>
      </c>
      <c r="E70" s="14" t="str">
        <f>Sources!A68</f>
        <v>Mosheni2013</v>
      </c>
      <c r="F70" s="16"/>
      <c r="G70" s="46"/>
      <c r="H70" s="16" t="s">
        <v>902</v>
      </c>
    </row>
    <row r="71" spans="1:8" x14ac:dyDescent="0.3">
      <c r="A71" s="8"/>
      <c r="D71" s="14"/>
      <c r="F71" s="16"/>
      <c r="G71" s="46"/>
      <c r="H71" s="16"/>
    </row>
    <row r="72" spans="1:8" x14ac:dyDescent="0.3">
      <c r="A72" s="8"/>
      <c r="B72"/>
      <c r="D72" s="14"/>
      <c r="F72" s="16"/>
      <c r="G72" s="46"/>
      <c r="H72" s="16"/>
    </row>
    <row r="73" spans="1:8" x14ac:dyDescent="0.3">
      <c r="A73" s="203" t="s">
        <v>924</v>
      </c>
      <c r="B73" s="13" t="s">
        <v>925</v>
      </c>
      <c r="C73">
        <f>(10.74+5.37+0.54)/1000</f>
        <v>1.6649999999999998E-2</v>
      </c>
      <c r="D73" s="14" t="s">
        <v>280</v>
      </c>
      <c r="E73" s="14" t="str">
        <f>Sources!A71</f>
        <v>Energinet2019</v>
      </c>
      <c r="F73" s="16"/>
      <c r="G73" s="46"/>
      <c r="H73" s="16"/>
    </row>
    <row r="74" spans="1:8" x14ac:dyDescent="0.3">
      <c r="A74" s="203"/>
      <c r="B74" s="13" t="s">
        <v>2296</v>
      </c>
      <c r="C74">
        <v>180</v>
      </c>
      <c r="D74" s="14" t="s">
        <v>192</v>
      </c>
      <c r="E74" s="14" t="str">
        <f>Sources!A139</f>
        <v>Terlouw2022</v>
      </c>
      <c r="F74" s="16"/>
      <c r="G74" s="46"/>
      <c r="H74" s="16"/>
    </row>
    <row r="75" spans="1:8" x14ac:dyDescent="0.3">
      <c r="A75" s="203"/>
      <c r="B75" s="13" t="s">
        <v>2207</v>
      </c>
      <c r="C75">
        <v>66</v>
      </c>
      <c r="D75" s="14" t="s">
        <v>192</v>
      </c>
      <c r="E75" s="14" t="str">
        <f>Sources!A55</f>
        <v>Hank2018</v>
      </c>
      <c r="F75" s="16"/>
      <c r="G75" s="46"/>
      <c r="H75" s="16"/>
    </row>
    <row r="76" spans="1:8" x14ac:dyDescent="0.3">
      <c r="A76" s="8"/>
      <c r="D76" s="14"/>
      <c r="F76" s="16"/>
      <c r="G76" s="46"/>
      <c r="H76" s="16"/>
    </row>
    <row r="77" spans="1:8" x14ac:dyDescent="0.3">
      <c r="A77" s="203" t="s">
        <v>1698</v>
      </c>
      <c r="B77" s="13" t="s">
        <v>1713</v>
      </c>
      <c r="C77">
        <f>513.802759707823/1000</f>
        <v>0.51380275970782308</v>
      </c>
      <c r="D77" s="14" t="s">
        <v>1710</v>
      </c>
      <c r="E77" s="14" t="str">
        <f>Sources!A117</f>
        <v>IEA2020</v>
      </c>
      <c r="F77" s="16"/>
      <c r="G77" s="46"/>
      <c r="H77" s="16"/>
    </row>
    <row r="78" spans="1:8" x14ac:dyDescent="0.3">
      <c r="A78" s="203"/>
      <c r="B78" s="13" t="s">
        <v>1712</v>
      </c>
      <c r="C78">
        <f>284.000344753259/1000</f>
        <v>0.28400034475325903</v>
      </c>
      <c r="D78" s="14" t="s">
        <v>1710</v>
      </c>
      <c r="E78" s="14" t="str">
        <f>Sources!A117</f>
        <v>IEA2020</v>
      </c>
      <c r="F78" s="16"/>
      <c r="G78" s="46"/>
      <c r="H78" s="16"/>
    </row>
    <row r="79" spans="1:8" x14ac:dyDescent="0.3">
      <c r="A79" s="203"/>
      <c r="B79" s="13" t="s">
        <v>1711</v>
      </c>
      <c r="C79">
        <f>128.015630101393/1000</f>
        <v>0.128015630101393</v>
      </c>
      <c r="D79" s="14" t="s">
        <v>1710</v>
      </c>
      <c r="E79" s="14" t="str">
        <f>Sources!A117</f>
        <v>IEA2020</v>
      </c>
      <c r="F79" s="16"/>
      <c r="G79" s="46"/>
      <c r="H79" s="16"/>
    </row>
    <row r="80" spans="1:8" x14ac:dyDescent="0.3">
      <c r="A80" s="203"/>
      <c r="B80" s="13">
        <v>2050</v>
      </c>
      <c r="C80">
        <f>11.1614549417687/1000</f>
        <v>1.1161454941768699E-2</v>
      </c>
      <c r="D80" s="14" t="s">
        <v>1710</v>
      </c>
      <c r="E80" s="14" t="s">
        <v>529</v>
      </c>
      <c r="F80" s="16"/>
      <c r="G80" s="46"/>
      <c r="H80" s="16"/>
    </row>
    <row r="81" spans="1:8" x14ac:dyDescent="0.3">
      <c r="A81" s="203"/>
      <c r="B81" s="13" t="s">
        <v>1868</v>
      </c>
      <c r="C81">
        <v>0.52071675648504789</v>
      </c>
      <c r="D81" s="14" t="s">
        <v>1710</v>
      </c>
      <c r="E81" s="14" t="str">
        <f>Sources!A127</f>
        <v>IEA2021</v>
      </c>
      <c r="F81" s="16"/>
      <c r="G81" s="46"/>
      <c r="H81" s="16"/>
    </row>
    <row r="82" spans="1:8" x14ac:dyDescent="0.3">
      <c r="A82" s="203"/>
      <c r="B82" s="13" t="s">
        <v>1869</v>
      </c>
      <c r="C82">
        <v>0.18714358462514541</v>
      </c>
      <c r="D82" s="14" t="s">
        <v>1710</v>
      </c>
      <c r="E82" s="14" t="str">
        <f>Sources!A127</f>
        <v>IEA2021</v>
      </c>
      <c r="F82" s="16"/>
      <c r="G82" s="46"/>
      <c r="H82" s="16"/>
    </row>
    <row r="83" spans="1:8" x14ac:dyDescent="0.3">
      <c r="A83" s="203"/>
      <c r="B83" s="13" t="s">
        <v>1870</v>
      </c>
      <c r="C83">
        <v>1.9847560930373143E-2</v>
      </c>
      <c r="D83" s="14" t="s">
        <v>1710</v>
      </c>
      <c r="E83" s="14" t="str">
        <f>Sources!A127</f>
        <v>IEA2021</v>
      </c>
      <c r="F83" s="16"/>
      <c r="G83" s="46"/>
      <c r="H83" s="16"/>
    </row>
    <row r="84" spans="1:8" x14ac:dyDescent="0.3">
      <c r="A84" s="203"/>
      <c r="B84" s="13" t="s">
        <v>1871</v>
      </c>
      <c r="C84">
        <v>2.8336085303342978E-3</v>
      </c>
      <c r="D84" s="14" t="s">
        <v>1710</v>
      </c>
      <c r="E84" s="14" t="str">
        <f>Sources!A127</f>
        <v>IEA2021</v>
      </c>
      <c r="F84" s="16"/>
      <c r="G84" s="46"/>
      <c r="H84" s="16"/>
    </row>
    <row r="85" spans="1:8" ht="15.6" customHeight="1" x14ac:dyDescent="0.3">
      <c r="D85" s="5"/>
    </row>
    <row r="86" spans="1:8" s="67" customFormat="1" x14ac:dyDescent="0.3">
      <c r="A86" s="68" t="s">
        <v>827</v>
      </c>
      <c r="B86" s="25"/>
      <c r="D86" s="25"/>
      <c r="E86" s="93"/>
      <c r="F86" s="25"/>
      <c r="G86" s="25"/>
      <c r="H86" s="25"/>
    </row>
    <row r="87" spans="1:8" x14ac:dyDescent="0.3">
      <c r="A87" s="17" t="s">
        <v>85</v>
      </c>
      <c r="B87" s="17" t="s">
        <v>82</v>
      </c>
      <c r="C87" s="17" t="s">
        <v>49</v>
      </c>
      <c r="D87" s="17" t="s">
        <v>52</v>
      </c>
      <c r="E87" s="95" t="s">
        <v>58</v>
      </c>
      <c r="F87" s="15" t="s">
        <v>93</v>
      </c>
      <c r="G87" s="15" t="s">
        <v>80</v>
      </c>
      <c r="H87" s="17" t="s">
        <v>59</v>
      </c>
    </row>
    <row r="88" spans="1:8" x14ac:dyDescent="0.3">
      <c r="B88" s="17"/>
      <c r="C88" s="15"/>
      <c r="D88" s="13"/>
      <c r="E88" s="95"/>
      <c r="F88" s="15"/>
      <c r="G88" s="15"/>
      <c r="H88" s="17"/>
    </row>
    <row r="89" spans="1:8" x14ac:dyDescent="0.3">
      <c r="A89" s="203" t="s">
        <v>107</v>
      </c>
      <c r="C89" s="22">
        <v>0.2</v>
      </c>
      <c r="D89" s="13" t="s">
        <v>185</v>
      </c>
      <c r="E89" s="14" t="str">
        <f>Sources!A26</f>
        <v>Buttler2018</v>
      </c>
      <c r="F89"/>
      <c r="G89"/>
      <c r="H89" t="s">
        <v>225</v>
      </c>
    </row>
    <row r="90" spans="1:8" x14ac:dyDescent="0.3">
      <c r="A90" s="203"/>
      <c r="C90" s="22">
        <v>0.1</v>
      </c>
      <c r="D90" s="13" t="s">
        <v>185</v>
      </c>
      <c r="E90" s="14" t="str">
        <f>Sources!A27</f>
        <v>Schmidt2017</v>
      </c>
      <c r="F90"/>
      <c r="G90"/>
      <c r="H90" t="s">
        <v>225</v>
      </c>
    </row>
    <row r="91" spans="1:8" x14ac:dyDescent="0.3">
      <c r="A91" s="8"/>
      <c r="C91" s="22"/>
      <c r="D91" s="13"/>
      <c r="F91"/>
      <c r="G91"/>
      <c r="H91"/>
    </row>
    <row r="92" spans="1:8" x14ac:dyDescent="0.3">
      <c r="A92" s="8" t="s">
        <v>417</v>
      </c>
      <c r="B92" s="13" t="s">
        <v>580</v>
      </c>
      <c r="C92" s="22">
        <v>1.1000000000000001</v>
      </c>
      <c r="D92" s="13" t="s">
        <v>185</v>
      </c>
      <c r="E92" s="14" t="str">
        <f>Sources!A50</f>
        <v>IEA2019</v>
      </c>
      <c r="F92"/>
      <c r="G92"/>
      <c r="H92"/>
    </row>
    <row r="93" spans="1:8" x14ac:dyDescent="0.3">
      <c r="A93" s="8"/>
      <c r="C93" s="22"/>
      <c r="D93" s="13"/>
      <c r="F93"/>
      <c r="G93"/>
      <c r="H93"/>
    </row>
    <row r="94" spans="1:8" x14ac:dyDescent="0.3">
      <c r="A94" s="203" t="s">
        <v>872</v>
      </c>
      <c r="B94" s="13" t="s">
        <v>929</v>
      </c>
      <c r="C94" s="22">
        <v>0.14000000000000001</v>
      </c>
      <c r="D94" s="13" t="s">
        <v>1396</v>
      </c>
      <c r="E94" s="14" t="str">
        <f>Sources!A63</f>
        <v>DEA2020</v>
      </c>
      <c r="F94"/>
      <c r="G94">
        <v>1</v>
      </c>
      <c r="H94"/>
    </row>
    <row r="95" spans="1:8" x14ac:dyDescent="0.3">
      <c r="A95" s="203"/>
      <c r="B95" s="13" t="s">
        <v>873</v>
      </c>
      <c r="C95" s="22">
        <v>0.12</v>
      </c>
      <c r="D95" s="13" t="s">
        <v>1396</v>
      </c>
      <c r="E95" s="14" t="str">
        <f>Sources!A63</f>
        <v>DEA2020</v>
      </c>
      <c r="F95"/>
      <c r="G95"/>
      <c r="H95"/>
    </row>
    <row r="96" spans="1:8" x14ac:dyDescent="0.3">
      <c r="A96" s="203"/>
      <c r="B96" s="13" t="s">
        <v>874</v>
      </c>
      <c r="C96" s="22">
        <v>0.08</v>
      </c>
      <c r="D96" s="13" t="s">
        <v>1396</v>
      </c>
      <c r="E96" s="14" t="str">
        <f>Sources!A63</f>
        <v>DEA2020</v>
      </c>
      <c r="F96"/>
      <c r="G96"/>
      <c r="H96"/>
    </row>
    <row r="97" spans="1:8" x14ac:dyDescent="0.3">
      <c r="A97" s="203"/>
      <c r="B97" s="13" t="s">
        <v>2090</v>
      </c>
      <c r="C97">
        <f>0.46*33</f>
        <v>15.180000000000001</v>
      </c>
      <c r="D97" s="13" t="s">
        <v>2091</v>
      </c>
      <c r="E97" s="14" t="str">
        <f>Sources!A136</f>
        <v>NordicEnergyResearch2020</v>
      </c>
      <c r="F97"/>
      <c r="G97"/>
      <c r="H97"/>
    </row>
    <row r="98" spans="1:8" x14ac:dyDescent="0.3">
      <c r="A98" s="203"/>
      <c r="B98" s="13" t="s">
        <v>2092</v>
      </c>
      <c r="C98">
        <f>0.35*33</f>
        <v>11.549999999999999</v>
      </c>
      <c r="D98" s="13" t="s">
        <v>2091</v>
      </c>
      <c r="E98" s="14" t="str">
        <f>Sources!A136</f>
        <v>NordicEnergyResearch2020</v>
      </c>
      <c r="F98"/>
      <c r="G98"/>
      <c r="H98"/>
    </row>
    <row r="99" spans="1:8" x14ac:dyDescent="0.3">
      <c r="A99" s="203"/>
      <c r="B99" s="13" t="s">
        <v>2093</v>
      </c>
      <c r="C99">
        <f>0.25*33</f>
        <v>8.25</v>
      </c>
      <c r="D99" s="13" t="s">
        <v>2091</v>
      </c>
      <c r="E99" t="str">
        <f>Sources!A136</f>
        <v>NordicEnergyResearch2020</v>
      </c>
      <c r="F99"/>
      <c r="G99"/>
      <c r="H99"/>
    </row>
    <row r="100" spans="1:8" x14ac:dyDescent="0.3">
      <c r="A100" s="17"/>
      <c r="B100" s="17"/>
      <c r="C100" s="15"/>
      <c r="D100" s="13"/>
      <c r="E100" s="95"/>
      <c r="F100" s="15"/>
      <c r="G100" s="15"/>
      <c r="H100" s="17"/>
    </row>
    <row r="101" spans="1:8" ht="14.55" customHeight="1" x14ac:dyDescent="0.3">
      <c r="A101" s="205" t="s">
        <v>347</v>
      </c>
      <c r="B101" s="13" t="s">
        <v>124</v>
      </c>
      <c r="C101" s="14">
        <v>50</v>
      </c>
      <c r="D101" s="14" t="s">
        <v>2</v>
      </c>
      <c r="E101" s="5" t="str">
        <f>Sources!A16</f>
        <v>Palys2019</v>
      </c>
      <c r="F101" t="str">
        <f>Sources!A18</f>
        <v>Allman 2017</v>
      </c>
      <c r="G101" t="str">
        <f>Sources!A19</f>
        <v>Carmo2013</v>
      </c>
      <c r="H101" s="16" t="s">
        <v>129</v>
      </c>
    </row>
    <row r="102" spans="1:8" s="45" customFormat="1" ht="14.55" customHeight="1" x14ac:dyDescent="0.3">
      <c r="A102" s="205"/>
      <c r="B102" s="43" t="s">
        <v>2038</v>
      </c>
      <c r="C102" s="44">
        <v>51.5</v>
      </c>
      <c r="D102" s="44" t="s">
        <v>2</v>
      </c>
      <c r="E102" s="53"/>
      <c r="H102" s="116"/>
    </row>
    <row r="103" spans="1:8" ht="14.55" customHeight="1" x14ac:dyDescent="0.3">
      <c r="A103" s="205"/>
      <c r="B103" s="13" t="s">
        <v>346</v>
      </c>
      <c r="C103" s="14">
        <v>47.6</v>
      </c>
      <c r="D103" s="14" t="s">
        <v>2</v>
      </c>
      <c r="E103" s="5" t="str">
        <f>Sources!A18</f>
        <v>Allman 2017</v>
      </c>
      <c r="G103" t="str">
        <f>Sources!A19</f>
        <v>Carmo2013</v>
      </c>
      <c r="H103" s="16"/>
    </row>
    <row r="104" spans="1:8" s="60" customFormat="1" ht="14.55" customHeight="1" x14ac:dyDescent="0.3">
      <c r="A104" s="205"/>
      <c r="B104" s="58" t="s">
        <v>389</v>
      </c>
      <c r="C104" s="62">
        <v>55.6</v>
      </c>
      <c r="D104" s="62" t="s">
        <v>2</v>
      </c>
      <c r="E104" s="46" t="str">
        <f>Sources!A26</f>
        <v>Buttler2018</v>
      </c>
      <c r="F104" s="58"/>
      <c r="G104" s="118"/>
      <c r="H104" s="118"/>
    </row>
    <row r="105" spans="1:8" ht="14.55" customHeight="1" x14ac:dyDescent="0.3">
      <c r="A105" s="205"/>
      <c r="B105" s="13" t="s">
        <v>390</v>
      </c>
      <c r="C105" s="14">
        <v>50.1</v>
      </c>
      <c r="D105" s="14" t="s">
        <v>2</v>
      </c>
      <c r="E105" s="46" t="str">
        <f>Sources!A27</f>
        <v>Schmidt2017</v>
      </c>
      <c r="G105" s="5" t="str">
        <f>Sources!A28</f>
        <v>Bertuccioli2014</v>
      </c>
      <c r="H105" s="16"/>
    </row>
    <row r="106" spans="1:8" x14ac:dyDescent="0.3">
      <c r="A106" s="205"/>
      <c r="B106" s="13" t="s">
        <v>391</v>
      </c>
      <c r="C106" s="14">
        <v>65.599999999999994</v>
      </c>
      <c r="D106" s="14" t="s">
        <v>2</v>
      </c>
      <c r="E106" s="46" t="str">
        <f>Sources!A26</f>
        <v>Buttler2018</v>
      </c>
      <c r="G106" s="16"/>
      <c r="H106"/>
    </row>
    <row r="107" spans="1:8" x14ac:dyDescent="0.3">
      <c r="A107" s="205"/>
      <c r="B107" s="13" t="s">
        <v>392</v>
      </c>
      <c r="C107" s="14">
        <v>73.400000000000006</v>
      </c>
      <c r="D107" s="14" t="s">
        <v>2</v>
      </c>
      <c r="E107" s="46" t="str">
        <f>Sources!A27</f>
        <v>Schmidt2017</v>
      </c>
      <c r="G107" s="64" t="str">
        <f>Sources!A28</f>
        <v>Bertuccioli2014</v>
      </c>
      <c r="H107" s="16"/>
    </row>
    <row r="108" spans="1:8" x14ac:dyDescent="0.3">
      <c r="A108" s="205"/>
      <c r="B108" s="13" t="s">
        <v>358</v>
      </c>
      <c r="C108" s="14">
        <v>53.4</v>
      </c>
      <c r="D108" s="14" t="s">
        <v>2</v>
      </c>
      <c r="E108" s="46" t="str">
        <f>Sources!A39</f>
        <v>Nayak-Luke2018</v>
      </c>
      <c r="G108" s="5" t="str">
        <f>Sources!A40</f>
        <v>NREL2004</v>
      </c>
      <c r="H108" s="16" t="s">
        <v>362</v>
      </c>
    </row>
    <row r="109" spans="1:8" x14ac:dyDescent="0.3">
      <c r="A109" s="205"/>
      <c r="B109" s="13" t="s">
        <v>1668</v>
      </c>
      <c r="C109" s="14">
        <v>51.1</v>
      </c>
      <c r="D109" s="14" t="s">
        <v>2</v>
      </c>
      <c r="E109" s="46" t="s">
        <v>1013</v>
      </c>
      <c r="G109" s="5"/>
      <c r="H109" s="16"/>
    </row>
    <row r="110" spans="1:8" s="45" customFormat="1" x14ac:dyDescent="0.3">
      <c r="A110" s="205"/>
      <c r="B110" s="43" t="s">
        <v>840</v>
      </c>
      <c r="C110" s="44">
        <v>53.3</v>
      </c>
      <c r="D110" s="44" t="s">
        <v>2</v>
      </c>
      <c r="E110" s="122" t="str">
        <f>Sources!A50</f>
        <v>IEA2019</v>
      </c>
      <c r="F110" s="43"/>
      <c r="G110" s="53"/>
      <c r="H110" s="116"/>
    </row>
    <row r="111" spans="1:8" s="60" customFormat="1" x14ac:dyDescent="0.3">
      <c r="A111" s="205"/>
      <c r="B111" s="58" t="s">
        <v>966</v>
      </c>
      <c r="C111" s="62">
        <v>50.5</v>
      </c>
      <c r="D111" s="62" t="s">
        <v>2</v>
      </c>
      <c r="E111" s="46" t="s">
        <v>967</v>
      </c>
      <c r="F111" s="58"/>
      <c r="G111" s="61"/>
      <c r="H111" s="118"/>
    </row>
    <row r="112" spans="1:8" s="45" customFormat="1" x14ac:dyDescent="0.3">
      <c r="A112" s="205"/>
      <c r="B112" s="43" t="s">
        <v>841</v>
      </c>
      <c r="C112" s="44">
        <v>48</v>
      </c>
      <c r="D112" s="44" t="s">
        <v>2</v>
      </c>
      <c r="E112" s="122" t="str">
        <f>Sources!A50</f>
        <v>IEA2019</v>
      </c>
      <c r="F112" s="43"/>
      <c r="G112" s="53"/>
      <c r="H112" s="116"/>
    </row>
    <row r="113" spans="1:8" x14ac:dyDescent="0.3">
      <c r="A113" s="205"/>
      <c r="B113" s="13" t="s">
        <v>581</v>
      </c>
      <c r="C113" s="14">
        <v>51.7</v>
      </c>
      <c r="D113" s="14" t="s">
        <v>2</v>
      </c>
      <c r="E113" s="46" t="str">
        <f>Sources!A50</f>
        <v>IEA2019</v>
      </c>
      <c r="G113" s="5"/>
      <c r="H113" s="16"/>
    </row>
    <row r="114" spans="1:8" x14ac:dyDescent="0.3">
      <c r="A114" s="205"/>
      <c r="B114" s="13" t="s">
        <v>582</v>
      </c>
      <c r="C114" s="14">
        <v>47.3</v>
      </c>
      <c r="D114" s="14" t="s">
        <v>2</v>
      </c>
      <c r="E114" s="46" t="str">
        <f>Sources!A50</f>
        <v>IEA2019</v>
      </c>
      <c r="G114" s="5"/>
      <c r="H114" s="16"/>
    </row>
    <row r="115" spans="1:8" x14ac:dyDescent="0.3">
      <c r="A115" s="205"/>
      <c r="B115" s="13" t="s">
        <v>1253</v>
      </c>
      <c r="C115" s="14">
        <v>45</v>
      </c>
      <c r="D115" s="14" t="s">
        <v>2</v>
      </c>
      <c r="E115" s="46" t="str">
        <f>Sources!A100</f>
        <v>IRENA2020</v>
      </c>
      <c r="G115" s="5"/>
      <c r="H115" s="16"/>
    </row>
    <row r="116" spans="1:8" x14ac:dyDescent="0.3">
      <c r="A116" s="205"/>
      <c r="B116" s="13" t="s">
        <v>583</v>
      </c>
      <c r="C116" s="14">
        <v>48</v>
      </c>
      <c r="D116" s="14" t="s">
        <v>2</v>
      </c>
      <c r="E116" s="46" t="str">
        <f>Sources!A50</f>
        <v>IEA2019</v>
      </c>
      <c r="G116" s="5"/>
      <c r="H116" s="16"/>
    </row>
    <row r="117" spans="1:8" x14ac:dyDescent="0.3">
      <c r="A117" s="205"/>
      <c r="B117" s="13" t="s">
        <v>584</v>
      </c>
      <c r="C117" s="14">
        <v>42</v>
      </c>
      <c r="D117" s="14" t="s">
        <v>2</v>
      </c>
      <c r="E117" s="46" t="str">
        <f>Sources!A50</f>
        <v>IEA2019</v>
      </c>
      <c r="G117" s="5"/>
      <c r="H117" s="16"/>
    </row>
    <row r="118" spans="1:8" x14ac:dyDescent="0.3">
      <c r="A118" s="205"/>
      <c r="B118" s="13" t="s">
        <v>2087</v>
      </c>
      <c r="C118" s="14">
        <v>51</v>
      </c>
      <c r="D118" s="14" t="s">
        <v>2</v>
      </c>
      <c r="E118" s="14" t="str">
        <f>Sources!A136</f>
        <v>NordicEnergyResearch2020</v>
      </c>
      <c r="F118" s="13" t="str">
        <f>Sources!A65</f>
        <v>Brynolf2018</v>
      </c>
      <c r="G118" s="5"/>
      <c r="H118" s="16"/>
    </row>
    <row r="119" spans="1:8" x14ac:dyDescent="0.3">
      <c r="A119" s="205"/>
      <c r="B119" s="13" t="s">
        <v>2088</v>
      </c>
      <c r="C119" s="14">
        <v>48</v>
      </c>
      <c r="D119" s="14" t="s">
        <v>2</v>
      </c>
      <c r="E119" s="46" t="str">
        <f>Sources!A136</f>
        <v>NordicEnergyResearch2020</v>
      </c>
      <c r="F119" s="13" t="str">
        <f>Sources!A65</f>
        <v>Brynolf2018</v>
      </c>
      <c r="G119" s="5"/>
      <c r="H119" s="16"/>
    </row>
    <row r="120" spans="1:8" x14ac:dyDescent="0.3">
      <c r="A120" s="205"/>
      <c r="B120" s="13" t="s">
        <v>2089</v>
      </c>
      <c r="C120" s="14">
        <v>44</v>
      </c>
      <c r="D120" s="14" t="s">
        <v>2</v>
      </c>
      <c r="E120" s="14" t="str">
        <f>Sources!A136</f>
        <v>NordicEnergyResearch2020</v>
      </c>
      <c r="F120" s="13" t="str">
        <f>Sources!A65</f>
        <v>Brynolf2018</v>
      </c>
      <c r="G120" s="5"/>
      <c r="H120" s="16"/>
    </row>
    <row r="121" spans="1:8" x14ac:dyDescent="0.3">
      <c r="C121" s="14"/>
      <c r="D121" s="14"/>
      <c r="E121" s="54"/>
      <c r="G121" s="21"/>
    </row>
    <row r="122" spans="1:8" s="60" customFormat="1" x14ac:dyDescent="0.3">
      <c r="A122" s="205" t="s">
        <v>313</v>
      </c>
      <c r="B122" s="58" t="s">
        <v>314</v>
      </c>
      <c r="C122" s="62">
        <v>5.2999999999999999E-2</v>
      </c>
      <c r="D122" s="62" t="s">
        <v>206</v>
      </c>
      <c r="E122" s="46" t="str">
        <f>Sources!A36</f>
        <v>H-TEC Series2020</v>
      </c>
      <c r="F122" s="58"/>
      <c r="G122" s="140"/>
      <c r="H122" s="118"/>
    </row>
    <row r="123" spans="1:8" x14ac:dyDescent="0.3">
      <c r="A123" s="205"/>
      <c r="B123" s="13" t="s">
        <v>315</v>
      </c>
      <c r="C123" s="14">
        <v>4.4999999999999998E-2</v>
      </c>
      <c r="D123" s="14" t="s">
        <v>206</v>
      </c>
      <c r="E123" s="46" t="str">
        <f>Sources!A37</f>
        <v>Hydrogenics2020</v>
      </c>
      <c r="G123" s="21"/>
      <c r="H123" s="16"/>
    </row>
    <row r="124" spans="1:8" x14ac:dyDescent="0.3">
      <c r="A124" s="205"/>
      <c r="B124" s="13" t="s">
        <v>316</v>
      </c>
      <c r="C124" s="14">
        <v>0.06</v>
      </c>
      <c r="D124" s="14" t="s">
        <v>206</v>
      </c>
      <c r="E124" s="46" t="str">
        <f>Sources!A37</f>
        <v>Hydrogenics2020</v>
      </c>
      <c r="G124" s="21"/>
      <c r="H124" s="16"/>
    </row>
    <row r="125" spans="1:8" s="45" customFormat="1" x14ac:dyDescent="0.3">
      <c r="A125" s="205"/>
      <c r="B125" s="43" t="s">
        <v>408</v>
      </c>
      <c r="C125" s="45">
        <v>6.7000000000000004E-2</v>
      </c>
      <c r="D125" s="44" t="s">
        <v>206</v>
      </c>
      <c r="E125" s="44" t="str">
        <f>Sources!A45</f>
        <v>Belotti2017</v>
      </c>
      <c r="F125" s="43"/>
      <c r="G125" s="125"/>
      <c r="H125" s="116"/>
    </row>
    <row r="126" spans="1:8" x14ac:dyDescent="0.3">
      <c r="A126" s="205"/>
      <c r="B126" s="13" t="s">
        <v>576</v>
      </c>
      <c r="C126" s="14">
        <v>0.111</v>
      </c>
      <c r="D126" s="14" t="s">
        <v>206</v>
      </c>
      <c r="E126" s="14" t="str">
        <f>Sources!A50</f>
        <v>IEA2019</v>
      </c>
      <c r="G126" s="21"/>
      <c r="H126" s="16"/>
    </row>
    <row r="127" spans="1:8" x14ac:dyDescent="0.3">
      <c r="A127" s="205"/>
      <c r="B127" s="13" t="s">
        <v>418</v>
      </c>
      <c r="E127" s="14" t="str">
        <f>Sources!A41</f>
        <v>Banares-Alcantara2015</v>
      </c>
      <c r="G127" s="21"/>
      <c r="H127" s="16"/>
    </row>
    <row r="128" spans="1:8" x14ac:dyDescent="0.3">
      <c r="A128" s="9"/>
      <c r="C128" s="14"/>
      <c r="D128" s="14"/>
      <c r="E128" s="46"/>
      <c r="G128" s="21"/>
      <c r="H128" s="16"/>
    </row>
    <row r="129" spans="1:8" s="45" customFormat="1" x14ac:dyDescent="0.3">
      <c r="A129" s="205" t="s">
        <v>209</v>
      </c>
      <c r="B129" s="43" t="s">
        <v>323</v>
      </c>
      <c r="C129" s="44">
        <v>7.76</v>
      </c>
      <c r="D129" s="44" t="s">
        <v>322</v>
      </c>
      <c r="E129" s="122" t="s">
        <v>324</v>
      </c>
      <c r="F129" s="43"/>
      <c r="G129" s="125"/>
      <c r="H129" s="116"/>
    </row>
    <row r="130" spans="1:8" x14ac:dyDescent="0.3">
      <c r="A130" s="205"/>
      <c r="B130" s="13" t="s">
        <v>386</v>
      </c>
      <c r="C130" s="14">
        <v>8</v>
      </c>
      <c r="D130" s="14" t="s">
        <v>322</v>
      </c>
      <c r="E130" s="46" t="str">
        <f>Sources!A45</f>
        <v>Belotti2017</v>
      </c>
      <c r="G130" s="21"/>
      <c r="H130" s="16"/>
    </row>
    <row r="131" spans="1:8" x14ac:dyDescent="0.3">
      <c r="E131" s="54"/>
      <c r="G131" s="21"/>
      <c r="H131" s="16"/>
    </row>
    <row r="132" spans="1:8" x14ac:dyDescent="0.3">
      <c r="A132" s="203" t="s">
        <v>186</v>
      </c>
      <c r="B132" s="13" t="s">
        <v>190</v>
      </c>
      <c r="C132">
        <v>10</v>
      </c>
      <c r="D132" s="5" t="s">
        <v>189</v>
      </c>
      <c r="E132" s="46" t="str">
        <f>Sources!A26</f>
        <v>Buttler2018</v>
      </c>
      <c r="G132" s="16"/>
    </row>
    <row r="133" spans="1:8" x14ac:dyDescent="0.3">
      <c r="A133" s="203"/>
      <c r="B133" s="13" t="s">
        <v>191</v>
      </c>
      <c r="C133">
        <v>30</v>
      </c>
      <c r="D133" s="5" t="s">
        <v>189</v>
      </c>
      <c r="E133" s="46" t="str">
        <f>Sources!A26</f>
        <v>Buttler2018</v>
      </c>
      <c r="G133" s="16"/>
    </row>
    <row r="134" spans="1:8" x14ac:dyDescent="0.3">
      <c r="E134" s="54"/>
    </row>
    <row r="135" spans="1:8" x14ac:dyDescent="0.3">
      <c r="A135" s="203" t="s">
        <v>1779</v>
      </c>
      <c r="B135" s="13">
        <v>2020</v>
      </c>
      <c r="C135">
        <v>800</v>
      </c>
      <c r="D135" s="14" t="s">
        <v>192</v>
      </c>
      <c r="E135" s="46" t="str">
        <f>Sources!A62</f>
        <v>Andika2018</v>
      </c>
    </row>
    <row r="136" spans="1:8" s="60" customFormat="1" x14ac:dyDescent="0.3">
      <c r="A136" s="203"/>
      <c r="B136" s="58" t="s">
        <v>1248</v>
      </c>
      <c r="C136" s="60">
        <f>830*(CEPCI_ref/CEPCI2019)</f>
        <v>830</v>
      </c>
      <c r="D136" s="62" t="s">
        <v>192</v>
      </c>
      <c r="E136" s="46" t="str">
        <f>Sources!A105</f>
        <v>DTU 2021</v>
      </c>
      <c r="F136" s="58"/>
      <c r="G136" s="58"/>
      <c r="H136" s="58"/>
    </row>
    <row r="137" spans="1:8" s="60" customFormat="1" x14ac:dyDescent="0.3">
      <c r="A137" s="203"/>
      <c r="B137" s="58" t="s">
        <v>1640</v>
      </c>
      <c r="C137" s="60">
        <v>670</v>
      </c>
      <c r="D137" s="62" t="s">
        <v>192</v>
      </c>
      <c r="E137" s="46" t="str">
        <f>Sources!A105</f>
        <v>DTU 2021</v>
      </c>
      <c r="F137" s="58"/>
      <c r="G137" s="58"/>
      <c r="H137" s="58"/>
    </row>
    <row r="138" spans="1:8" s="60" customFormat="1" x14ac:dyDescent="0.3">
      <c r="A138" s="203"/>
      <c r="B138" s="58" t="s">
        <v>1641</v>
      </c>
      <c r="C138" s="60">
        <v>300</v>
      </c>
      <c r="D138" s="62" t="s">
        <v>192</v>
      </c>
      <c r="E138" s="46" t="str">
        <f>Sources!A105</f>
        <v>DTU 2021</v>
      </c>
      <c r="F138" s="58"/>
      <c r="G138" s="58"/>
      <c r="H138" s="58"/>
    </row>
    <row r="139" spans="1:8" s="60" customFormat="1" x14ac:dyDescent="0.3">
      <c r="A139" s="203"/>
      <c r="B139" s="13" t="s">
        <v>1793</v>
      </c>
      <c r="C139">
        <f>C136+0.48*C136/(1+0.08)^10+0.46*C136/(1+0.08)^20</f>
        <v>1096.4507912398069</v>
      </c>
      <c r="D139" s="14" t="s">
        <v>192</v>
      </c>
      <c r="E139" s="46" t="str">
        <f>Sources!A105</f>
        <v>DTU 2021</v>
      </c>
      <c r="F139" s="58"/>
      <c r="G139" s="58"/>
      <c r="H139" s="58"/>
    </row>
    <row r="140" spans="1:8" s="60" customFormat="1" x14ac:dyDescent="0.3">
      <c r="A140" s="203"/>
      <c r="B140" s="58" t="s">
        <v>1794</v>
      </c>
      <c r="C140" s="60">
        <f>C137+0.46*C137/(1+0.08)^10+0.44*C137/(1+0.08)^20</f>
        <v>876.00504457041552</v>
      </c>
      <c r="D140" s="14" t="s">
        <v>192</v>
      </c>
      <c r="E140" s="46" t="str">
        <f>Sources!A105</f>
        <v>DTU 2021</v>
      </c>
      <c r="F140" s="58"/>
      <c r="G140" s="58"/>
      <c r="H140" s="58"/>
    </row>
    <row r="141" spans="1:8" s="60" customFormat="1" x14ac:dyDescent="0.3">
      <c r="A141" s="203"/>
      <c r="B141" s="58" t="s">
        <v>1795</v>
      </c>
      <c r="C141" s="60">
        <f>C138+0.44*C138/(1+0.08)^10+0.44*C138/(1+0.08)^20</f>
        <v>389.46190380451378</v>
      </c>
      <c r="D141" s="14" t="s">
        <v>192</v>
      </c>
      <c r="E141" s="46" t="str">
        <f>Sources!A105</f>
        <v>DTU 2021</v>
      </c>
      <c r="F141" s="58"/>
      <c r="G141" s="58"/>
      <c r="H141" s="58"/>
    </row>
    <row r="142" spans="1:8" s="60" customFormat="1" x14ac:dyDescent="0.3">
      <c r="A142" s="203"/>
      <c r="B142" s="58" t="s">
        <v>1225</v>
      </c>
      <c r="C142" s="60">
        <f>500*DE2019_*(CEPCI_ref/CEPCI2019)</f>
        <v>446.46843468166804</v>
      </c>
      <c r="D142" s="62" t="s">
        <v>192</v>
      </c>
      <c r="E142" s="46" t="str">
        <f>Sources!A100</f>
        <v>IRENA2020</v>
      </c>
      <c r="F142" s="58"/>
      <c r="G142" s="58"/>
      <c r="H142" s="58"/>
    </row>
    <row r="143" spans="1:8" x14ac:dyDescent="0.3">
      <c r="A143" s="203"/>
      <c r="B143" s="13" t="s">
        <v>1226</v>
      </c>
      <c r="C143">
        <f>1000*DE2019_</f>
        <v>892.93686936333609</v>
      </c>
      <c r="D143" s="14" t="s">
        <v>192</v>
      </c>
      <c r="E143" s="46" t="str">
        <f>Sources!A100</f>
        <v>IRENA2020</v>
      </c>
    </row>
    <row r="144" spans="1:8" x14ac:dyDescent="0.3">
      <c r="A144" s="203"/>
      <c r="B144" s="13" t="s">
        <v>1127</v>
      </c>
      <c r="C144">
        <f>200*DE2019_</f>
        <v>178.5873738726672</v>
      </c>
      <c r="D144" s="14" t="s">
        <v>192</v>
      </c>
      <c r="E144" s="46" t="str">
        <f>Sources!A86</f>
        <v>IRENA2019</v>
      </c>
    </row>
    <row r="145" spans="1:8" s="60" customFormat="1" x14ac:dyDescent="0.3">
      <c r="A145" s="203"/>
      <c r="B145" s="58" t="s">
        <v>1128</v>
      </c>
      <c r="C145" s="60">
        <f>840*DE2019_</f>
        <v>750.06697026520226</v>
      </c>
      <c r="D145" s="62" t="s">
        <v>192</v>
      </c>
      <c r="E145" s="46" t="str">
        <f>Sources!A86</f>
        <v>IRENA2019</v>
      </c>
      <c r="F145" s="58"/>
      <c r="G145" s="58"/>
      <c r="H145" s="58"/>
    </row>
    <row r="146" spans="1:8" s="127" customFormat="1" x14ac:dyDescent="0.3">
      <c r="A146" s="203"/>
      <c r="B146" s="129" t="s">
        <v>331</v>
      </c>
      <c r="C146" s="127">
        <v>800</v>
      </c>
      <c r="D146" s="62" t="s">
        <v>192</v>
      </c>
      <c r="E146" s="46" t="str">
        <f>Sources!A26</f>
        <v>Buttler2018</v>
      </c>
      <c r="G146" s="128"/>
      <c r="H146" s="128"/>
    </row>
    <row r="147" spans="1:8" s="20" customFormat="1" x14ac:dyDescent="0.3">
      <c r="A147" s="203"/>
      <c r="B147" s="9" t="s">
        <v>222</v>
      </c>
      <c r="C147" s="20">
        <v>1000</v>
      </c>
      <c r="D147" s="14" t="s">
        <v>192</v>
      </c>
      <c r="E147" s="46" t="str">
        <f>Sources!A27</f>
        <v>Schmidt2017</v>
      </c>
      <c r="G147" s="14" t="str">
        <f>Sources!A28</f>
        <v>Bertuccioli2014</v>
      </c>
      <c r="H147" s="12"/>
    </row>
    <row r="148" spans="1:8" s="127" customFormat="1" x14ac:dyDescent="0.3">
      <c r="A148" s="203"/>
      <c r="B148" s="129" t="s">
        <v>1397</v>
      </c>
      <c r="C148" s="127">
        <f>500*DE2019_*(CEPCI_ref/CEPCI2019)</f>
        <v>446.46843468166804</v>
      </c>
      <c r="D148" s="62" t="s">
        <v>192</v>
      </c>
      <c r="E148" s="46" t="str">
        <f>Sources!A50</f>
        <v>IEA2019</v>
      </c>
      <c r="G148" s="62"/>
      <c r="H148" s="128"/>
    </row>
    <row r="149" spans="1:8" s="20" customFormat="1" x14ac:dyDescent="0.3">
      <c r="A149" s="203"/>
      <c r="B149" s="9" t="s">
        <v>223</v>
      </c>
      <c r="C149" s="20">
        <v>1500</v>
      </c>
      <c r="D149" s="14" t="s">
        <v>192</v>
      </c>
      <c r="E149" s="46" t="str">
        <f>Sources!A26</f>
        <v>Buttler2018</v>
      </c>
      <c r="G149" s="12"/>
      <c r="H149" s="12"/>
    </row>
    <row r="150" spans="1:8" s="20" customFormat="1" x14ac:dyDescent="0.3">
      <c r="A150" s="203"/>
      <c r="B150" s="9" t="s">
        <v>224</v>
      </c>
      <c r="C150" s="20">
        <v>1200</v>
      </c>
      <c r="D150" s="14" t="s">
        <v>192</v>
      </c>
      <c r="E150" s="46" t="str">
        <f>Sources!A27</f>
        <v>Schmidt2017</v>
      </c>
      <c r="G150" s="20" t="str">
        <f>Sources!A28</f>
        <v>Bertuccioli2014</v>
      </c>
      <c r="H150" s="12"/>
    </row>
    <row r="151" spans="1:8" s="127" customFormat="1" x14ac:dyDescent="0.3">
      <c r="A151" s="203"/>
      <c r="B151" s="59" t="s">
        <v>1398</v>
      </c>
      <c r="C151" s="127">
        <f>1400*DE2019_*(CEPCI_ref/CEPCI2019)</f>
        <v>1250.1116171086705</v>
      </c>
      <c r="D151" s="62" t="s">
        <v>192</v>
      </c>
      <c r="E151" s="127" t="str">
        <f>Sources!A50</f>
        <v>IEA2019</v>
      </c>
      <c r="H151" s="128"/>
    </row>
    <row r="152" spans="1:8" s="20" customFormat="1" x14ac:dyDescent="0.3">
      <c r="A152" s="203"/>
      <c r="B152" s="8" t="s">
        <v>1399</v>
      </c>
      <c r="C152" s="20">
        <f>400*DE2019_*(CEPCI_ref/CEPCI2019)</f>
        <v>357.1747477453344</v>
      </c>
      <c r="D152" s="14" t="s">
        <v>192</v>
      </c>
      <c r="E152" s="20" t="str">
        <f>Sources!A50</f>
        <v>IEA2019</v>
      </c>
      <c r="H152" s="12"/>
    </row>
    <row r="153" spans="1:8" s="20" customFormat="1" x14ac:dyDescent="0.3">
      <c r="A153" s="203"/>
      <c r="B153" s="8" t="s">
        <v>1400</v>
      </c>
      <c r="C153" s="20">
        <f>850*DE2019_*(CEPCI_ref/CEPCI2019)</f>
        <v>758.99633895883562</v>
      </c>
      <c r="D153" s="14" t="s">
        <v>192</v>
      </c>
      <c r="E153" s="20" t="str">
        <f>Sources!A50</f>
        <v>IEA2019</v>
      </c>
      <c r="H153" s="12"/>
    </row>
    <row r="154" spans="1:8" s="20" customFormat="1" x14ac:dyDescent="0.3">
      <c r="A154" s="203"/>
      <c r="B154" s="8" t="s">
        <v>1401</v>
      </c>
      <c r="C154" s="20">
        <f>200*DE2019_*(CEPCI_ref/CEPCI2019)</f>
        <v>178.5873738726672</v>
      </c>
      <c r="D154" s="14" t="s">
        <v>192</v>
      </c>
      <c r="E154" s="20" t="str">
        <f>Sources!A50</f>
        <v>IEA2019</v>
      </c>
      <c r="H154" s="12"/>
    </row>
    <row r="155" spans="1:8" s="20" customFormat="1" x14ac:dyDescent="0.3">
      <c r="A155" s="203"/>
      <c r="B155" s="8" t="s">
        <v>1402</v>
      </c>
      <c r="C155" s="20">
        <f>700*DE2019_*(CEPCI_ref/CEPCI2019)</f>
        <v>625.05580855433527</v>
      </c>
      <c r="D155" s="14" t="s">
        <v>192</v>
      </c>
      <c r="E155" s="20" t="str">
        <f>Sources!A50</f>
        <v>IEA2019</v>
      </c>
      <c r="H155" s="12"/>
    </row>
    <row r="156" spans="1:8" s="127" customFormat="1" x14ac:dyDescent="0.3">
      <c r="A156" s="203"/>
      <c r="B156" s="59" t="s">
        <v>1403</v>
      </c>
      <c r="C156" s="127">
        <f>400*(CEPCI_ref/CEPCI2015)</f>
        <v>436.42241379310349</v>
      </c>
      <c r="D156" s="62" t="s">
        <v>192</v>
      </c>
      <c r="E156" s="127" t="str">
        <f>Sources!A63</f>
        <v>DEA2020</v>
      </c>
      <c r="H156" s="128"/>
    </row>
    <row r="157" spans="1:8" s="127" customFormat="1" x14ac:dyDescent="0.3">
      <c r="A157" s="203"/>
      <c r="B157" s="59" t="s">
        <v>1404</v>
      </c>
      <c r="C157" s="127">
        <f>600*(CEPCI_ref/CEPCI2015)</f>
        <v>654.63362068965523</v>
      </c>
      <c r="D157" s="62" t="s">
        <v>192</v>
      </c>
      <c r="E157" s="127" t="str">
        <f>Sources!A63</f>
        <v>DEA2020</v>
      </c>
      <c r="H157" s="128"/>
    </row>
    <row r="158" spans="1:8" s="127" customFormat="1" x14ac:dyDescent="0.3">
      <c r="A158" s="203"/>
      <c r="B158" s="59" t="s">
        <v>1405</v>
      </c>
      <c r="C158" s="127">
        <f>800*(CEPCI_ref/CEPCI2015)</f>
        <v>872.84482758620697</v>
      </c>
      <c r="D158" s="62" t="s">
        <v>192</v>
      </c>
      <c r="E158" s="127" t="str">
        <f>Sources!A63</f>
        <v>DEA2020</v>
      </c>
      <c r="H158" s="128"/>
    </row>
    <row r="159" spans="1:8" s="20" customFormat="1" x14ac:dyDescent="0.3">
      <c r="A159" s="203"/>
      <c r="B159" s="8" t="s">
        <v>1406</v>
      </c>
      <c r="C159" s="20">
        <f>550*(CEPCI_ref/CEPCI2015)</f>
        <v>600.08081896551732</v>
      </c>
      <c r="D159" s="14" t="s">
        <v>192</v>
      </c>
      <c r="E159" s="20" t="str">
        <f>Sources!A63</f>
        <v>DEA2020</v>
      </c>
      <c r="H159" s="12"/>
    </row>
    <row r="160" spans="1:8" s="20" customFormat="1" x14ac:dyDescent="0.3">
      <c r="A160" s="203"/>
      <c r="B160" s="8" t="s">
        <v>1499</v>
      </c>
      <c r="C160" s="20">
        <f>200*DE2019_</f>
        <v>178.5873738726672</v>
      </c>
      <c r="D160" s="14" t="s">
        <v>192</v>
      </c>
      <c r="E160" s="20" t="str">
        <f>Sources!A100</f>
        <v>IRENA2020</v>
      </c>
      <c r="H160" s="12"/>
    </row>
    <row r="161" spans="1:8" s="20" customFormat="1" x14ac:dyDescent="0.3">
      <c r="A161" s="203"/>
      <c r="B161" s="8" t="s">
        <v>1407</v>
      </c>
      <c r="C161" s="20">
        <f>350*(CEPCI_ref/CEPCI2015)</f>
        <v>381.86961206896552</v>
      </c>
      <c r="D161" s="14" t="s">
        <v>192</v>
      </c>
      <c r="E161" s="20" t="str">
        <f>Sources!A63</f>
        <v>DEA2020</v>
      </c>
      <c r="H161" s="12"/>
    </row>
    <row r="162" spans="1:8" s="20" customFormat="1" x14ac:dyDescent="0.3">
      <c r="A162" s="203"/>
      <c r="B162" s="8" t="s">
        <v>1408</v>
      </c>
      <c r="C162" s="20">
        <f>500*(CEPCI_ref/CEPCI2015)</f>
        <v>545.5280172413793</v>
      </c>
      <c r="D162" s="14" t="s">
        <v>192</v>
      </c>
      <c r="E162" s="20" t="str">
        <f>Sources!A63</f>
        <v>DEA2020</v>
      </c>
      <c r="H162" s="12"/>
    </row>
    <row r="163" spans="1:8" s="20" customFormat="1" x14ac:dyDescent="0.3">
      <c r="A163" s="203"/>
      <c r="B163" s="8" t="s">
        <v>1409</v>
      </c>
      <c r="C163" s="20">
        <f>700*(CEPCI_ref/CEPCI2015)</f>
        <v>763.73922413793105</v>
      </c>
      <c r="D163" s="14" t="s">
        <v>192</v>
      </c>
      <c r="E163" s="20" t="str">
        <f>Sources!A63</f>
        <v>DEA2020</v>
      </c>
      <c r="H163" s="12"/>
    </row>
    <row r="164" spans="1:8" s="20" customFormat="1" x14ac:dyDescent="0.3">
      <c r="A164" s="203"/>
      <c r="B164" s="8" t="s">
        <v>1410</v>
      </c>
      <c r="C164" s="20">
        <f>504*(CEPCI_ref/CEPCI2015)</f>
        <v>549.89224137931035</v>
      </c>
      <c r="D164" s="14" t="s">
        <v>192</v>
      </c>
      <c r="E164" s="20" t="str">
        <f>Sources!A63</f>
        <v>DEA2020</v>
      </c>
      <c r="H164" s="12"/>
    </row>
    <row r="165" spans="1:8" s="20" customFormat="1" x14ac:dyDescent="0.3">
      <c r="A165" s="203"/>
      <c r="B165" s="8" t="s">
        <v>1411</v>
      </c>
      <c r="C165" s="20">
        <f>756*(CEPCI_ref/CEPCI2015)</f>
        <v>824.83836206896558</v>
      </c>
      <c r="D165" s="14" t="s">
        <v>192</v>
      </c>
      <c r="E165" s="20" t="str">
        <f>Sources!A63</f>
        <v>DEA2020</v>
      </c>
      <c r="H165" s="12"/>
    </row>
    <row r="166" spans="1:8" s="20" customFormat="1" x14ac:dyDescent="0.3">
      <c r="A166" s="203"/>
      <c r="B166" s="8" t="s">
        <v>1412</v>
      </c>
      <c r="C166" s="20">
        <f>1008*(CEPCI_ref/CEPCI2015)</f>
        <v>1099.7844827586207</v>
      </c>
      <c r="D166" s="14" t="s">
        <v>192</v>
      </c>
      <c r="E166" s="20" t="str">
        <f>Sources!A63</f>
        <v>DEA2020</v>
      </c>
      <c r="H166" s="12"/>
    </row>
    <row r="167" spans="1:8" s="20" customFormat="1" x14ac:dyDescent="0.3">
      <c r="A167" s="203"/>
      <c r="B167" s="8" t="s">
        <v>1413</v>
      </c>
      <c r="C167" s="20">
        <f>803*(CEPCI_ref/CEPCI2015)</f>
        <v>876.11799568965523</v>
      </c>
      <c r="D167" s="14" t="s">
        <v>192</v>
      </c>
      <c r="E167" s="20" t="str">
        <f>Sources!A63</f>
        <v>DEA2020</v>
      </c>
      <c r="H167" s="12"/>
    </row>
    <row r="168" spans="1:8" s="20" customFormat="1" x14ac:dyDescent="0.3">
      <c r="A168" s="203"/>
      <c r="B168" s="8" t="s">
        <v>1414</v>
      </c>
      <c r="C168" s="20">
        <f>539*(CEPCI_ref/CEPCI2015)</f>
        <v>588.07920258620697</v>
      </c>
      <c r="D168" s="14" t="s">
        <v>192</v>
      </c>
      <c r="E168" s="20" t="str">
        <f>Sources!A63</f>
        <v>DEA2020</v>
      </c>
      <c r="H168" s="12"/>
    </row>
    <row r="169" spans="1:8" s="20" customFormat="1" x14ac:dyDescent="0.3">
      <c r="A169" s="203"/>
      <c r="B169" s="8" t="s">
        <v>1415</v>
      </c>
      <c r="C169" s="20">
        <f>770*(CEPCI_ref/CEPCI2015)</f>
        <v>840.11314655172418</v>
      </c>
      <c r="D169" s="14" t="s">
        <v>192</v>
      </c>
      <c r="E169" s="20" t="str">
        <f>Sources!A63</f>
        <v>DEA2020</v>
      </c>
      <c r="H169" s="12"/>
    </row>
    <row r="170" spans="1:8" s="20" customFormat="1" x14ac:dyDescent="0.3">
      <c r="A170" s="203"/>
      <c r="B170" s="8" t="s">
        <v>1416</v>
      </c>
      <c r="C170" s="20">
        <f>1078*(CEPCI_ref/CEPCI2015)</f>
        <v>1176.1584051724139</v>
      </c>
      <c r="D170" s="14" t="s">
        <v>192</v>
      </c>
      <c r="E170" s="20" t="str">
        <f>Sources!A63</f>
        <v>DEA2020</v>
      </c>
      <c r="H170" s="12"/>
    </row>
    <row r="171" spans="1:8" s="20" customFormat="1" x14ac:dyDescent="0.3">
      <c r="A171" s="8"/>
      <c r="D171" s="14"/>
      <c r="H171" s="12"/>
    </row>
    <row r="172" spans="1:8" s="45" customFormat="1" x14ac:dyDescent="0.3">
      <c r="A172" s="203" t="s">
        <v>1750</v>
      </c>
      <c r="B172" s="43" t="s">
        <v>193</v>
      </c>
      <c r="C172" s="143">
        <v>0.02</v>
      </c>
      <c r="D172" s="44" t="s">
        <v>195</v>
      </c>
      <c r="E172" s="122" t="str">
        <f>Sources!A26</f>
        <v>Buttler2018</v>
      </c>
      <c r="F172" s="43"/>
      <c r="G172" s="43"/>
      <c r="H172" s="43"/>
    </row>
    <row r="173" spans="1:8" s="45" customFormat="1" x14ac:dyDescent="0.3">
      <c r="A173" s="203"/>
      <c r="B173" s="43" t="s">
        <v>194</v>
      </c>
      <c r="C173" s="143">
        <v>0.03</v>
      </c>
      <c r="D173" s="44" t="s">
        <v>195</v>
      </c>
      <c r="E173" s="122" t="str">
        <f>Sources!A26</f>
        <v>Buttler2018</v>
      </c>
      <c r="F173" s="116"/>
      <c r="G173" s="123"/>
      <c r="H173" s="43"/>
    </row>
    <row r="174" spans="1:8" x14ac:dyDescent="0.3">
      <c r="A174" s="203"/>
      <c r="B174" s="13" t="s">
        <v>238</v>
      </c>
      <c r="C174">
        <v>0.38850000000000001</v>
      </c>
      <c r="D174" s="14" t="s">
        <v>239</v>
      </c>
      <c r="E174" s="46" t="str">
        <f>Sources!A16</f>
        <v>Palys2019</v>
      </c>
      <c r="F174" s="64" t="str">
        <f>Sources!A23</f>
        <v>Allman 2018</v>
      </c>
      <c r="G174" s="13" t="str">
        <f>Sources!A29</f>
        <v>Ainscough2014</v>
      </c>
      <c r="H174" s="16" t="s">
        <v>237</v>
      </c>
    </row>
    <row r="175" spans="1:8" x14ac:dyDescent="0.3">
      <c r="A175" s="203"/>
      <c r="B175" s="8" t="s">
        <v>1417</v>
      </c>
      <c r="C175">
        <f>20*(CEPCI_ref/CEPCI2015)</f>
        <v>21.821120689655174</v>
      </c>
      <c r="D175" s="14" t="s">
        <v>687</v>
      </c>
      <c r="E175" s="46" t="str">
        <f>Sources!A63</f>
        <v>DEA2020</v>
      </c>
      <c r="F175" s="64"/>
      <c r="H175" s="16"/>
    </row>
    <row r="176" spans="1:8" x14ac:dyDescent="0.3">
      <c r="A176" s="203"/>
      <c r="B176" s="8" t="s">
        <v>1404</v>
      </c>
      <c r="C176">
        <f>30*(CEPCI_ref/CEPCI2015)</f>
        <v>32.731681034482762</v>
      </c>
      <c r="D176" s="14" t="s">
        <v>687</v>
      </c>
      <c r="E176" s="46" t="str">
        <f>Sources!A63</f>
        <v>DEA2020</v>
      </c>
      <c r="F176" s="64"/>
      <c r="H176" s="16"/>
    </row>
    <row r="177" spans="1:8" x14ac:dyDescent="0.3">
      <c r="A177" s="203"/>
      <c r="B177" s="8" t="s">
        <v>1405</v>
      </c>
      <c r="C177">
        <f>40*(CEPCI_ref/CEPCI2015)</f>
        <v>43.642241379310349</v>
      </c>
      <c r="D177" s="14" t="s">
        <v>687</v>
      </c>
      <c r="E177" s="46" t="str">
        <f>Sources!A63</f>
        <v>DEA2020</v>
      </c>
      <c r="F177" s="64"/>
      <c r="H177" s="16"/>
    </row>
    <row r="178" spans="1:8" x14ac:dyDescent="0.3">
      <c r="A178" s="203"/>
      <c r="B178" s="8" t="s">
        <v>1406</v>
      </c>
      <c r="C178">
        <f>27.5*(CEPCI_ref/CEPCI2015)</f>
        <v>30.004040948275865</v>
      </c>
      <c r="D178" s="14" t="s">
        <v>687</v>
      </c>
      <c r="E178" s="46" t="str">
        <f>Sources!A63</f>
        <v>DEA2020</v>
      </c>
      <c r="F178" s="64"/>
      <c r="H178" s="16"/>
    </row>
    <row r="179" spans="1:8" x14ac:dyDescent="0.3">
      <c r="A179" s="203"/>
      <c r="B179" s="8" t="s">
        <v>1407</v>
      </c>
      <c r="C179">
        <f>17.5*(CEPCI_ref/CEPCI2015)</f>
        <v>19.093480603448278</v>
      </c>
      <c r="D179" s="14" t="s">
        <v>687</v>
      </c>
      <c r="E179" s="46" t="str">
        <f>Sources!A63</f>
        <v>DEA2020</v>
      </c>
      <c r="F179" s="64"/>
      <c r="H179" s="16"/>
    </row>
    <row r="180" spans="1:8" x14ac:dyDescent="0.3">
      <c r="A180" s="203"/>
      <c r="B180" s="8" t="s">
        <v>1408</v>
      </c>
      <c r="C180">
        <f>25*(CEPCI_ref/CEPCI2015)</f>
        <v>27.276400862068968</v>
      </c>
      <c r="D180" s="14" t="s">
        <v>687</v>
      </c>
      <c r="E180" s="46" t="str">
        <f>Sources!A63</f>
        <v>DEA2020</v>
      </c>
      <c r="F180" s="64"/>
      <c r="H180" s="16"/>
    </row>
    <row r="181" spans="1:8" x14ac:dyDescent="0.3">
      <c r="A181" s="203"/>
      <c r="B181" s="8" t="s">
        <v>1409</v>
      </c>
      <c r="C181">
        <f>35*(CEPCI_ref/CEPCI2015)</f>
        <v>38.186961206896555</v>
      </c>
      <c r="D181" s="14" t="s">
        <v>687</v>
      </c>
      <c r="E181" s="46" t="str">
        <f>Sources!A63</f>
        <v>DEA2020</v>
      </c>
      <c r="F181" s="64"/>
      <c r="H181" s="16"/>
    </row>
    <row r="182" spans="1:8" x14ac:dyDescent="0.3">
      <c r="A182" s="8"/>
      <c r="D182" s="14"/>
      <c r="E182" s="46"/>
      <c r="F182" s="16"/>
      <c r="G182" s="12"/>
    </row>
    <row r="183" spans="1:8" x14ac:dyDescent="0.3">
      <c r="A183" s="8" t="s">
        <v>1792</v>
      </c>
      <c r="B183" s="13" t="s">
        <v>240</v>
      </c>
      <c r="C183">
        <v>1.9250000000000001E-3</v>
      </c>
      <c r="D183" s="14" t="s">
        <v>134</v>
      </c>
      <c r="E183" s="14" t="str">
        <f>Sources!A29</f>
        <v>Ainscough2014</v>
      </c>
    </row>
    <row r="184" spans="1:8" x14ac:dyDescent="0.3">
      <c r="A184" s="8"/>
      <c r="D184" s="14"/>
      <c r="E184" s="46"/>
      <c r="F184" s="16"/>
      <c r="G184" s="12"/>
    </row>
    <row r="185" spans="1:8" x14ac:dyDescent="0.3">
      <c r="A185" s="203" t="s">
        <v>1520</v>
      </c>
      <c r="B185" s="13" t="s">
        <v>842</v>
      </c>
      <c r="C185">
        <v>55</v>
      </c>
      <c r="D185" s="14" t="s">
        <v>197</v>
      </c>
      <c r="E185" s="46" t="str">
        <f>Sources!A26</f>
        <v>Buttler2018</v>
      </c>
      <c r="F185" s="16"/>
      <c r="G185" s="12"/>
    </row>
    <row r="186" spans="1:8" x14ac:dyDescent="0.3">
      <c r="A186" s="203"/>
      <c r="B186" s="58" t="s">
        <v>1799</v>
      </c>
      <c r="C186" s="60">
        <v>25</v>
      </c>
      <c r="D186" s="61" t="s">
        <v>201</v>
      </c>
      <c r="E186" s="62" t="str">
        <f>Sources!A105</f>
        <v>DTU 2021</v>
      </c>
      <c r="F186" s="16"/>
      <c r="G186" s="12"/>
    </row>
    <row r="187" spans="1:8" x14ac:dyDescent="0.3">
      <c r="A187" s="203"/>
      <c r="B187" s="13" t="s">
        <v>1521</v>
      </c>
      <c r="C187">
        <v>60</v>
      </c>
      <c r="D187" s="14" t="s">
        <v>197</v>
      </c>
      <c r="E187" s="46" t="str">
        <f>Sources!A100</f>
        <v>IRENA2020</v>
      </c>
      <c r="F187" s="16"/>
      <c r="G187" s="14" t="str">
        <f>Sources!A28</f>
        <v>Bertuccioli2014</v>
      </c>
    </row>
    <row r="188" spans="1:8" s="45" customFormat="1" x14ac:dyDescent="0.3">
      <c r="A188" s="203"/>
      <c r="B188" s="13" t="s">
        <v>843</v>
      </c>
      <c r="C188">
        <v>60</v>
      </c>
      <c r="D188" s="14" t="s">
        <v>197</v>
      </c>
      <c r="E188" s="46" t="str">
        <f>Sources!A27</f>
        <v>Schmidt2017</v>
      </c>
      <c r="F188" s="116"/>
      <c r="G188" s="44"/>
      <c r="H188" s="43"/>
    </row>
    <row r="189" spans="1:8" x14ac:dyDescent="0.3">
      <c r="A189" s="203"/>
      <c r="B189" s="43" t="s">
        <v>844</v>
      </c>
      <c r="C189" s="45">
        <v>120</v>
      </c>
      <c r="D189" s="44" t="s">
        <v>197</v>
      </c>
      <c r="E189" s="122" t="str">
        <f>Sources!A26</f>
        <v>Buttler2018</v>
      </c>
      <c r="F189" s="16"/>
      <c r="G189" s="14" t="str">
        <f>Sources!A28</f>
        <v>Bertuccioli2014</v>
      </c>
    </row>
    <row r="190" spans="1:8" x14ac:dyDescent="0.3">
      <c r="A190" s="203"/>
      <c r="B190" s="13" t="s">
        <v>845</v>
      </c>
      <c r="C190">
        <v>90</v>
      </c>
      <c r="D190" s="14" t="s">
        <v>197</v>
      </c>
      <c r="E190" s="46" t="str">
        <f>Sources!A27</f>
        <v>Schmidt2017</v>
      </c>
      <c r="F190" s="16"/>
      <c r="G190" s="14"/>
    </row>
    <row r="191" spans="1:8" x14ac:dyDescent="0.3">
      <c r="A191" s="203"/>
      <c r="B191" s="13" t="s">
        <v>1800</v>
      </c>
      <c r="C191">
        <v>10</v>
      </c>
      <c r="D191" s="14" t="s">
        <v>201</v>
      </c>
      <c r="E191" s="46" t="str">
        <f>Sources!A105</f>
        <v>DTU 2021</v>
      </c>
      <c r="F191" s="16"/>
      <c r="G191" s="14"/>
    </row>
    <row r="192" spans="1:8" x14ac:dyDescent="0.3">
      <c r="A192" s="203"/>
      <c r="B192" s="13" t="s">
        <v>585</v>
      </c>
      <c r="C192">
        <v>90</v>
      </c>
      <c r="D192" s="14" t="s">
        <v>197</v>
      </c>
      <c r="E192" s="46" t="str">
        <f>Sources!A50</f>
        <v>IEA2019</v>
      </c>
      <c r="F192" s="16"/>
      <c r="G192" s="14"/>
    </row>
    <row r="193" spans="1:8" x14ac:dyDescent="0.3">
      <c r="A193" s="203"/>
      <c r="B193" s="13" t="s">
        <v>586</v>
      </c>
      <c r="C193">
        <v>100</v>
      </c>
      <c r="D193" s="14" t="s">
        <v>197</v>
      </c>
      <c r="E193" s="46" t="str">
        <f>Sources!A50</f>
        <v>IEA2019</v>
      </c>
      <c r="F193" s="16"/>
      <c r="G193" s="14"/>
    </row>
    <row r="194" spans="1:8" x14ac:dyDescent="0.3">
      <c r="A194" s="203"/>
      <c r="B194" s="13" t="s">
        <v>1522</v>
      </c>
      <c r="C194">
        <v>100</v>
      </c>
      <c r="D194" s="14" t="s">
        <v>197</v>
      </c>
      <c r="E194" s="46" t="str">
        <f>Sources!A100</f>
        <v>IRENA2020</v>
      </c>
      <c r="F194" s="16"/>
      <c r="G194" s="14"/>
    </row>
    <row r="195" spans="1:8" x14ac:dyDescent="0.3">
      <c r="A195" s="203"/>
      <c r="B195" s="13" t="s">
        <v>594</v>
      </c>
      <c r="C195">
        <v>100</v>
      </c>
      <c r="D195" s="14" t="s">
        <v>197</v>
      </c>
      <c r="E195" s="46" t="str">
        <f>Sources!A50</f>
        <v>IEA2019</v>
      </c>
      <c r="F195" s="16"/>
      <c r="G195" s="14"/>
    </row>
    <row r="196" spans="1:8" x14ac:dyDescent="0.3">
      <c r="A196" s="8"/>
      <c r="B196" s="13" t="s">
        <v>595</v>
      </c>
      <c r="C196">
        <v>150</v>
      </c>
      <c r="D196" s="14" t="s">
        <v>197</v>
      </c>
      <c r="E196" s="46" t="str">
        <f>Sources!A50</f>
        <v>IEA2019</v>
      </c>
      <c r="F196" s="16"/>
      <c r="G196" s="14"/>
    </row>
    <row r="197" spans="1:8" x14ac:dyDescent="0.3">
      <c r="A197" s="203" t="s">
        <v>198</v>
      </c>
      <c r="D197" s="14"/>
      <c r="E197" s="46"/>
      <c r="F197" s="16"/>
      <c r="G197" s="12"/>
    </row>
    <row r="198" spans="1:8" x14ac:dyDescent="0.3">
      <c r="A198" s="203"/>
      <c r="B198" s="13" t="s">
        <v>193</v>
      </c>
      <c r="C198">
        <v>0.25</v>
      </c>
      <c r="D198" s="14" t="s">
        <v>199</v>
      </c>
      <c r="E198" s="46" t="str">
        <f>Sources!A26</f>
        <v>Buttler2018</v>
      </c>
      <c r="F198" s="16"/>
      <c r="G198" s="12"/>
    </row>
    <row r="199" spans="1:8" x14ac:dyDescent="0.3">
      <c r="B199" s="13" t="s">
        <v>194</v>
      </c>
      <c r="C199">
        <v>1.5</v>
      </c>
      <c r="D199" s="14" t="s">
        <v>199</v>
      </c>
      <c r="E199" s="46" t="str">
        <f>Sources!A26</f>
        <v>Buttler2018</v>
      </c>
      <c r="F199" s="16"/>
      <c r="G199" s="19"/>
    </row>
    <row r="200" spans="1:8" x14ac:dyDescent="0.3">
      <c r="D200" s="14"/>
      <c r="E200" s="54"/>
      <c r="F200" s="16"/>
      <c r="G200" s="46"/>
      <c r="H200" s="16"/>
    </row>
    <row r="201" spans="1:8" x14ac:dyDescent="0.3">
      <c r="A201" s="8" t="s">
        <v>805</v>
      </c>
      <c r="C201">
        <v>165</v>
      </c>
      <c r="D201" s="14" t="s">
        <v>579</v>
      </c>
      <c r="E201" s="14" t="str">
        <f>Sources!A50</f>
        <v>IEA2019</v>
      </c>
      <c r="F201" s="16"/>
      <c r="G201" s="46"/>
      <c r="H201" s="16"/>
    </row>
    <row r="202" spans="1:8" x14ac:dyDescent="0.3">
      <c r="A202"/>
      <c r="D202" s="14"/>
      <c r="F202" s="16"/>
      <c r="G202" s="46"/>
      <c r="H202" s="16"/>
    </row>
    <row r="203" spans="1:8" x14ac:dyDescent="0.3">
      <c r="A203" s="203" t="s">
        <v>777</v>
      </c>
      <c r="B203" s="13" t="s">
        <v>2228</v>
      </c>
      <c r="C203">
        <v>9.5000000000000001E-2</v>
      </c>
      <c r="D203" s="14" t="s">
        <v>806</v>
      </c>
      <c r="E203" s="14" t="str">
        <f>Sources!A50</f>
        <v>IEA2019</v>
      </c>
      <c r="F203" s="16"/>
      <c r="G203" s="46"/>
      <c r="H203" s="16"/>
    </row>
    <row r="204" spans="1:8" x14ac:dyDescent="0.3">
      <c r="A204" s="203"/>
      <c r="B204" s="13" t="s">
        <v>2232</v>
      </c>
      <c r="C204">
        <v>10</v>
      </c>
      <c r="D204" s="14" t="s">
        <v>2238</v>
      </c>
      <c r="E204" s="14" t="str">
        <f>Sources!$A$133</f>
        <v>DEA2022</v>
      </c>
      <c r="F204" s="16"/>
      <c r="G204" s="46"/>
      <c r="H204" s="16"/>
    </row>
    <row r="205" spans="1:8" x14ac:dyDescent="0.3">
      <c r="A205" s="203"/>
      <c r="B205" s="13" t="s">
        <v>2233</v>
      </c>
      <c r="C205">
        <v>12.5</v>
      </c>
      <c r="D205" s="14" t="s">
        <v>2238</v>
      </c>
      <c r="E205" s="14" t="str">
        <f>Sources!$A$133</f>
        <v>DEA2022</v>
      </c>
      <c r="F205" s="16"/>
      <c r="G205" s="46"/>
      <c r="H205" s="16"/>
    </row>
    <row r="206" spans="1:8" x14ac:dyDescent="0.3">
      <c r="A206" s="203"/>
      <c r="B206" s="13" t="s">
        <v>2234</v>
      </c>
      <c r="C206">
        <v>15</v>
      </c>
      <c r="D206" s="14" t="s">
        <v>2238</v>
      </c>
      <c r="E206" s="14" t="str">
        <f>Sources!$A$133</f>
        <v>DEA2022</v>
      </c>
      <c r="F206" s="16"/>
      <c r="G206" s="46"/>
      <c r="H206" s="16"/>
    </row>
    <row r="207" spans="1:8" x14ac:dyDescent="0.3">
      <c r="A207" s="203"/>
      <c r="B207" s="13">
        <v>2030</v>
      </c>
      <c r="C207">
        <v>10</v>
      </c>
      <c r="D207" s="14" t="s">
        <v>2238</v>
      </c>
      <c r="E207" s="14" t="str">
        <f>Sources!$A$133</f>
        <v>DEA2022</v>
      </c>
      <c r="F207" s="16"/>
      <c r="G207" s="46"/>
      <c r="H207" s="16"/>
    </row>
    <row r="208" spans="1:8" x14ac:dyDescent="0.3">
      <c r="A208" s="203"/>
      <c r="B208" s="13">
        <v>2040</v>
      </c>
      <c r="C208">
        <v>8</v>
      </c>
      <c r="D208" s="14" t="s">
        <v>2238</v>
      </c>
      <c r="E208" s="14" t="str">
        <f>Sources!$A$133</f>
        <v>DEA2022</v>
      </c>
      <c r="F208" s="16"/>
      <c r="G208" s="46"/>
      <c r="H208" s="16"/>
    </row>
    <row r="209" spans="1:8" x14ac:dyDescent="0.3">
      <c r="A209" s="203"/>
      <c r="B209" s="13" t="s">
        <v>2235</v>
      </c>
      <c r="C209">
        <v>5</v>
      </c>
      <c r="D209" s="14" t="s">
        <v>2238</v>
      </c>
      <c r="E209" s="14" t="str">
        <f>Sources!$A$133</f>
        <v>DEA2022</v>
      </c>
      <c r="F209" s="16"/>
      <c r="G209" s="46"/>
      <c r="H209" s="16"/>
    </row>
    <row r="210" spans="1:8" x14ac:dyDescent="0.3">
      <c r="A210" s="203"/>
      <c r="B210" s="13" t="s">
        <v>2236</v>
      </c>
      <c r="C210">
        <v>7.5</v>
      </c>
      <c r="D210" s="14" t="s">
        <v>2238</v>
      </c>
      <c r="E210" s="14" t="str">
        <f>Sources!$A$133</f>
        <v>DEA2022</v>
      </c>
      <c r="F210" s="16"/>
      <c r="G210" s="46"/>
      <c r="H210" s="16"/>
    </row>
    <row r="211" spans="1:8" x14ac:dyDescent="0.3">
      <c r="A211" s="203"/>
      <c r="B211" s="13" t="s">
        <v>2237</v>
      </c>
      <c r="C211">
        <v>10</v>
      </c>
      <c r="D211" s="14" t="s">
        <v>2238</v>
      </c>
      <c r="E211" s="14" t="str">
        <f>Sources!$A$133</f>
        <v>DEA2022</v>
      </c>
      <c r="F211" s="16"/>
      <c r="G211" s="46"/>
      <c r="H211" s="16"/>
    </row>
    <row r="212" spans="1:8" x14ac:dyDescent="0.3">
      <c r="A212" s="203"/>
      <c r="B212"/>
      <c r="D212" s="14"/>
      <c r="E212" s="14" t="str">
        <f>Sources!A141</f>
        <v/>
      </c>
      <c r="F212" s="16"/>
      <c r="G212" s="46"/>
      <c r="H212" s="16"/>
    </row>
    <row r="213" spans="1:8" x14ac:dyDescent="0.3">
      <c r="A213" s="8"/>
      <c r="D213" s="14"/>
      <c r="F213" s="16"/>
      <c r="G213" s="46"/>
      <c r="H213" s="16"/>
    </row>
    <row r="214" spans="1:8" x14ac:dyDescent="0.3">
      <c r="A214" s="203" t="s">
        <v>605</v>
      </c>
      <c r="D214" s="14"/>
      <c r="F214" s="16"/>
      <c r="G214" s="46"/>
      <c r="H214" s="16"/>
    </row>
    <row r="215" spans="1:8" x14ac:dyDescent="0.3">
      <c r="A215" s="203"/>
      <c r="B215" s="13" t="s">
        <v>1727</v>
      </c>
      <c r="C215" s="166">
        <f>43/1000</f>
        <v>4.2999999999999997E-2</v>
      </c>
      <c r="D215" s="14" t="s">
        <v>1725</v>
      </c>
      <c r="E215" s="14" t="str">
        <f>Sources!A120</f>
        <v>Spath2004</v>
      </c>
      <c r="F215" s="16"/>
      <c r="G215" s="46"/>
      <c r="H215" s="16"/>
    </row>
    <row r="216" spans="1:8" x14ac:dyDescent="0.3">
      <c r="A216" s="203"/>
      <c r="B216" s="16" t="s">
        <v>1687</v>
      </c>
      <c r="C216" s="166">
        <v>2.9383333333333352E-2</v>
      </c>
      <c r="D216" s="14" t="s">
        <v>1725</v>
      </c>
      <c r="E216" s="14" t="s">
        <v>529</v>
      </c>
      <c r="F216" s="16"/>
      <c r="G216" s="46"/>
      <c r="H216" s="16"/>
    </row>
    <row r="217" spans="1:8" x14ac:dyDescent="0.3">
      <c r="A217" s="203"/>
      <c r="B217" s="13">
        <v>2040</v>
      </c>
      <c r="C217" s="166">
        <v>1.5766666666666679E-2</v>
      </c>
      <c r="D217" s="14" t="s">
        <v>1725</v>
      </c>
      <c r="E217" s="14" t="s">
        <v>529</v>
      </c>
      <c r="F217" s="16"/>
      <c r="G217" s="46"/>
      <c r="H217" s="16"/>
    </row>
    <row r="218" spans="1:8" ht="15.6" customHeight="1" x14ac:dyDescent="0.3">
      <c r="A218" s="203"/>
      <c r="B218" s="13">
        <v>2050</v>
      </c>
      <c r="C218" s="126">
        <f>C215*0.05</f>
        <v>2.15E-3</v>
      </c>
      <c r="D218" s="14" t="s">
        <v>1725</v>
      </c>
      <c r="E218" s="14" t="s">
        <v>529</v>
      </c>
    </row>
    <row r="219" spans="1:8" ht="15.6" customHeight="1" x14ac:dyDescent="0.3">
      <c r="A219" s="203"/>
      <c r="B219" s="13" t="s">
        <v>1894</v>
      </c>
      <c r="C219" s="126">
        <v>2.2854364345403901</v>
      </c>
      <c r="D219" s="14" t="s">
        <v>1895</v>
      </c>
      <c r="E219" s="14" t="s">
        <v>1896</v>
      </c>
    </row>
    <row r="220" spans="1:8" ht="15.6" customHeight="1" x14ac:dyDescent="0.3">
      <c r="A220" s="203"/>
      <c r="B220" s="13">
        <v>2030</v>
      </c>
      <c r="C220" s="126">
        <f>C219*0.63333</f>
        <v>1.4474354570874652</v>
      </c>
      <c r="D220" s="14" t="s">
        <v>1895</v>
      </c>
      <c r="E220" s="14" t="s">
        <v>1896</v>
      </c>
    </row>
    <row r="221" spans="1:8" ht="15.6" customHeight="1" x14ac:dyDescent="0.3">
      <c r="A221" s="203"/>
      <c r="B221" s="13">
        <v>2040</v>
      </c>
      <c r="C221" s="126">
        <f>C219*0.31666</f>
        <v>0.72370630136155989</v>
      </c>
      <c r="D221" s="14" t="s">
        <v>1895</v>
      </c>
      <c r="E221" s="14" t="s">
        <v>1896</v>
      </c>
    </row>
    <row r="222" spans="1:8" ht="15.6" customHeight="1" x14ac:dyDescent="0.3">
      <c r="A222" s="203"/>
      <c r="B222" s="13">
        <v>2050</v>
      </c>
      <c r="C222" s="126">
        <f>C219*0.05</f>
        <v>0.11427182172701951</v>
      </c>
      <c r="D222" s="14" t="s">
        <v>1895</v>
      </c>
      <c r="E222" s="14" t="s">
        <v>1896</v>
      </c>
    </row>
    <row r="223" spans="1:8" ht="15.6" customHeight="1" x14ac:dyDescent="0.3">
      <c r="A223" s="8"/>
      <c r="C223" s="126"/>
      <c r="D223" s="14"/>
    </row>
    <row r="224" spans="1:8" s="67" customFormat="1" x14ac:dyDescent="0.3">
      <c r="A224" s="68" t="s">
        <v>829</v>
      </c>
      <c r="B224" s="25"/>
      <c r="D224" s="25"/>
      <c r="E224" s="93"/>
      <c r="F224" s="25"/>
      <c r="G224" s="25"/>
      <c r="H224" s="25"/>
    </row>
    <row r="225" spans="1:8" ht="15.6" customHeight="1" x14ac:dyDescent="0.3">
      <c r="A225" s="17" t="s">
        <v>85</v>
      </c>
      <c r="B225" s="17" t="s">
        <v>82</v>
      </c>
      <c r="C225" s="17" t="s">
        <v>49</v>
      </c>
      <c r="D225" s="17" t="s">
        <v>52</v>
      </c>
      <c r="E225" s="95" t="s">
        <v>58</v>
      </c>
      <c r="F225" s="15" t="s">
        <v>93</v>
      </c>
      <c r="G225" s="15" t="s">
        <v>80</v>
      </c>
      <c r="H225" s="17" t="s">
        <v>59</v>
      </c>
    </row>
    <row r="226" spans="1:8" x14ac:dyDescent="0.3">
      <c r="A226" s="203" t="s">
        <v>107</v>
      </c>
      <c r="B226" s="13" t="s">
        <v>580</v>
      </c>
      <c r="C226">
        <v>20</v>
      </c>
      <c r="D226" t="s">
        <v>185</v>
      </c>
      <c r="E226" s="14" t="str">
        <f>Sources!A50</f>
        <v>IEA2019</v>
      </c>
    </row>
    <row r="227" spans="1:8" x14ac:dyDescent="0.3">
      <c r="A227" s="203"/>
      <c r="C227">
        <v>0</v>
      </c>
      <c r="D227" t="s">
        <v>185</v>
      </c>
      <c r="E227" s="14" t="str">
        <f>Sources!A26</f>
        <v>Buttler2018</v>
      </c>
    </row>
    <row r="229" spans="1:8" x14ac:dyDescent="0.3">
      <c r="A229" s="13" t="s">
        <v>417</v>
      </c>
      <c r="B229" s="13" t="s">
        <v>580</v>
      </c>
      <c r="C229">
        <v>100</v>
      </c>
      <c r="D229" t="s">
        <v>185</v>
      </c>
      <c r="E229" s="14" t="str">
        <f>Sources!A50</f>
        <v>IEA2019</v>
      </c>
    </row>
    <row r="231" spans="1:8" x14ac:dyDescent="0.3">
      <c r="A231" s="203" t="s">
        <v>819</v>
      </c>
      <c r="B231" s="13" t="s">
        <v>836</v>
      </c>
      <c r="C231">
        <v>750</v>
      </c>
      <c r="D231" t="s">
        <v>403</v>
      </c>
      <c r="E231" s="14" t="str">
        <f>Sources!A63</f>
        <v>DEA2020</v>
      </c>
    </row>
    <row r="232" spans="1:8" x14ac:dyDescent="0.3">
      <c r="A232" s="203"/>
      <c r="B232" s="13" t="s">
        <v>186</v>
      </c>
      <c r="C232">
        <v>1</v>
      </c>
      <c r="D232" t="s">
        <v>588</v>
      </c>
      <c r="E232" s="14" t="str">
        <f>Sources!A50</f>
        <v>IEA2019</v>
      </c>
    </row>
    <row r="234" spans="1:8" s="60" customFormat="1" x14ac:dyDescent="0.3">
      <c r="A234" s="203" t="s">
        <v>111</v>
      </c>
      <c r="B234" s="58" t="s">
        <v>848</v>
      </c>
      <c r="C234" s="60">
        <v>44.2</v>
      </c>
      <c r="D234" s="61" t="s">
        <v>2</v>
      </c>
      <c r="E234" s="62" t="str">
        <f>Sources!A26</f>
        <v>Buttler2018</v>
      </c>
      <c r="F234" s="58"/>
      <c r="G234" s="58"/>
      <c r="H234" s="58"/>
    </row>
    <row r="235" spans="1:8" s="60" customFormat="1" x14ac:dyDescent="0.3">
      <c r="A235" s="203"/>
      <c r="B235" s="58" t="s">
        <v>849</v>
      </c>
      <c r="C235" s="60">
        <v>41.5</v>
      </c>
      <c r="D235" s="61" t="s">
        <v>2</v>
      </c>
      <c r="E235" s="62" t="str">
        <f>Sources!A26</f>
        <v>Buttler2018</v>
      </c>
      <c r="F235" s="58"/>
      <c r="G235" s="58"/>
      <c r="H235" s="58"/>
    </row>
    <row r="236" spans="1:8" s="60" customFormat="1" x14ac:dyDescent="0.3">
      <c r="A236" s="203"/>
      <c r="B236" s="58" t="s">
        <v>2039</v>
      </c>
      <c r="C236" s="60">
        <v>37.9</v>
      </c>
      <c r="D236" s="61" t="s">
        <v>2</v>
      </c>
      <c r="E236" s="62"/>
      <c r="F236" s="58"/>
      <c r="G236" s="58"/>
      <c r="H236" s="58"/>
    </row>
    <row r="237" spans="1:8" s="60" customFormat="1" x14ac:dyDescent="0.3">
      <c r="A237" s="203"/>
      <c r="B237" s="58" t="s">
        <v>1634</v>
      </c>
      <c r="C237" s="60">
        <v>44.2</v>
      </c>
      <c r="D237" s="61" t="s">
        <v>2</v>
      </c>
      <c r="E237" s="62" t="str">
        <f>Sources!A105</f>
        <v>DTU 2021</v>
      </c>
      <c r="F237" s="58" t="str">
        <f>Sources!A63</f>
        <v>DEA2020</v>
      </c>
      <c r="G237" s="58"/>
      <c r="H237" s="58"/>
    </row>
    <row r="238" spans="1:8" s="60" customFormat="1" x14ac:dyDescent="0.3">
      <c r="A238" s="203"/>
      <c r="B238" s="58" t="s">
        <v>1635</v>
      </c>
      <c r="C238" s="60">
        <v>42.5</v>
      </c>
      <c r="D238" s="61" t="s">
        <v>2</v>
      </c>
      <c r="E238" s="62" t="str">
        <f>Sources!A105</f>
        <v>DTU 2021</v>
      </c>
      <c r="F238" s="58" t="str">
        <f>Sources!A63</f>
        <v>DEA2020</v>
      </c>
      <c r="G238" s="58"/>
      <c r="H238" s="58"/>
    </row>
    <row r="239" spans="1:8" s="60" customFormat="1" x14ac:dyDescent="0.3">
      <c r="A239" s="203"/>
      <c r="B239" s="58" t="s">
        <v>1636</v>
      </c>
      <c r="C239" s="60">
        <v>42.5</v>
      </c>
      <c r="D239" s="61" t="s">
        <v>2</v>
      </c>
      <c r="E239" s="62" t="str">
        <f>Sources!A105</f>
        <v>DTU 2021</v>
      </c>
      <c r="F239" s="58" t="str">
        <f>Sources!A63</f>
        <v>DEA2020</v>
      </c>
      <c r="G239" s="58"/>
      <c r="H239" s="58"/>
    </row>
    <row r="240" spans="1:8" s="60" customFormat="1" x14ac:dyDescent="0.3">
      <c r="A240" s="203"/>
      <c r="B240" s="58" t="s">
        <v>851</v>
      </c>
      <c r="C240" s="60">
        <v>46.6</v>
      </c>
      <c r="D240" s="61" t="s">
        <v>2</v>
      </c>
      <c r="E240" s="62" t="str">
        <f>Sources!A63</f>
        <v>DEA2020</v>
      </c>
      <c r="F240" s="58"/>
      <c r="G240" s="58"/>
      <c r="H240" s="58"/>
    </row>
    <row r="241" spans="1:8" s="60" customFormat="1" x14ac:dyDescent="0.3">
      <c r="A241" s="203"/>
      <c r="B241" s="58" t="s">
        <v>850</v>
      </c>
      <c r="C241" s="60">
        <v>44.2</v>
      </c>
      <c r="D241" s="61" t="s">
        <v>2</v>
      </c>
      <c r="E241" s="62" t="str">
        <f>Sources!A63</f>
        <v>DEA2020</v>
      </c>
      <c r="F241" s="58"/>
      <c r="G241" s="58"/>
      <c r="H241" s="58"/>
    </row>
    <row r="242" spans="1:8" s="60" customFormat="1" x14ac:dyDescent="0.3">
      <c r="A242" s="203"/>
      <c r="B242" s="58" t="s">
        <v>852</v>
      </c>
      <c r="C242" s="60">
        <v>42</v>
      </c>
      <c r="D242" s="61" t="s">
        <v>2</v>
      </c>
      <c r="E242" s="62" t="str">
        <f>Sources!A63</f>
        <v>DEA2020</v>
      </c>
      <c r="F242" s="58"/>
      <c r="G242" s="58"/>
      <c r="H242" s="58"/>
    </row>
    <row r="243" spans="1:8" s="60" customFormat="1" x14ac:dyDescent="0.3">
      <c r="A243" s="203"/>
      <c r="B243" s="58" t="s">
        <v>853</v>
      </c>
      <c r="C243" s="60">
        <v>42.5</v>
      </c>
      <c r="D243" s="5" t="s">
        <v>2</v>
      </c>
      <c r="E243" s="62" t="str">
        <f>Sources!A63</f>
        <v>DEA2020</v>
      </c>
      <c r="F243" s="58"/>
      <c r="G243" s="58"/>
      <c r="H243" s="58"/>
    </row>
    <row r="244" spans="1:8" s="60" customFormat="1" x14ac:dyDescent="0.3">
      <c r="A244" s="203"/>
      <c r="B244" s="58" t="s">
        <v>854</v>
      </c>
      <c r="C244" s="60">
        <v>44.8</v>
      </c>
      <c r="D244" s="5" t="s">
        <v>2</v>
      </c>
      <c r="E244" s="62" t="str">
        <f>Sources!A63</f>
        <v>DEA2020</v>
      </c>
      <c r="F244" s="58"/>
      <c r="G244" s="58"/>
      <c r="H244" s="58"/>
    </row>
    <row r="245" spans="1:8" s="60" customFormat="1" x14ac:dyDescent="0.3">
      <c r="A245" s="203"/>
      <c r="B245" s="58" t="s">
        <v>855</v>
      </c>
      <c r="C245" s="60">
        <v>42.5</v>
      </c>
      <c r="D245" s="5" t="s">
        <v>2</v>
      </c>
      <c r="E245" s="62" t="str">
        <f>Sources!A63</f>
        <v>DEA2020</v>
      </c>
      <c r="F245" s="58"/>
      <c r="G245" s="58"/>
      <c r="H245" s="58"/>
    </row>
    <row r="246" spans="1:8" s="60" customFormat="1" x14ac:dyDescent="0.3">
      <c r="A246" s="203"/>
      <c r="B246" s="58" t="s">
        <v>856</v>
      </c>
      <c r="C246" s="60">
        <v>40.5</v>
      </c>
      <c r="D246" s="5" t="s">
        <v>2</v>
      </c>
      <c r="E246" s="62" t="str">
        <f>Sources!A63</f>
        <v>DEA2020</v>
      </c>
      <c r="F246" s="58"/>
      <c r="G246" s="58"/>
      <c r="H246" s="58"/>
    </row>
    <row r="247" spans="1:8" x14ac:dyDescent="0.3">
      <c r="A247" s="203"/>
      <c r="B247" s="13" t="s">
        <v>839</v>
      </c>
      <c r="C247">
        <v>45.4</v>
      </c>
      <c r="D247" s="5" t="s">
        <v>2</v>
      </c>
      <c r="E247" s="14" t="str">
        <f>Sources!A50</f>
        <v>IEA2019</v>
      </c>
    </row>
    <row r="248" spans="1:8" x14ac:dyDescent="0.3">
      <c r="A248" s="203"/>
      <c r="B248" s="13" t="s">
        <v>589</v>
      </c>
      <c r="C248">
        <v>43.6</v>
      </c>
      <c r="D248" s="5" t="s">
        <v>2</v>
      </c>
      <c r="E248" s="14" t="str">
        <f>Sources!A50</f>
        <v>IEA2019</v>
      </c>
    </row>
    <row r="249" spans="1:8" x14ac:dyDescent="0.3">
      <c r="A249" s="203"/>
      <c r="B249" s="13" t="s">
        <v>590</v>
      </c>
      <c r="C249">
        <v>40</v>
      </c>
      <c r="D249" s="5" t="s">
        <v>2</v>
      </c>
      <c r="E249" s="14" t="str">
        <f>Sources!A50</f>
        <v>IEA2019</v>
      </c>
    </row>
    <row r="250" spans="1:8" x14ac:dyDescent="0.3">
      <c r="A250" s="203"/>
      <c r="B250" s="13" t="s">
        <v>1277</v>
      </c>
      <c r="C250">
        <v>42.5</v>
      </c>
      <c r="D250" s="5" t="s">
        <v>2</v>
      </c>
      <c r="E250" s="14" t="str">
        <f>Sources!A107</f>
        <v>Lester2020</v>
      </c>
    </row>
    <row r="251" spans="1:8" x14ac:dyDescent="0.3">
      <c r="A251" s="203"/>
      <c r="B251" s="13" t="s">
        <v>1254</v>
      </c>
      <c r="C251">
        <v>40</v>
      </c>
      <c r="D251" s="5" t="s">
        <v>2</v>
      </c>
      <c r="E251" s="14" t="str">
        <f>Sources!A100</f>
        <v>IRENA2020</v>
      </c>
    </row>
    <row r="252" spans="1:8" x14ac:dyDescent="0.3">
      <c r="A252" s="203"/>
      <c r="B252" s="13" t="s">
        <v>591</v>
      </c>
      <c r="C252">
        <v>43.6</v>
      </c>
      <c r="D252" s="5" t="s">
        <v>2</v>
      </c>
      <c r="E252" s="14" t="str">
        <f>Sources!A50</f>
        <v>IEA2019</v>
      </c>
    </row>
    <row r="253" spans="1:8" x14ac:dyDescent="0.3">
      <c r="A253" s="203"/>
      <c r="B253" s="13" t="s">
        <v>592</v>
      </c>
      <c r="C253">
        <v>37.299999999999997</v>
      </c>
      <c r="D253" s="5" t="s">
        <v>2</v>
      </c>
      <c r="E253" s="14" t="str">
        <f>Sources!A50</f>
        <v>IEA2019</v>
      </c>
    </row>
    <row r="255" spans="1:8" s="60" customFormat="1" x14ac:dyDescent="0.3">
      <c r="A255" s="203" t="s">
        <v>1779</v>
      </c>
      <c r="B255" s="58">
        <v>2020</v>
      </c>
      <c r="C255" s="60">
        <v>1500</v>
      </c>
      <c r="D255" s="61" t="s">
        <v>593</v>
      </c>
      <c r="E255" s="62" t="str">
        <f>Sources!A62</f>
        <v>Andika2018</v>
      </c>
      <c r="F255" s="58"/>
      <c r="G255" s="58"/>
      <c r="H255" s="58"/>
    </row>
    <row r="256" spans="1:8" s="60" customFormat="1" x14ac:dyDescent="0.3">
      <c r="A256" s="203"/>
      <c r="B256" s="58">
        <v>2020</v>
      </c>
      <c r="C256" s="60">
        <v>930</v>
      </c>
      <c r="D256" s="61" t="s">
        <v>593</v>
      </c>
      <c r="E256" s="62" t="str">
        <f>Sources!A82</f>
        <v>Connolly2014</v>
      </c>
      <c r="F256" s="58"/>
      <c r="G256" s="58"/>
      <c r="H256" s="58"/>
    </row>
    <row r="257" spans="1:8" s="60" customFormat="1" x14ac:dyDescent="0.3">
      <c r="A257" s="203"/>
      <c r="B257" s="58" t="s">
        <v>1634</v>
      </c>
      <c r="C257" s="60">
        <v>2770</v>
      </c>
      <c r="D257" s="61" t="s">
        <v>593</v>
      </c>
      <c r="E257" s="62" t="str">
        <f>Sources!A105</f>
        <v>DTU 2021</v>
      </c>
      <c r="F257" s="58"/>
      <c r="G257" s="58"/>
      <c r="H257" s="58"/>
    </row>
    <row r="258" spans="1:8" s="60" customFormat="1" x14ac:dyDescent="0.3">
      <c r="A258" s="203"/>
      <c r="B258" s="58" t="s">
        <v>1635</v>
      </c>
      <c r="C258" s="60">
        <v>1140</v>
      </c>
      <c r="D258" s="61" t="s">
        <v>593</v>
      </c>
      <c r="E258" s="62" t="str">
        <f>Sources!A105</f>
        <v>DTU 2021</v>
      </c>
      <c r="F258" s="58"/>
      <c r="G258" s="58"/>
      <c r="H258" s="58"/>
    </row>
    <row r="259" spans="1:8" s="60" customFormat="1" x14ac:dyDescent="0.3">
      <c r="A259" s="203"/>
      <c r="B259" s="58" t="s">
        <v>1636</v>
      </c>
      <c r="C259" s="60">
        <v>400</v>
      </c>
      <c r="D259" s="61" t="s">
        <v>593</v>
      </c>
      <c r="E259" s="62" t="str">
        <f>Sources!A105</f>
        <v>DTU 2021</v>
      </c>
      <c r="F259" s="58"/>
      <c r="G259" s="58"/>
      <c r="H259" s="58"/>
    </row>
    <row r="260" spans="1:8" s="60" customFormat="1" x14ac:dyDescent="0.3">
      <c r="A260" s="203"/>
      <c r="B260" s="13" t="s">
        <v>1796</v>
      </c>
      <c r="C260" s="60">
        <f>C257+0.185*C257/(1+0.08)^5+0.135*C257/(1+0.08)^10+0.125*C257/(1+0.08)^15+0.115*C257/(1+0.08)^20</f>
        <v>3469.4728360022164</v>
      </c>
      <c r="D260" s="61" t="s">
        <v>593</v>
      </c>
      <c r="E260" s="62" t="str">
        <f>Sources!A105</f>
        <v>DTU 2021</v>
      </c>
      <c r="F260" s="58"/>
      <c r="G260" s="58"/>
      <c r="H260" s="58"/>
    </row>
    <row r="261" spans="1:8" s="60" customFormat="1" x14ac:dyDescent="0.3">
      <c r="A261" s="203"/>
      <c r="B261" s="58" t="s">
        <v>1797</v>
      </c>
      <c r="C261" s="60">
        <f>C258+0.125*C258/(1+0.08)^5+0.115*C258/(1+0.08)^10+0.105*C258/(1+0.08)^15+0.095*C258/(1+0.08)^20</f>
        <v>1358.6777748114882</v>
      </c>
      <c r="D261" s="61" t="s">
        <v>593</v>
      </c>
      <c r="E261" s="62" t="str">
        <f>Sources!A105</f>
        <v>DTU 2021</v>
      </c>
      <c r="F261" s="58"/>
      <c r="G261" s="58"/>
      <c r="H261" s="58"/>
    </row>
    <row r="262" spans="1:8" s="60" customFormat="1" x14ac:dyDescent="0.3">
      <c r="A262" s="203"/>
      <c r="B262" s="58" t="s">
        <v>1798</v>
      </c>
      <c r="C262" s="60">
        <f>C259+C259*0.095/(1+0.08)^5+C259*0.095/(1+0.08)^10+C259*0.095/(1+0.08)^15+C259*0.095/(1+0.08)^20</f>
        <v>463.5955307045586</v>
      </c>
      <c r="D262" s="61" t="s">
        <v>593</v>
      </c>
      <c r="E262" s="62" t="str">
        <f>Sources!A105</f>
        <v>DTU 2021</v>
      </c>
      <c r="F262" s="58"/>
      <c r="G262" s="58"/>
      <c r="H262" s="58"/>
    </row>
    <row r="263" spans="1:8" s="60" customFormat="1" x14ac:dyDescent="0.3">
      <c r="A263" s="203"/>
      <c r="B263" s="58" t="s">
        <v>863</v>
      </c>
      <c r="C263" s="160">
        <f>1350*(CEPCI_ref/CEPCI2015)</f>
        <v>1472.9256465517242</v>
      </c>
      <c r="D263" s="61" t="s">
        <v>864</v>
      </c>
      <c r="E263" s="62" t="str">
        <f>Sources!A63</f>
        <v>DEA2020</v>
      </c>
      <c r="F263" s="58"/>
      <c r="G263" s="58"/>
      <c r="H263" s="58"/>
    </row>
    <row r="264" spans="1:8" s="60" customFormat="1" x14ac:dyDescent="0.3">
      <c r="A264" s="203"/>
      <c r="B264" s="58" t="s">
        <v>1839</v>
      </c>
      <c r="C264" s="161">
        <f>2200*(CEPCI_ref/CEPCI2015)</f>
        <v>2400.3232758620693</v>
      </c>
      <c r="D264" s="61" t="s">
        <v>864</v>
      </c>
      <c r="E264" s="62" t="str">
        <f>Sources!A63</f>
        <v>DEA2020</v>
      </c>
      <c r="F264" s="58"/>
      <c r="G264" s="58"/>
      <c r="H264" s="58"/>
    </row>
    <row r="265" spans="1:8" s="60" customFormat="1" x14ac:dyDescent="0.3">
      <c r="A265" s="203"/>
      <c r="B265" s="58" t="s">
        <v>1476</v>
      </c>
      <c r="C265" s="160">
        <f>3000*(CEPCI_ref/CEPCI2015)</f>
        <v>3273.1681034482758</v>
      </c>
      <c r="D265" s="61" t="s">
        <v>864</v>
      </c>
      <c r="E265" s="62" t="str">
        <f>Sources!A63</f>
        <v>DEA2020</v>
      </c>
      <c r="F265" s="58"/>
      <c r="G265" s="58"/>
      <c r="H265" s="58"/>
    </row>
    <row r="266" spans="1:8" s="60" customFormat="1" x14ac:dyDescent="0.3">
      <c r="A266" s="203"/>
      <c r="B266" s="58" t="s">
        <v>1477</v>
      </c>
      <c r="C266" s="60">
        <f>600*(CEPCI_ref/CEPCI2015)</f>
        <v>654.63362068965523</v>
      </c>
      <c r="D266" s="61" t="s">
        <v>864</v>
      </c>
      <c r="E266" s="62" t="str">
        <f>Sources!A63</f>
        <v>DEA2020</v>
      </c>
      <c r="F266" s="58"/>
      <c r="G266" s="58"/>
      <c r="H266" s="58"/>
    </row>
    <row r="267" spans="1:8" s="60" customFormat="1" x14ac:dyDescent="0.3">
      <c r="A267" s="203"/>
      <c r="B267" s="58" t="s">
        <v>1478</v>
      </c>
      <c r="C267" s="60">
        <f>250*(CEPCI_ref/CEPCI2015)</f>
        <v>272.76400862068965</v>
      </c>
      <c r="D267" s="61" t="s">
        <v>864</v>
      </c>
      <c r="E267" s="62" t="str">
        <f>Sources!A63</f>
        <v>DEA2020</v>
      </c>
      <c r="F267" s="58"/>
      <c r="G267" s="58"/>
      <c r="H267" s="58"/>
    </row>
    <row r="268" spans="1:8" s="60" customFormat="1" x14ac:dyDescent="0.3">
      <c r="A268" s="203"/>
      <c r="B268" s="58" t="s">
        <v>1479</v>
      </c>
      <c r="C268" s="60">
        <f>400*(CEPCI_ref/CEPCI2015)</f>
        <v>436.42241379310349</v>
      </c>
      <c r="D268" s="61" t="s">
        <v>864</v>
      </c>
      <c r="E268" s="62" t="str">
        <f>Sources!A63</f>
        <v>DEA2020</v>
      </c>
      <c r="F268" s="58"/>
      <c r="G268" s="58"/>
      <c r="H268" s="58"/>
    </row>
    <row r="269" spans="1:8" s="60" customFormat="1" x14ac:dyDescent="0.3">
      <c r="A269" s="203"/>
      <c r="B269" s="58" t="s">
        <v>1480</v>
      </c>
      <c r="C269" s="60">
        <f>1500*(CEPCI_ref/CEPCI2015)</f>
        <v>1636.5840517241379</v>
      </c>
      <c r="D269" s="61" t="s">
        <v>864</v>
      </c>
      <c r="E269" s="62" t="str">
        <f>Sources!A63</f>
        <v>DEA2020</v>
      </c>
      <c r="F269" s="58"/>
      <c r="G269" s="58"/>
      <c r="H269" s="58"/>
    </row>
    <row r="270" spans="1:8" s="60" customFormat="1" x14ac:dyDescent="0.3">
      <c r="A270" s="203"/>
      <c r="B270" s="58" t="s">
        <v>1481</v>
      </c>
      <c r="C270" s="60">
        <f>2800 * DE2019_*(CEPCI_ref/CEPCI2019)</f>
        <v>2500.2232342173411</v>
      </c>
      <c r="D270" s="61" t="s">
        <v>593</v>
      </c>
      <c r="E270" s="62" t="str">
        <f>Sources!A50</f>
        <v>IEA2019</v>
      </c>
      <c r="F270" s="58"/>
      <c r="G270" s="58"/>
      <c r="H270" s="58"/>
    </row>
    <row r="271" spans="1:8" s="60" customFormat="1" ht="15" customHeight="1" x14ac:dyDescent="0.3">
      <c r="A271" s="203"/>
      <c r="B271" s="58" t="s">
        <v>1482</v>
      </c>
      <c r="C271" s="60">
        <f>5600*DE2019_*(CEPCI_ref/CEPCI2019)</f>
        <v>5000.4464684346822</v>
      </c>
      <c r="D271" s="61" t="s">
        <v>593</v>
      </c>
      <c r="E271" s="62" t="str">
        <f>Sources!A50</f>
        <v>IEA2019</v>
      </c>
      <c r="F271" s="58"/>
      <c r="G271" s="58"/>
      <c r="H271" s="58"/>
    </row>
    <row r="272" spans="1:8" x14ac:dyDescent="0.3">
      <c r="A272" s="203"/>
      <c r="B272" s="13" t="s">
        <v>1483</v>
      </c>
      <c r="C272">
        <f>800*DE2019_*(CEPCI_ref/CEPCI2019)</f>
        <v>714.3494954906688</v>
      </c>
      <c r="D272" s="5" t="s">
        <v>593</v>
      </c>
      <c r="E272" s="14" t="str">
        <f>Sources!A50</f>
        <v>IEA2019</v>
      </c>
    </row>
    <row r="273" spans="1:8" x14ac:dyDescent="0.3">
      <c r="A273" s="203"/>
      <c r="B273" s="13" t="s">
        <v>1484</v>
      </c>
      <c r="C273">
        <f>2800*DE2019_*(CEPCI_ref/CEPCI2019)</f>
        <v>2500.2232342173411</v>
      </c>
      <c r="D273" s="5" t="s">
        <v>593</v>
      </c>
      <c r="E273" s="14" t="str">
        <f>Sources!A50</f>
        <v>IEA2019</v>
      </c>
    </row>
    <row r="274" spans="1:8" x14ac:dyDescent="0.3">
      <c r="A274" s="203"/>
      <c r="B274" s="13" t="s">
        <v>1485</v>
      </c>
      <c r="C274">
        <f>500 * DE2019_*(CEPCI_ref/CEPCI2019)</f>
        <v>446.46843468166804</v>
      </c>
      <c r="D274" s="5" t="s">
        <v>593</v>
      </c>
      <c r="E274" s="14" t="str">
        <f>Sources!A50</f>
        <v>IEA2019</v>
      </c>
    </row>
    <row r="275" spans="1:8" x14ac:dyDescent="0.3">
      <c r="A275" s="203"/>
      <c r="B275" s="13" t="s">
        <v>1486</v>
      </c>
      <c r="C275">
        <f>1000*DE2019_*(CEPCI_ref/CEPCI2019)</f>
        <v>892.93686936333609</v>
      </c>
      <c r="D275" s="5" t="s">
        <v>593</v>
      </c>
      <c r="E275" s="14" t="str">
        <f>Sources!A50</f>
        <v>IEA2019</v>
      </c>
    </row>
    <row r="276" spans="1:8" x14ac:dyDescent="0.3">
      <c r="A276" s="203"/>
      <c r="B276" s="13" t="s">
        <v>1487</v>
      </c>
      <c r="C276">
        <f>300*DE2019_*(CEPCI_ref/CEPCI2019)</f>
        <v>267.88106080900081</v>
      </c>
      <c r="D276" s="5" t="s">
        <v>593</v>
      </c>
      <c r="E276" s="14" t="str">
        <f>Sources!A100</f>
        <v>IRENA2020</v>
      </c>
    </row>
    <row r="277" spans="1:8" x14ac:dyDescent="0.3">
      <c r="A277" s="203"/>
      <c r="B277" s="13" t="s">
        <v>1488</v>
      </c>
      <c r="C277">
        <f>0.1*3.6*1000*(CEPCI_ref/CEPCI2019)</f>
        <v>360.00000000000006</v>
      </c>
      <c r="D277" s="5" t="s">
        <v>593</v>
      </c>
      <c r="E277" s="14" t="str">
        <f>Sources!A107</f>
        <v>Lester2020</v>
      </c>
    </row>
    <row r="278" spans="1:8" x14ac:dyDescent="0.3">
      <c r="A278" s="203"/>
      <c r="B278" s="13">
        <v>2050</v>
      </c>
      <c r="C278">
        <v>280</v>
      </c>
      <c r="D278" s="5" t="s">
        <v>593</v>
      </c>
      <c r="E278" s="14" t="str">
        <f>Sources!A82</f>
        <v>Connolly2014</v>
      </c>
    </row>
    <row r="279" spans="1:8" x14ac:dyDescent="0.3">
      <c r="A279" s="8"/>
      <c r="D279" s="5"/>
    </row>
    <row r="280" spans="1:8" s="45" customFormat="1" x14ac:dyDescent="0.3">
      <c r="A280" s="203" t="s">
        <v>1750</v>
      </c>
      <c r="B280" s="43">
        <v>2020</v>
      </c>
      <c r="C280" s="45">
        <v>3</v>
      </c>
      <c r="D280" s="53" t="s">
        <v>600</v>
      </c>
      <c r="E280" s="44" t="str">
        <f>Sources!A82</f>
        <v>Connolly2014</v>
      </c>
      <c r="F280" s="43"/>
      <c r="G280" s="43"/>
      <c r="H280" s="43"/>
    </row>
    <row r="281" spans="1:8" x14ac:dyDescent="0.3">
      <c r="A281" s="203"/>
      <c r="B281" s="58" t="s">
        <v>863</v>
      </c>
      <c r="C281">
        <f>44*(CEPCI_ref/CEPCI2015)</f>
        <v>48.006465517241381</v>
      </c>
      <c r="D281" s="5" t="s">
        <v>687</v>
      </c>
      <c r="E281" s="14" t="str">
        <f>Sources!A63</f>
        <v>DEA2020</v>
      </c>
    </row>
    <row r="282" spans="1:8" s="60" customFormat="1" x14ac:dyDescent="0.3">
      <c r="A282" s="203"/>
      <c r="B282" s="58" t="s">
        <v>1489</v>
      </c>
      <c r="C282" s="60">
        <f>66*(CEPCI_ref/CEPCI2015)</f>
        <v>72.009698275862078</v>
      </c>
      <c r="D282" s="61" t="s">
        <v>687</v>
      </c>
      <c r="E282" s="62" t="str">
        <f>Sources!A63</f>
        <v>DEA2020</v>
      </c>
      <c r="F282" s="58"/>
      <c r="G282" s="58"/>
      <c r="H282" s="58"/>
    </row>
    <row r="283" spans="1:8" x14ac:dyDescent="0.3">
      <c r="A283" s="203"/>
      <c r="B283" s="58" t="s">
        <v>1490</v>
      </c>
      <c r="C283">
        <f>110*(CEPCI_ref/CEPCI2015)</f>
        <v>120.01616379310346</v>
      </c>
      <c r="D283" s="5" t="s">
        <v>687</v>
      </c>
      <c r="E283" s="14" t="str">
        <f>Sources!A63</f>
        <v>DEA2020</v>
      </c>
    </row>
    <row r="284" spans="1:8" x14ac:dyDescent="0.3">
      <c r="A284" s="203"/>
      <c r="B284" s="58" t="s">
        <v>1491</v>
      </c>
      <c r="C284">
        <f>18*(CEPCI_ref/CEPCI2015)</f>
        <v>19.639008620689655</v>
      </c>
      <c r="D284" s="5" t="s">
        <v>687</v>
      </c>
      <c r="E284" s="14" t="str">
        <f>Sources!A63</f>
        <v>DEA2020</v>
      </c>
    </row>
    <row r="285" spans="1:8" x14ac:dyDescent="0.3">
      <c r="A285" s="203"/>
      <c r="B285" s="58" t="s">
        <v>1492</v>
      </c>
      <c r="C285">
        <f>8*(CEPCI_ref/CEPCI2015)</f>
        <v>8.7284482758620694</v>
      </c>
      <c r="D285" s="5" t="s">
        <v>687</v>
      </c>
      <c r="E285" s="14" t="str">
        <f>Sources!A63</f>
        <v>DEA2020</v>
      </c>
    </row>
    <row r="286" spans="1:8" x14ac:dyDescent="0.3">
      <c r="A286" s="203"/>
      <c r="B286" s="58" t="s">
        <v>1493</v>
      </c>
      <c r="C286">
        <f>12*(CEPCI_ref/CEPCI2015)</f>
        <v>13.092672413793103</v>
      </c>
      <c r="D286" s="5" t="s">
        <v>687</v>
      </c>
      <c r="E286" s="14" t="str">
        <f>Sources!A63</f>
        <v>DEA2020</v>
      </c>
    </row>
    <row r="287" spans="1:8" x14ac:dyDescent="0.3">
      <c r="A287" s="203"/>
      <c r="B287" s="58" t="s">
        <v>1494</v>
      </c>
      <c r="C287">
        <f>20*(CEPCI_ref/CEPCI2015)</f>
        <v>21.821120689655174</v>
      </c>
      <c r="D287" s="5" t="s">
        <v>687</v>
      </c>
      <c r="E287" s="14" t="str">
        <f>Sources!A63</f>
        <v>DEA2020</v>
      </c>
    </row>
    <row r="288" spans="1:8" x14ac:dyDescent="0.3">
      <c r="A288" s="203"/>
      <c r="B288" s="58" t="s">
        <v>1278</v>
      </c>
      <c r="C288">
        <f>2.87*3.6</f>
        <v>10.332000000000001</v>
      </c>
      <c r="D288" s="5" t="s">
        <v>687</v>
      </c>
      <c r="E288" s="14" t="str">
        <f>Sources!A107</f>
        <v>Lester2020</v>
      </c>
    </row>
    <row r="289" spans="1:8" x14ac:dyDescent="0.3">
      <c r="A289" s="203"/>
      <c r="B289" s="58">
        <v>2050</v>
      </c>
      <c r="C289">
        <v>3</v>
      </c>
      <c r="D289" s="5" t="s">
        <v>195</v>
      </c>
      <c r="E289" s="14" t="str">
        <f>Sources!A82</f>
        <v>Connolly2014</v>
      </c>
    </row>
    <row r="291" spans="1:8" s="60" customFormat="1" x14ac:dyDescent="0.3">
      <c r="A291" s="203" t="s">
        <v>41</v>
      </c>
      <c r="B291" s="58" t="s">
        <v>1079</v>
      </c>
      <c r="C291" s="60">
        <v>15</v>
      </c>
      <c r="D291" s="61" t="s">
        <v>201</v>
      </c>
      <c r="E291" s="62" t="str">
        <f>Sources!A82</f>
        <v>Connolly2014</v>
      </c>
      <c r="F291" s="58"/>
      <c r="G291" s="58"/>
      <c r="H291" s="58"/>
    </row>
    <row r="292" spans="1:8" s="60" customFormat="1" x14ac:dyDescent="0.3">
      <c r="A292" s="203"/>
      <c r="B292" s="58" t="s">
        <v>1799</v>
      </c>
      <c r="C292" s="60">
        <v>25</v>
      </c>
      <c r="D292" s="61" t="s">
        <v>201</v>
      </c>
      <c r="E292" s="62" t="str">
        <f>Sources!A105</f>
        <v>DTU 2021</v>
      </c>
      <c r="F292" s="58"/>
      <c r="G292" s="58"/>
      <c r="H292" s="58"/>
    </row>
    <row r="293" spans="1:8" x14ac:dyDescent="0.3">
      <c r="A293" s="203"/>
      <c r="B293" s="13" t="s">
        <v>1081</v>
      </c>
      <c r="C293">
        <v>5</v>
      </c>
      <c r="D293" s="5" t="s">
        <v>201</v>
      </c>
      <c r="E293" s="14" t="str">
        <f>Sources!A81</f>
        <v>Nguyen2019</v>
      </c>
    </row>
    <row r="294" spans="1:8" s="60" customFormat="1" x14ac:dyDescent="0.3">
      <c r="A294" s="203"/>
      <c r="B294" s="58" t="s">
        <v>857</v>
      </c>
      <c r="C294" s="60">
        <v>10</v>
      </c>
      <c r="D294" s="61" t="s">
        <v>197</v>
      </c>
      <c r="E294" s="62" t="str">
        <f>Sources!A50</f>
        <v>IEA2019</v>
      </c>
      <c r="F294" s="58"/>
      <c r="G294" s="58"/>
      <c r="H294" s="58"/>
    </row>
    <row r="295" spans="1:8" s="60" customFormat="1" x14ac:dyDescent="0.3">
      <c r="A295" s="203"/>
      <c r="B295" s="58" t="s">
        <v>858</v>
      </c>
      <c r="C295" s="60">
        <v>30</v>
      </c>
      <c r="D295" s="61" t="s">
        <v>197</v>
      </c>
      <c r="E295" s="62" t="str">
        <f>Sources!A50</f>
        <v>IEA2019</v>
      </c>
      <c r="F295" s="58"/>
      <c r="G295" s="58"/>
      <c r="H295" s="58"/>
    </row>
    <row r="296" spans="1:8" x14ac:dyDescent="0.3">
      <c r="A296" s="203"/>
      <c r="B296" s="13" t="s">
        <v>859</v>
      </c>
      <c r="C296">
        <v>40</v>
      </c>
      <c r="D296" s="5" t="s">
        <v>197</v>
      </c>
      <c r="E296" s="14" t="str">
        <f>Sources!A50</f>
        <v>IEA2019</v>
      </c>
    </row>
    <row r="297" spans="1:8" x14ac:dyDescent="0.3">
      <c r="A297" s="203"/>
      <c r="B297" s="13" t="s">
        <v>860</v>
      </c>
      <c r="C297">
        <v>60</v>
      </c>
      <c r="D297" s="5" t="s">
        <v>197</v>
      </c>
      <c r="E297" s="14" t="str">
        <f>Sources!A50</f>
        <v>IEA2019</v>
      </c>
    </row>
    <row r="298" spans="1:8" x14ac:dyDescent="0.3">
      <c r="A298" s="203"/>
      <c r="B298" s="13" t="s">
        <v>861</v>
      </c>
      <c r="C298">
        <v>75</v>
      </c>
      <c r="D298" s="5" t="s">
        <v>197</v>
      </c>
      <c r="E298" s="14" t="str">
        <f>Sources!A50</f>
        <v>IEA2019</v>
      </c>
    </row>
    <row r="299" spans="1:8" x14ac:dyDescent="0.3">
      <c r="A299" s="203"/>
      <c r="B299" s="13" t="s">
        <v>862</v>
      </c>
      <c r="C299">
        <v>100</v>
      </c>
      <c r="D299" s="5" t="s">
        <v>197</v>
      </c>
      <c r="E299" s="14" t="str">
        <f>Sources!A50</f>
        <v>IEA2019</v>
      </c>
    </row>
    <row r="300" spans="1:8" x14ac:dyDescent="0.3">
      <c r="A300" s="203"/>
      <c r="B300" s="13" t="s">
        <v>1255</v>
      </c>
      <c r="C300">
        <v>80</v>
      </c>
      <c r="D300" s="5" t="s">
        <v>197</v>
      </c>
      <c r="E300" s="14" t="str">
        <f>Sources!A100</f>
        <v>IRENA2020</v>
      </c>
    </row>
    <row r="301" spans="1:8" x14ac:dyDescent="0.3">
      <c r="A301" s="203"/>
      <c r="B301" s="13" t="s">
        <v>1080</v>
      </c>
      <c r="C301">
        <v>15</v>
      </c>
      <c r="D301" s="5" t="s">
        <v>201</v>
      </c>
      <c r="E301" s="14" t="str">
        <f>Sources!A82</f>
        <v>Connolly2014</v>
      </c>
    </row>
    <row r="302" spans="1:8" x14ac:dyDescent="0.3">
      <c r="A302" s="203"/>
      <c r="B302" s="13" t="s">
        <v>1637</v>
      </c>
      <c r="C302">
        <v>5</v>
      </c>
      <c r="D302" s="5" t="s">
        <v>201</v>
      </c>
      <c r="E302" s="14" t="str">
        <f>Sources!A63</f>
        <v>DEA2020</v>
      </c>
    </row>
    <row r="303" spans="1:8" x14ac:dyDescent="0.3">
      <c r="A303" s="203"/>
      <c r="B303" s="13" t="s">
        <v>1638</v>
      </c>
      <c r="C303">
        <v>7</v>
      </c>
      <c r="D303" s="5" t="s">
        <v>201</v>
      </c>
      <c r="E303" s="14" t="str">
        <f>Sources!A63</f>
        <v>DEA2020</v>
      </c>
    </row>
    <row r="304" spans="1:8" s="60" customFormat="1" x14ac:dyDescent="0.3">
      <c r="A304" s="203"/>
      <c r="B304" s="58" t="s">
        <v>1639</v>
      </c>
      <c r="C304" s="60">
        <v>10</v>
      </c>
      <c r="D304" s="5" t="s">
        <v>201</v>
      </c>
      <c r="E304" s="62" t="str">
        <f>Sources!A63</f>
        <v>DEA2020</v>
      </c>
      <c r="F304" s="58"/>
      <c r="G304" s="58"/>
      <c r="H304" s="58"/>
    </row>
    <row r="305" spans="1:5" x14ac:dyDescent="0.3">
      <c r="C305" s="60"/>
    </row>
    <row r="306" spans="1:5" x14ac:dyDescent="0.3">
      <c r="A306" s="203" t="s">
        <v>777</v>
      </c>
      <c r="B306" s="13" t="s">
        <v>2230</v>
      </c>
      <c r="C306" s="60">
        <v>8</v>
      </c>
      <c r="D306" s="5" t="s">
        <v>838</v>
      </c>
      <c r="E306" s="14" t="str">
        <f>Sources!A63</f>
        <v>DEA2020</v>
      </c>
    </row>
    <row r="307" spans="1:5" x14ac:dyDescent="0.3">
      <c r="A307" s="203"/>
      <c r="B307" s="13" t="s">
        <v>2231</v>
      </c>
      <c r="C307" s="60">
        <v>6</v>
      </c>
      <c r="D307" s="5" t="s">
        <v>838</v>
      </c>
      <c r="E307" s="14" t="str">
        <f>Sources!A63</f>
        <v>DEA2020</v>
      </c>
    </row>
    <row r="308" spans="1:5" x14ac:dyDescent="0.3">
      <c r="A308" s="203"/>
      <c r="B308" s="13" t="s">
        <v>2232</v>
      </c>
      <c r="C308" s="60">
        <v>35</v>
      </c>
      <c r="D308" s="5" t="s">
        <v>838</v>
      </c>
      <c r="E308" s="14" t="str">
        <f>Sources!$A$133</f>
        <v>DEA2022</v>
      </c>
    </row>
    <row r="309" spans="1:5" x14ac:dyDescent="0.3">
      <c r="A309" s="203"/>
      <c r="B309" s="13" t="s">
        <v>2233</v>
      </c>
      <c r="C309" s="60">
        <v>35</v>
      </c>
      <c r="D309" s="5" t="s">
        <v>838</v>
      </c>
      <c r="E309" s="14" t="str">
        <f>Sources!$A$133</f>
        <v>DEA2022</v>
      </c>
    </row>
    <row r="310" spans="1:5" x14ac:dyDescent="0.3">
      <c r="A310" s="203"/>
      <c r="B310" s="13" t="s">
        <v>2234</v>
      </c>
      <c r="C310" s="60">
        <v>35</v>
      </c>
      <c r="D310" s="5" t="s">
        <v>838</v>
      </c>
      <c r="E310" s="14" t="str">
        <f>Sources!$A$133</f>
        <v>DEA2022</v>
      </c>
    </row>
    <row r="311" spans="1:5" x14ac:dyDescent="0.3">
      <c r="A311" s="203"/>
      <c r="B311" s="13">
        <v>2030</v>
      </c>
      <c r="C311" s="60">
        <v>20</v>
      </c>
      <c r="D311" s="5" t="s">
        <v>838</v>
      </c>
      <c r="E311" s="14" t="str">
        <f>Sources!$A$133</f>
        <v>DEA2022</v>
      </c>
    </row>
    <row r="312" spans="1:5" x14ac:dyDescent="0.3">
      <c r="A312" s="203"/>
      <c r="B312" s="13">
        <v>2040</v>
      </c>
      <c r="C312" s="60">
        <v>15</v>
      </c>
      <c r="D312" s="5" t="s">
        <v>838</v>
      </c>
      <c r="E312" s="14" t="str">
        <f>Sources!$A$133</f>
        <v>DEA2022</v>
      </c>
    </row>
    <row r="313" spans="1:5" x14ac:dyDescent="0.3">
      <c r="A313" s="203"/>
      <c r="B313" s="13" t="s">
        <v>2235</v>
      </c>
      <c r="C313" s="60">
        <v>10</v>
      </c>
      <c r="D313" s="5" t="s">
        <v>838</v>
      </c>
      <c r="E313" s="14" t="str">
        <f>Sources!$A$133</f>
        <v>DEA2022</v>
      </c>
    </row>
    <row r="314" spans="1:5" x14ac:dyDescent="0.3">
      <c r="A314" s="203"/>
      <c r="B314" s="13" t="s">
        <v>2236</v>
      </c>
      <c r="C314" s="60">
        <v>10</v>
      </c>
      <c r="D314" s="5" t="s">
        <v>838</v>
      </c>
      <c r="E314" s="14" t="str">
        <f>Sources!$A$133</f>
        <v>DEA2022</v>
      </c>
    </row>
    <row r="315" spans="1:5" x14ac:dyDescent="0.3">
      <c r="A315" s="203"/>
      <c r="B315" s="13" t="s">
        <v>2237</v>
      </c>
      <c r="C315" s="60">
        <v>20</v>
      </c>
      <c r="D315" s="5" t="s">
        <v>838</v>
      </c>
      <c r="E315" s="14" t="str">
        <f>Sources!$A$133</f>
        <v>DEA2022</v>
      </c>
    </row>
    <row r="316" spans="1:5" x14ac:dyDescent="0.3">
      <c r="A316" s="203"/>
      <c r="B316"/>
      <c r="E316"/>
    </row>
    <row r="318" spans="1:5" x14ac:dyDescent="0.3">
      <c r="A318" s="203" t="s">
        <v>605</v>
      </c>
      <c r="B318" s="13" t="s">
        <v>1894</v>
      </c>
      <c r="C318" s="126">
        <v>2.7317462068965517</v>
      </c>
      <c r="D318" s="14" t="s">
        <v>1895</v>
      </c>
      <c r="E318" s="14" t="s">
        <v>1896</v>
      </c>
    </row>
    <row r="319" spans="1:5" x14ac:dyDescent="0.3">
      <c r="A319" s="203"/>
      <c r="B319" s="13">
        <v>2030</v>
      </c>
      <c r="C319" s="126">
        <f>C318*0.63333</f>
        <v>1.7300968252137929</v>
      </c>
      <c r="D319" s="14" t="s">
        <v>1895</v>
      </c>
      <c r="E319" s="14" t="s">
        <v>1896</v>
      </c>
    </row>
    <row r="320" spans="1:5" x14ac:dyDescent="0.3">
      <c r="A320" s="203"/>
      <c r="B320" s="13">
        <v>2040</v>
      </c>
      <c r="C320" s="126">
        <f>C318*0.31666</f>
        <v>0.86503475387586204</v>
      </c>
      <c r="D320" s="14" t="s">
        <v>1895</v>
      </c>
      <c r="E320" s="14" t="s">
        <v>1896</v>
      </c>
    </row>
    <row r="321" spans="1:9" x14ac:dyDescent="0.3">
      <c r="A321" s="203"/>
      <c r="B321" s="13">
        <v>2050</v>
      </c>
      <c r="C321" s="126">
        <f>C318*0.05</f>
        <v>0.1365873103448276</v>
      </c>
      <c r="D321" s="14" t="s">
        <v>1895</v>
      </c>
      <c r="E321" s="14" t="s">
        <v>1896</v>
      </c>
    </row>
    <row r="322" spans="1:9" ht="15.6" customHeight="1" x14ac:dyDescent="0.3">
      <c r="A322"/>
      <c r="C322" s="126"/>
      <c r="D322" s="14"/>
    </row>
    <row r="323" spans="1:9" s="73" customFormat="1" x14ac:dyDescent="0.3">
      <c r="A323" s="32" t="s">
        <v>826</v>
      </c>
      <c r="B323" s="63"/>
      <c r="D323" s="63"/>
      <c r="E323" s="121"/>
      <c r="F323" s="63"/>
      <c r="G323" s="63"/>
      <c r="H323" s="63"/>
    </row>
    <row r="324" spans="1:9" ht="15.6" customHeight="1" x14ac:dyDescent="0.3">
      <c r="A324" s="17" t="s">
        <v>85</v>
      </c>
      <c r="B324" s="17" t="s">
        <v>52</v>
      </c>
      <c r="C324" s="17" t="s">
        <v>184</v>
      </c>
      <c r="D324" s="18" t="s">
        <v>106</v>
      </c>
      <c r="E324" s="49" t="s">
        <v>183</v>
      </c>
      <c r="F324" s="17">
        <v>2030</v>
      </c>
      <c r="G324" s="17">
        <v>2040</v>
      </c>
      <c r="H324" s="17">
        <v>2050</v>
      </c>
      <c r="I324" s="13"/>
    </row>
    <row r="325" spans="1:9" ht="15.6" customHeight="1" x14ac:dyDescent="0.3">
      <c r="A325" s="13" t="s">
        <v>107</v>
      </c>
      <c r="B325" s="13" t="s">
        <v>202</v>
      </c>
      <c r="C325" s="22">
        <v>0</v>
      </c>
      <c r="D325" s="22">
        <v>0</v>
      </c>
      <c r="E325" s="78">
        <v>0</v>
      </c>
      <c r="F325" s="78">
        <v>0</v>
      </c>
      <c r="G325" s="78">
        <v>0</v>
      </c>
      <c r="H325" s="78">
        <v>0</v>
      </c>
      <c r="I325" s="13"/>
    </row>
    <row r="326" spans="1:9" ht="15.6" customHeight="1" x14ac:dyDescent="0.3">
      <c r="A326" s="13" t="s">
        <v>417</v>
      </c>
      <c r="B326" s="13" t="s">
        <v>202</v>
      </c>
      <c r="C326" s="22">
        <v>1</v>
      </c>
      <c r="D326" s="22">
        <v>1</v>
      </c>
      <c r="E326" s="78">
        <v>1</v>
      </c>
      <c r="F326" s="78">
        <v>1</v>
      </c>
      <c r="G326" s="78">
        <v>1</v>
      </c>
      <c r="H326" s="78">
        <v>1</v>
      </c>
      <c r="I326" s="13"/>
    </row>
    <row r="327" spans="1:9" ht="15.6" customHeight="1" x14ac:dyDescent="0.3">
      <c r="A327" s="13" t="s">
        <v>354</v>
      </c>
      <c r="B327" s="13" t="s">
        <v>419</v>
      </c>
      <c r="C327" s="22">
        <v>1</v>
      </c>
      <c r="D327" s="22">
        <v>1</v>
      </c>
      <c r="E327" s="78">
        <v>1</v>
      </c>
      <c r="F327" s="78">
        <v>1</v>
      </c>
      <c r="G327" s="78">
        <v>1</v>
      </c>
      <c r="H327" s="78">
        <v>1</v>
      </c>
      <c r="I327" s="13"/>
    </row>
    <row r="328" spans="1:9" ht="15.6" customHeight="1" x14ac:dyDescent="0.3">
      <c r="A328" s="13" t="s">
        <v>355</v>
      </c>
      <c r="B328" s="13" t="s">
        <v>419</v>
      </c>
      <c r="C328" s="22">
        <v>1</v>
      </c>
      <c r="D328" s="22">
        <v>1</v>
      </c>
      <c r="E328" s="78">
        <v>1</v>
      </c>
      <c r="F328" s="78">
        <v>1</v>
      </c>
      <c r="G328" s="78">
        <v>1</v>
      </c>
      <c r="H328" s="78">
        <v>1</v>
      </c>
      <c r="I328" s="13"/>
    </row>
    <row r="329" spans="1:9" ht="15.6" customHeight="1" x14ac:dyDescent="0.3">
      <c r="A329" s="13" t="s">
        <v>921</v>
      </c>
      <c r="B329" s="13" t="s">
        <v>123</v>
      </c>
      <c r="C329">
        <f>C330*0.14</f>
        <v>10.220000000000001</v>
      </c>
      <c r="D329">
        <f>D330*0.14</f>
        <v>8.4</v>
      </c>
      <c r="E329">
        <f t="shared" ref="E329:H329" si="10">E330*0.14</f>
        <v>7.8400000000000007</v>
      </c>
      <c r="F329">
        <f t="shared" si="10"/>
        <v>7.1890000000000001</v>
      </c>
      <c r="G329">
        <f t="shared" si="10"/>
        <v>6.9370000000000003</v>
      </c>
      <c r="H329">
        <f t="shared" si="10"/>
        <v>6.6850000000000005</v>
      </c>
      <c r="I329" s="13"/>
    </row>
    <row r="330" spans="1:9" ht="15.6" customHeight="1" x14ac:dyDescent="0.3">
      <c r="A330" s="13" t="s">
        <v>111</v>
      </c>
      <c r="B330" s="13" t="s">
        <v>123</v>
      </c>
      <c r="C330">
        <v>73</v>
      </c>
      <c r="D330" s="14">
        <v>60</v>
      </c>
      <c r="E330" s="14">
        <v>56</v>
      </c>
      <c r="F330" s="5">
        <f>(C358+C359)/2</f>
        <v>51.349999999999994</v>
      </c>
      <c r="G330" s="5">
        <f>(F330+H330)/2</f>
        <v>49.55</v>
      </c>
      <c r="H330" s="5">
        <f>(C360+C361)/2</f>
        <v>47.75</v>
      </c>
      <c r="I330" s="13"/>
    </row>
    <row r="331" spans="1:9" ht="15.6" customHeight="1" x14ac:dyDescent="0.3">
      <c r="A331" s="13" t="s">
        <v>205</v>
      </c>
      <c r="B331" s="13" t="s">
        <v>206</v>
      </c>
      <c r="C331">
        <v>4.4999999999999998E-2</v>
      </c>
      <c r="D331">
        <v>5.2999999999999999E-2</v>
      </c>
      <c r="E331" s="5">
        <v>0.06</v>
      </c>
      <c r="F331" s="5">
        <v>0.06</v>
      </c>
      <c r="G331" s="5">
        <v>0.06</v>
      </c>
      <c r="H331" s="5">
        <v>0.06</v>
      </c>
      <c r="I331" s="13"/>
    </row>
    <row r="332" spans="1:9" ht="15.6" customHeight="1" x14ac:dyDescent="0.3">
      <c r="A332" s="13" t="s">
        <v>209</v>
      </c>
      <c r="B332" s="13" t="s">
        <v>210</v>
      </c>
      <c r="C332">
        <v>7.76</v>
      </c>
      <c r="D332">
        <v>7.76</v>
      </c>
      <c r="E332" s="5">
        <v>7.76</v>
      </c>
      <c r="F332" s="5">
        <v>7.76</v>
      </c>
      <c r="G332" s="5">
        <v>7.76</v>
      </c>
      <c r="H332" s="5">
        <v>7.76</v>
      </c>
      <c r="I332" s="13"/>
    </row>
    <row r="333" spans="1:9" ht="15.6" customHeight="1" x14ac:dyDescent="0.3">
      <c r="A333" s="13" t="s">
        <v>1779</v>
      </c>
      <c r="B333" s="13" t="s">
        <v>200</v>
      </c>
      <c r="C333" s="5">
        <f>1665*C330</f>
        <v>121545</v>
      </c>
      <c r="D333">
        <f>1000*D330</f>
        <v>60000</v>
      </c>
      <c r="E333" s="14">
        <f xml:space="preserve"> 800*E330</f>
        <v>44800</v>
      </c>
      <c r="F333" s="141">
        <f>((C369+C370)/2)*F330</f>
        <v>49291.231359942853</v>
      </c>
      <c r="G333" s="141">
        <f>(F333+H333)/2</f>
        <v>36370.992945798731</v>
      </c>
      <c r="H333" s="141">
        <f>((C371+C372)/2)*H330</f>
        <v>23450.754531654613</v>
      </c>
      <c r="I333" s="13"/>
    </row>
    <row r="334" spans="1:9" ht="15.6" customHeight="1" x14ac:dyDescent="0.3">
      <c r="A334" s="13" t="s">
        <v>1750</v>
      </c>
      <c r="B334" s="13" t="s">
        <v>241</v>
      </c>
      <c r="C334">
        <f>C333*0.03</f>
        <v>3646.35</v>
      </c>
      <c r="D334" s="5">
        <f>D333*0.02</f>
        <v>1200</v>
      </c>
      <c r="E334" s="14">
        <f>E333*0.02</f>
        <v>896</v>
      </c>
      <c r="F334" s="142">
        <f t="shared" ref="F334:H334" si="11">F333*0.02</f>
        <v>985.82462719885712</v>
      </c>
      <c r="G334" s="142">
        <f t="shared" si="11"/>
        <v>727.4198589159746</v>
      </c>
      <c r="H334" s="142">
        <f t="shared" si="11"/>
        <v>469.01509063309226</v>
      </c>
      <c r="I334" s="13"/>
    </row>
    <row r="335" spans="1:9" ht="15.6" customHeight="1" x14ac:dyDescent="0.3">
      <c r="A335" s="13" t="s">
        <v>1751</v>
      </c>
      <c r="B335" s="13" t="s">
        <v>200</v>
      </c>
      <c r="C335">
        <v>0</v>
      </c>
      <c r="D335" s="5">
        <v>0</v>
      </c>
      <c r="E335" s="14">
        <v>0</v>
      </c>
      <c r="F335" s="14">
        <v>0</v>
      </c>
      <c r="G335" s="14">
        <v>0</v>
      </c>
      <c r="H335" s="14">
        <v>0</v>
      </c>
      <c r="I335" s="13"/>
    </row>
    <row r="336" spans="1:9" ht="15.6" customHeight="1" x14ac:dyDescent="0.3">
      <c r="A336" s="13" t="s">
        <v>110</v>
      </c>
      <c r="B336" s="13" t="s">
        <v>201</v>
      </c>
      <c r="C336">
        <v>7.5</v>
      </c>
      <c r="D336" s="5">
        <v>10</v>
      </c>
      <c r="E336" s="14">
        <v>12.5</v>
      </c>
      <c r="F336" s="5">
        <v>10</v>
      </c>
      <c r="G336" s="5">
        <v>12.5</v>
      </c>
      <c r="H336" s="5">
        <v>15</v>
      </c>
      <c r="I336" s="13"/>
    </row>
    <row r="337" spans="1:9" ht="15.6" customHeight="1" x14ac:dyDescent="0.3">
      <c r="A337" s="13" t="s">
        <v>1642</v>
      </c>
      <c r="B337" s="13" t="s">
        <v>1654</v>
      </c>
      <c r="D337" s="5"/>
      <c r="F337" s="5"/>
      <c r="G337" s="5"/>
      <c r="H337" s="5"/>
      <c r="I337" s="13"/>
    </row>
    <row r="338" spans="1:9" ht="15.6" customHeight="1" x14ac:dyDescent="0.3">
      <c r="A338" s="13" t="s">
        <v>1651</v>
      </c>
      <c r="B338" s="13" t="s">
        <v>1656</v>
      </c>
      <c r="C338" s="126">
        <f>D338</f>
        <v>4.2999999999999997E-2</v>
      </c>
      <c r="D338" s="163">
        <f>$C$215</f>
        <v>4.2999999999999997E-2</v>
      </c>
      <c r="E338" s="165">
        <f>D338</f>
        <v>4.2999999999999997E-2</v>
      </c>
      <c r="F338" s="126">
        <f>$C$216</f>
        <v>2.9383333333333352E-2</v>
      </c>
      <c r="G338" s="126">
        <f>$C$217</f>
        <v>1.5766666666666679E-2</v>
      </c>
      <c r="H338" s="126">
        <f>$C$218</f>
        <v>2.15E-3</v>
      </c>
      <c r="I338" s="13"/>
    </row>
    <row r="339" spans="1:9" ht="15.6" customHeight="1" x14ac:dyDescent="0.3">
      <c r="D339" s="5"/>
    </row>
    <row r="340" spans="1:9" s="67" customFormat="1" x14ac:dyDescent="0.3">
      <c r="A340" s="68" t="s">
        <v>828</v>
      </c>
      <c r="B340" s="25"/>
      <c r="D340" s="25"/>
      <c r="E340" s="93"/>
      <c r="F340" s="25"/>
      <c r="G340" s="25"/>
      <c r="H340" s="25"/>
    </row>
    <row r="341" spans="1:9" ht="15.6" customHeight="1" x14ac:dyDescent="0.3">
      <c r="A341" s="17" t="s">
        <v>85</v>
      </c>
      <c r="B341" s="17" t="s">
        <v>82</v>
      </c>
      <c r="C341" s="17" t="s">
        <v>49</v>
      </c>
      <c r="D341" s="17" t="s">
        <v>52</v>
      </c>
      <c r="E341" s="95" t="s">
        <v>58</v>
      </c>
      <c r="F341" s="15" t="s">
        <v>93</v>
      </c>
      <c r="G341" s="15" t="s">
        <v>80</v>
      </c>
      <c r="H341" s="17" t="s">
        <v>59</v>
      </c>
    </row>
    <row r="342" spans="1:9" x14ac:dyDescent="0.3">
      <c r="A342" s="203" t="s">
        <v>107</v>
      </c>
      <c r="B342" s="13" t="s">
        <v>580</v>
      </c>
      <c r="C342">
        <v>0</v>
      </c>
      <c r="D342" t="s">
        <v>185</v>
      </c>
      <c r="E342" s="14" t="str">
        <f>Sources!A50</f>
        <v>IEA2019</v>
      </c>
      <c r="F342" s="16"/>
    </row>
    <row r="343" spans="1:9" x14ac:dyDescent="0.3">
      <c r="A343" s="203"/>
      <c r="C343">
        <v>0</v>
      </c>
      <c r="D343" t="s">
        <v>185</v>
      </c>
      <c r="E343" s="14" t="str">
        <f>Sources!A26</f>
        <v>Buttler2018</v>
      </c>
      <c r="F343" s="16"/>
    </row>
    <row r="344" spans="1:9" x14ac:dyDescent="0.3">
      <c r="F344" s="16"/>
    </row>
    <row r="345" spans="1:9" x14ac:dyDescent="0.3">
      <c r="A345" s="203" t="s">
        <v>417</v>
      </c>
      <c r="B345" s="13" t="s">
        <v>580</v>
      </c>
      <c r="C345">
        <v>160</v>
      </c>
      <c r="D345" t="s">
        <v>185</v>
      </c>
      <c r="E345" s="14" t="str">
        <f>Sources!A50</f>
        <v>IEA2019</v>
      </c>
      <c r="F345" s="16"/>
    </row>
    <row r="346" spans="1:9" x14ac:dyDescent="0.3">
      <c r="A346" s="203"/>
      <c r="C346">
        <v>100</v>
      </c>
      <c r="D346" t="s">
        <v>185</v>
      </c>
      <c r="E346" s="14" t="str">
        <f>Sources!A26</f>
        <v>Buttler2018</v>
      </c>
      <c r="F346" s="16"/>
    </row>
    <row r="347" spans="1:9" x14ac:dyDescent="0.3">
      <c r="F347" s="16"/>
    </row>
    <row r="348" spans="1:9" x14ac:dyDescent="0.3">
      <c r="A348" s="203" t="s">
        <v>186</v>
      </c>
      <c r="C348">
        <v>30</v>
      </c>
      <c r="D348" s="5" t="s">
        <v>587</v>
      </c>
      <c r="E348" s="14" t="str">
        <f>Sources!A50</f>
        <v>IEA2019</v>
      </c>
      <c r="F348" s="16"/>
    </row>
    <row r="349" spans="1:9" x14ac:dyDescent="0.3">
      <c r="A349" s="203"/>
      <c r="C349" s="82">
        <v>80</v>
      </c>
      <c r="D349" s="5" t="s">
        <v>587</v>
      </c>
      <c r="E349" s="14" t="str">
        <f>Sources!A50</f>
        <v>IEA2019</v>
      </c>
      <c r="F349" s="16"/>
    </row>
    <row r="350" spans="1:9" x14ac:dyDescent="0.3">
      <c r="A350" s="8"/>
      <c r="C350" s="82"/>
      <c r="D350" s="5"/>
      <c r="F350" s="16"/>
    </row>
    <row r="351" spans="1:9" x14ac:dyDescent="0.3">
      <c r="A351" s="203" t="s">
        <v>876</v>
      </c>
      <c r="B351" s="13" t="s">
        <v>877</v>
      </c>
      <c r="C351" s="82"/>
      <c r="D351" s="5"/>
      <c r="F351" s="16"/>
    </row>
    <row r="352" spans="1:9" x14ac:dyDescent="0.3">
      <c r="A352" s="203"/>
      <c r="B352" s="13" t="s">
        <v>878</v>
      </c>
      <c r="C352" s="82"/>
      <c r="D352" s="5"/>
      <c r="F352" s="16"/>
    </row>
    <row r="353" spans="1:8" x14ac:dyDescent="0.3">
      <c r="F353" s="16"/>
    </row>
    <row r="354" spans="1:8" x14ac:dyDescent="0.3">
      <c r="A354" s="203" t="s">
        <v>111</v>
      </c>
      <c r="B354" s="13" t="s">
        <v>393</v>
      </c>
      <c r="C354">
        <v>57.9</v>
      </c>
      <c r="D354" s="5" t="s">
        <v>2</v>
      </c>
      <c r="E354" s="14" t="str">
        <f>Sources!A45</f>
        <v>Belotti2017</v>
      </c>
    </row>
    <row r="355" spans="1:8" s="45" customFormat="1" x14ac:dyDescent="0.3">
      <c r="A355" s="203"/>
      <c r="B355" s="43" t="s">
        <v>830</v>
      </c>
      <c r="C355" s="45">
        <v>73</v>
      </c>
      <c r="D355" s="53" t="s">
        <v>2</v>
      </c>
      <c r="E355" s="44" t="str">
        <f>Sources!A26</f>
        <v>Buttler2018</v>
      </c>
      <c r="F355" s="43"/>
      <c r="G355" s="43"/>
      <c r="H355" s="43"/>
    </row>
    <row r="356" spans="1:8" x14ac:dyDescent="0.3">
      <c r="A356" s="203"/>
      <c r="B356" s="43" t="s">
        <v>831</v>
      </c>
      <c r="C356" s="45">
        <v>56</v>
      </c>
      <c r="D356" s="53" t="s">
        <v>2</v>
      </c>
      <c r="E356" s="44" t="str">
        <f>Sources!A26</f>
        <v>Buttler2018</v>
      </c>
    </row>
    <row r="357" spans="1:8" s="45" customFormat="1" x14ac:dyDescent="0.3">
      <c r="A357" s="203"/>
      <c r="B357" s="43" t="s">
        <v>832</v>
      </c>
      <c r="C357" s="45">
        <v>60</v>
      </c>
      <c r="D357" s="53" t="s">
        <v>2</v>
      </c>
      <c r="E357" s="44" t="str">
        <f>Sources!A50</f>
        <v>IEA2019</v>
      </c>
      <c r="F357" s="43"/>
      <c r="G357" s="43"/>
      <c r="H357" s="43"/>
    </row>
    <row r="358" spans="1:8" x14ac:dyDescent="0.3">
      <c r="A358" s="203"/>
      <c r="B358" s="13" t="s">
        <v>596</v>
      </c>
      <c r="C358">
        <v>53.3</v>
      </c>
      <c r="D358" s="5" t="s">
        <v>2</v>
      </c>
      <c r="E358" s="14" t="str">
        <f>Sources!A50</f>
        <v>IEA2019</v>
      </c>
      <c r="H358" s="13" t="s">
        <v>580</v>
      </c>
    </row>
    <row r="359" spans="1:8" x14ac:dyDescent="0.3">
      <c r="A359" s="203"/>
      <c r="B359" s="13" t="s">
        <v>597</v>
      </c>
      <c r="C359">
        <v>49.4</v>
      </c>
      <c r="D359" s="5" t="s">
        <v>2</v>
      </c>
      <c r="E359" s="14" t="str">
        <f>Sources!A50</f>
        <v>IEA2019</v>
      </c>
      <c r="H359" s="13" t="s">
        <v>580</v>
      </c>
    </row>
    <row r="360" spans="1:8" x14ac:dyDescent="0.3">
      <c r="A360" s="203"/>
      <c r="B360" s="13" t="s">
        <v>598</v>
      </c>
      <c r="C360">
        <v>50.1</v>
      </c>
      <c r="D360" s="5" t="s">
        <v>2</v>
      </c>
      <c r="E360" s="14" t="str">
        <f>Sources!A50</f>
        <v>IEA2019</v>
      </c>
      <c r="H360" s="13" t="s">
        <v>580</v>
      </c>
    </row>
    <row r="361" spans="1:8" x14ac:dyDescent="0.3">
      <c r="A361" s="203"/>
      <c r="B361" s="13" t="s">
        <v>599</v>
      </c>
      <c r="C361">
        <v>45.4</v>
      </c>
      <c r="D361" s="5" t="s">
        <v>2</v>
      </c>
      <c r="E361" s="14" t="str">
        <f>Sources!A50</f>
        <v>IEA2019</v>
      </c>
      <c r="H361" s="13" t="s">
        <v>580</v>
      </c>
    </row>
    <row r="362" spans="1:8" x14ac:dyDescent="0.3">
      <c r="D362" s="5"/>
    </row>
    <row r="363" spans="1:8" x14ac:dyDescent="0.3">
      <c r="A363" s="203" t="s">
        <v>1779</v>
      </c>
      <c r="B363" s="13">
        <v>2020</v>
      </c>
      <c r="C363">
        <v>1000</v>
      </c>
      <c r="D363" s="5" t="s">
        <v>192</v>
      </c>
      <c r="E363" s="14" t="str">
        <f>Sources!A62</f>
        <v>Andika2018</v>
      </c>
    </row>
    <row r="364" spans="1:8" x14ac:dyDescent="0.3">
      <c r="A364" s="203"/>
      <c r="B364" s="13" t="s">
        <v>1448</v>
      </c>
      <c r="C364">
        <f>1100*DE2019_*(CEPCI_ref/CEPCI2019)</f>
        <v>982.23055629966962</v>
      </c>
      <c r="D364" s="5" t="s">
        <v>192</v>
      </c>
      <c r="E364" s="14" t="str">
        <f>Sources!A50</f>
        <v>IEA2019</v>
      </c>
    </row>
    <row r="365" spans="1:8" x14ac:dyDescent="0.3">
      <c r="A365" s="203"/>
      <c r="B365" s="13" t="s">
        <v>1449</v>
      </c>
      <c r="C365">
        <f>1800*DE2019_*(CEPCI_ref/CEPCI2019)</f>
        <v>1607.2863648540049</v>
      </c>
      <c r="D365" s="5" t="s">
        <v>192</v>
      </c>
      <c r="E365" s="14" t="str">
        <f>Sources!A50</f>
        <v>IEA2019</v>
      </c>
    </row>
    <row r="366" spans="1:8" x14ac:dyDescent="0.3">
      <c r="A366" s="203"/>
      <c r="B366" s="13" t="s">
        <v>846</v>
      </c>
      <c r="C366">
        <v>1400</v>
      </c>
      <c r="D366" s="5" t="s">
        <v>192</v>
      </c>
      <c r="E366" s="14" t="str">
        <f>Sources!A26</f>
        <v>Buttler2018</v>
      </c>
    </row>
    <row r="367" spans="1:8" x14ac:dyDescent="0.3">
      <c r="A367" s="203"/>
      <c r="B367" s="13" t="s">
        <v>847</v>
      </c>
      <c r="C367">
        <v>2100</v>
      </c>
      <c r="D367" s="5" t="s">
        <v>192</v>
      </c>
      <c r="E367" s="14" t="str">
        <f>Sources!A26</f>
        <v>Buttler2018</v>
      </c>
    </row>
    <row r="368" spans="1:8" x14ac:dyDescent="0.3">
      <c r="A368" s="203"/>
      <c r="B368" s="13">
        <v>2020</v>
      </c>
      <c r="C368">
        <v>800</v>
      </c>
      <c r="D368" s="5" t="s">
        <v>192</v>
      </c>
      <c r="E368" s="14" t="str">
        <f>Sources!A55</f>
        <v>Hank2018</v>
      </c>
    </row>
    <row r="369" spans="1:8" x14ac:dyDescent="0.3">
      <c r="A369" s="203"/>
      <c r="B369" s="13" t="s">
        <v>1450</v>
      </c>
      <c r="C369">
        <f>650*DE2019_*(CEPCI_ref/CEPCI2019)</f>
        <v>580.40896508616845</v>
      </c>
      <c r="D369" s="5" t="s">
        <v>192</v>
      </c>
      <c r="E369" s="14" t="str">
        <f>Sources!A50</f>
        <v>IEA2019</v>
      </c>
    </row>
    <row r="370" spans="1:8" x14ac:dyDescent="0.3">
      <c r="A370" s="203"/>
      <c r="B370" s="13" t="s">
        <v>1451</v>
      </c>
      <c r="C370">
        <f>1500*DE2019_*(CEPCI_ref/CEPCI2019)</f>
        <v>1339.4053040450042</v>
      </c>
      <c r="D370" s="5" t="s">
        <v>192</v>
      </c>
      <c r="E370" s="14" t="str">
        <f>Sources!A50</f>
        <v>IEA2019</v>
      </c>
    </row>
    <row r="371" spans="1:8" x14ac:dyDescent="0.3">
      <c r="A371" s="203"/>
      <c r="B371" s="13" t="s">
        <v>1452</v>
      </c>
      <c r="C371">
        <f>200*DE2019_*(CEPCI_ref/CEPCI2019)</f>
        <v>178.5873738726672</v>
      </c>
      <c r="D371" s="5" t="s">
        <v>192</v>
      </c>
      <c r="E371" s="14" t="str">
        <f>Sources!A50</f>
        <v>IEA2019</v>
      </c>
    </row>
    <row r="372" spans="1:8" x14ac:dyDescent="0.3">
      <c r="A372" s="203"/>
      <c r="B372" s="13" t="s">
        <v>1453</v>
      </c>
      <c r="C372">
        <f>900*DE2019_*(CEPCI_ref/CEPCI2019)</f>
        <v>803.64318242700244</v>
      </c>
      <c r="D372" s="5" t="s">
        <v>192</v>
      </c>
      <c r="E372" s="14" t="str">
        <f>Sources!A50</f>
        <v>IEA2019</v>
      </c>
    </row>
    <row r="373" spans="1:8" x14ac:dyDescent="0.3">
      <c r="A373" s="8"/>
      <c r="D373" s="5"/>
    </row>
    <row r="374" spans="1:8" x14ac:dyDescent="0.3">
      <c r="A374" s="203" t="s">
        <v>1750</v>
      </c>
      <c r="B374" s="13" t="s">
        <v>601</v>
      </c>
      <c r="C374" s="22">
        <v>0.03</v>
      </c>
      <c r="D374" s="5" t="s">
        <v>600</v>
      </c>
      <c r="E374" s="14" t="str">
        <f>Sources!A26</f>
        <v>Buttler2018</v>
      </c>
    </row>
    <row r="375" spans="1:8" x14ac:dyDescent="0.3">
      <c r="A375" s="203"/>
      <c r="B375" s="13" t="s">
        <v>712</v>
      </c>
      <c r="C375" s="22">
        <v>0.02</v>
      </c>
      <c r="D375" s="5" t="s">
        <v>600</v>
      </c>
      <c r="E375" s="14" t="str">
        <f>Sources!A55</f>
        <v>Hank2018</v>
      </c>
    </row>
    <row r="376" spans="1:8" x14ac:dyDescent="0.3">
      <c r="A376" s="203"/>
      <c r="B376" s="13" t="s">
        <v>602</v>
      </c>
      <c r="C376" s="22">
        <v>0.05</v>
      </c>
      <c r="D376" s="5" t="s">
        <v>600</v>
      </c>
      <c r="E376" s="14" t="str">
        <f>Sources!A26</f>
        <v>Buttler2018</v>
      </c>
    </row>
    <row r="377" spans="1:8" x14ac:dyDescent="0.3">
      <c r="A377" s="8"/>
      <c r="D377" s="5"/>
    </row>
    <row r="378" spans="1:8" x14ac:dyDescent="0.3">
      <c r="A378" s="8"/>
      <c r="D378" s="5"/>
    </row>
    <row r="379" spans="1:8" x14ac:dyDescent="0.3">
      <c r="A379" s="203" t="s">
        <v>41</v>
      </c>
      <c r="B379" s="13" t="s">
        <v>886</v>
      </c>
      <c r="C379">
        <v>50</v>
      </c>
      <c r="D379" s="5" t="s">
        <v>197</v>
      </c>
      <c r="E379" s="14" t="str">
        <f>Sources!A55</f>
        <v>Hank2018</v>
      </c>
    </row>
    <row r="380" spans="1:8" s="45" customFormat="1" x14ac:dyDescent="0.3">
      <c r="A380" s="203"/>
      <c r="B380" s="43" t="s">
        <v>887</v>
      </c>
      <c r="C380" s="45">
        <v>60</v>
      </c>
      <c r="D380" s="53" t="s">
        <v>197</v>
      </c>
      <c r="E380" s="44" t="str">
        <f>Sources!A26</f>
        <v>Buttler2018</v>
      </c>
      <c r="F380" s="43"/>
      <c r="G380" s="43"/>
      <c r="H380" s="43"/>
    </row>
    <row r="381" spans="1:8" s="45" customFormat="1" x14ac:dyDescent="0.3">
      <c r="A381" s="203"/>
      <c r="B381" s="43" t="s">
        <v>888</v>
      </c>
      <c r="C381" s="45">
        <v>100</v>
      </c>
      <c r="D381" s="53" t="s">
        <v>197</v>
      </c>
      <c r="E381" s="44" t="str">
        <f>Sources!A26</f>
        <v>Buttler2018</v>
      </c>
      <c r="F381" s="43"/>
      <c r="G381" s="43"/>
      <c r="H381" s="43"/>
    </row>
    <row r="382" spans="1:8" x14ac:dyDescent="0.3">
      <c r="A382" s="203"/>
      <c r="B382" s="13" t="s">
        <v>889</v>
      </c>
      <c r="C382">
        <v>30</v>
      </c>
      <c r="D382" s="5" t="s">
        <v>197</v>
      </c>
      <c r="E382" s="14" t="str">
        <f>Sources!A50</f>
        <v>IEA2019</v>
      </c>
    </row>
    <row r="383" spans="1:8" x14ac:dyDescent="0.3">
      <c r="A383" s="203"/>
      <c r="B383" s="13" t="s">
        <v>890</v>
      </c>
      <c r="C383">
        <v>90</v>
      </c>
      <c r="D383" s="5" t="s">
        <v>197</v>
      </c>
      <c r="E383" s="14" t="str">
        <f>Sources!A50</f>
        <v>IEA2019</v>
      </c>
    </row>
    <row r="384" spans="1:8" x14ac:dyDescent="0.3">
      <c r="A384" s="203"/>
      <c r="B384" s="13" t="s">
        <v>859</v>
      </c>
      <c r="C384">
        <v>60</v>
      </c>
      <c r="D384" s="5" t="s">
        <v>197</v>
      </c>
      <c r="E384" s="14" t="str">
        <f>Sources!A50</f>
        <v>IEA2019</v>
      </c>
    </row>
    <row r="385" spans="1:5" x14ac:dyDescent="0.3">
      <c r="A385" s="203"/>
      <c r="B385" s="13" t="s">
        <v>860</v>
      </c>
      <c r="C385">
        <v>90</v>
      </c>
      <c r="D385" s="5" t="s">
        <v>197</v>
      </c>
      <c r="E385" s="14" t="str">
        <f>Sources!A50</f>
        <v>IEA2019</v>
      </c>
    </row>
    <row r="386" spans="1:5" x14ac:dyDescent="0.3">
      <c r="A386" s="203"/>
      <c r="B386" s="13" t="s">
        <v>861</v>
      </c>
      <c r="C386">
        <v>100</v>
      </c>
      <c r="D386" s="5" t="s">
        <v>197</v>
      </c>
      <c r="E386" s="14" t="str">
        <f>Sources!A50</f>
        <v>IEA2019</v>
      </c>
    </row>
    <row r="387" spans="1:5" x14ac:dyDescent="0.3">
      <c r="A387" s="203"/>
      <c r="B387" s="13" t="s">
        <v>862</v>
      </c>
      <c r="C387">
        <v>150</v>
      </c>
      <c r="D387" s="5" t="s">
        <v>197</v>
      </c>
      <c r="E387" s="14" t="str">
        <f>Sources!A50</f>
        <v>IEA2019</v>
      </c>
    </row>
    <row r="388" spans="1:5" x14ac:dyDescent="0.3">
      <c r="A388" s="203"/>
      <c r="B388" s="13" t="s">
        <v>865</v>
      </c>
      <c r="C388">
        <v>15</v>
      </c>
      <c r="D388" s="5" t="s">
        <v>132</v>
      </c>
      <c r="E388" s="14" t="str">
        <f>Sources!A63</f>
        <v>DEA2020</v>
      </c>
    </row>
    <row r="389" spans="1:5" x14ac:dyDescent="0.3">
      <c r="A389" s="8"/>
      <c r="D389" s="5"/>
    </row>
    <row r="390" spans="1:5" x14ac:dyDescent="0.3">
      <c r="A390" s="8" t="s">
        <v>711</v>
      </c>
      <c r="C390" s="22">
        <v>0.02</v>
      </c>
      <c r="D390" s="5" t="s">
        <v>195</v>
      </c>
      <c r="E390" s="14" t="str">
        <f>Sources!A55</f>
        <v>Hank2018</v>
      </c>
    </row>
    <row r="391" spans="1:5" x14ac:dyDescent="0.3">
      <c r="A391" s="8"/>
      <c r="D391" s="5"/>
    </row>
    <row r="392" spans="1:5" x14ac:dyDescent="0.3">
      <c r="A392" s="203" t="s">
        <v>709</v>
      </c>
      <c r="B392" s="13" t="s">
        <v>710</v>
      </c>
      <c r="C392">
        <v>66</v>
      </c>
      <c r="D392" s="5" t="s">
        <v>192</v>
      </c>
      <c r="E392" s="14" t="str">
        <f>Sources!A55</f>
        <v>Hank2018</v>
      </c>
    </row>
    <row r="393" spans="1:5" ht="15.6" customHeight="1" x14ac:dyDescent="0.3">
      <c r="A393" s="203"/>
      <c r="C393" s="4"/>
      <c r="D393" s="114"/>
      <c r="E393" s="23"/>
    </row>
  </sheetData>
  <mergeCells count="34">
    <mergeCell ref="A392:A393"/>
    <mergeCell ref="A379:A388"/>
    <mergeCell ref="A342:A343"/>
    <mergeCell ref="A345:A346"/>
    <mergeCell ref="A226:A227"/>
    <mergeCell ref="A374:A376"/>
    <mergeCell ref="A234:A253"/>
    <mergeCell ref="A348:A349"/>
    <mergeCell ref="A363:A372"/>
    <mergeCell ref="A354:A361"/>
    <mergeCell ref="A351:A352"/>
    <mergeCell ref="A318:A321"/>
    <mergeCell ref="A255:A278"/>
    <mergeCell ref="A306:A316"/>
    <mergeCell ref="A231:A232"/>
    <mergeCell ref="A135:A170"/>
    <mergeCell ref="A172:A181"/>
    <mergeCell ref="A280:A289"/>
    <mergeCell ref="A291:A304"/>
    <mergeCell ref="A214:A222"/>
    <mergeCell ref="A197:A198"/>
    <mergeCell ref="A185:A195"/>
    <mergeCell ref="A203:A212"/>
    <mergeCell ref="A1:B1"/>
    <mergeCell ref="A132:A133"/>
    <mergeCell ref="A129:A130"/>
    <mergeCell ref="A101:A120"/>
    <mergeCell ref="A53:A61"/>
    <mergeCell ref="A65:A70"/>
    <mergeCell ref="A77:A84"/>
    <mergeCell ref="A89:A90"/>
    <mergeCell ref="A122:A127"/>
    <mergeCell ref="A94:A99"/>
    <mergeCell ref="A73:A75"/>
  </mergeCells>
  <pageMargins left="0.7" right="0.7" top="0.75" bottom="0.75" header="0.3" footer="0.3"/>
  <pageSetup paperSize="9" orientation="portrait"/>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I74"/>
  <sheetViews>
    <sheetView workbookViewId="0">
      <selection activeCell="C15" sqref="C15"/>
    </sheetView>
  </sheetViews>
  <sheetFormatPr defaultRowHeight="14.4" x14ac:dyDescent="0.3"/>
  <cols>
    <col min="1" max="1" width="32.21875" customWidth="1"/>
    <col min="2" max="2" width="61.21875" customWidth="1"/>
    <col min="3" max="3" width="7.77734375" customWidth="1"/>
    <col min="4" max="4" width="18.21875" customWidth="1"/>
    <col min="5" max="5" width="9" customWidth="1"/>
    <col min="6" max="7" width="12" customWidth="1"/>
    <col min="8" max="8" width="11.21875" customWidth="1"/>
    <col min="9" max="9" width="21.21875" customWidth="1"/>
  </cols>
  <sheetData>
    <row r="1" spans="1:9" s="29" customFormat="1" x14ac:dyDescent="0.3">
      <c r="A1" s="71" t="s">
        <v>665</v>
      </c>
    </row>
    <row r="3" spans="1:9" s="33" customFormat="1" x14ac:dyDescent="0.3">
      <c r="A3" s="33" t="s">
        <v>603</v>
      </c>
      <c r="B3" s="32"/>
      <c r="D3" s="32"/>
      <c r="E3" s="34"/>
      <c r="F3" s="32"/>
      <c r="G3" s="48"/>
    </row>
    <row r="4" spans="1:9" x14ac:dyDescent="0.3">
      <c r="B4" s="13"/>
      <c r="D4" s="17"/>
      <c r="E4" s="8"/>
      <c r="F4" s="13"/>
      <c r="G4" s="5"/>
    </row>
    <row r="5" spans="1:9" s="17" customFormat="1" x14ac:dyDescent="0.3">
      <c r="A5" s="17" t="s">
        <v>85</v>
      </c>
      <c r="B5" s="17" t="s">
        <v>52</v>
      </c>
      <c r="C5" s="17" t="s">
        <v>184</v>
      </c>
      <c r="D5" s="18" t="s">
        <v>106</v>
      </c>
      <c r="E5" s="17" t="s">
        <v>183</v>
      </c>
      <c r="F5" s="17">
        <v>2030</v>
      </c>
      <c r="G5" s="17">
        <v>2040</v>
      </c>
      <c r="H5" s="49">
        <v>2050</v>
      </c>
      <c r="I5" s="15"/>
    </row>
    <row r="6" spans="1:9" x14ac:dyDescent="0.3">
      <c r="A6" t="s">
        <v>218</v>
      </c>
      <c r="B6" s="13" t="s">
        <v>425</v>
      </c>
      <c r="C6" s="5" t="s">
        <v>422</v>
      </c>
      <c r="D6" s="5" t="s">
        <v>422</v>
      </c>
      <c r="E6" s="5" t="s">
        <v>422</v>
      </c>
      <c r="F6" s="5" t="s">
        <v>422</v>
      </c>
      <c r="G6" s="5" t="s">
        <v>422</v>
      </c>
      <c r="H6" s="5" t="s">
        <v>422</v>
      </c>
    </row>
    <row r="7" spans="1:9" x14ac:dyDescent="0.3">
      <c r="A7" t="s">
        <v>1779</v>
      </c>
      <c r="B7" s="13" t="s">
        <v>426</v>
      </c>
      <c r="C7">
        <f>C32</f>
        <v>552.67870000000005</v>
      </c>
      <c r="D7">
        <f>C32</f>
        <v>552.67870000000005</v>
      </c>
      <c r="E7">
        <f>C32</f>
        <v>552.67870000000005</v>
      </c>
      <c r="F7" s="5">
        <f>C33</f>
        <v>396.26020000000005</v>
      </c>
      <c r="G7" s="5">
        <f>C34</f>
        <v>344.12070000000006</v>
      </c>
      <c r="H7">
        <f>C35</f>
        <v>312.83700000000005</v>
      </c>
    </row>
    <row r="8" spans="1:9" x14ac:dyDescent="0.3">
      <c r="A8" t="s">
        <v>1750</v>
      </c>
      <c r="B8" s="13" t="s">
        <v>427</v>
      </c>
      <c r="C8">
        <f>C48</f>
        <v>9.1244125000000018</v>
      </c>
      <c r="D8">
        <f>C48</f>
        <v>9.1244125000000018</v>
      </c>
      <c r="E8">
        <f>C48</f>
        <v>9.1244125000000018</v>
      </c>
      <c r="F8" s="5">
        <f>C49</f>
        <v>7.5602275000000008</v>
      </c>
      <c r="G8" s="5">
        <f>C50</f>
        <v>6.9084837500000003</v>
      </c>
      <c r="H8">
        <f>C51</f>
        <v>6.5174375000000007</v>
      </c>
    </row>
    <row r="9" spans="1:9" x14ac:dyDescent="0.3">
      <c r="A9" t="s">
        <v>1751</v>
      </c>
      <c r="B9" s="13" t="s">
        <v>280</v>
      </c>
      <c r="C9">
        <v>0</v>
      </c>
      <c r="D9">
        <v>0</v>
      </c>
      <c r="E9">
        <v>0</v>
      </c>
      <c r="F9">
        <v>0</v>
      </c>
      <c r="G9">
        <v>0</v>
      </c>
      <c r="H9">
        <v>0</v>
      </c>
    </row>
    <row r="10" spans="1:9" x14ac:dyDescent="0.3">
      <c r="A10" t="s">
        <v>110</v>
      </c>
      <c r="B10" s="13" t="s">
        <v>201</v>
      </c>
      <c r="C10">
        <f>C59</f>
        <v>35</v>
      </c>
      <c r="D10">
        <f>C59</f>
        <v>35</v>
      </c>
      <c r="E10">
        <f>C59</f>
        <v>35</v>
      </c>
      <c r="F10" s="5">
        <f>C60</f>
        <v>40</v>
      </c>
      <c r="G10" s="5">
        <f>C61</f>
        <v>40</v>
      </c>
      <c r="H10">
        <f>C62</f>
        <v>40</v>
      </c>
    </row>
    <row r="11" spans="1:9" x14ac:dyDescent="0.3">
      <c r="A11" t="s">
        <v>103</v>
      </c>
      <c r="B11" s="13" t="s">
        <v>51</v>
      </c>
      <c r="C11" s="23">
        <f>Annuities!AF24</f>
        <v>8.5803264560679798E-2</v>
      </c>
      <c r="D11" s="23">
        <f>Annuities!AG24</f>
        <v>8.5803264560679798E-2</v>
      </c>
      <c r="E11" s="23">
        <f>Annuities!AH24</f>
        <v>8.5803264560679798E-2</v>
      </c>
      <c r="F11" s="23">
        <f>Annuities!AI24</f>
        <v>7.9666036677694424E-2</v>
      </c>
      <c r="G11" s="23">
        <f>Annuities!AJ24</f>
        <v>8.3860161500585326E-2</v>
      </c>
      <c r="H11" s="23">
        <f>Annuities!AK24</f>
        <v>8.3860161500585326E-2</v>
      </c>
    </row>
    <row r="12" spans="1:9" x14ac:dyDescent="0.3">
      <c r="A12" t="s">
        <v>1642</v>
      </c>
      <c r="B12" s="13" t="s">
        <v>1875</v>
      </c>
      <c r="C12" s="135">
        <f>D12</f>
        <v>90.584795321637415</v>
      </c>
      <c r="D12" s="135">
        <f>$C$65</f>
        <v>90.584795321637415</v>
      </c>
      <c r="E12" s="135">
        <f>D12</f>
        <v>90.584795321637415</v>
      </c>
      <c r="F12" s="135">
        <f>$C$66</f>
        <v>61.899610136452274</v>
      </c>
      <c r="G12" s="135">
        <f>$C$67</f>
        <v>33.21442495126707</v>
      </c>
      <c r="H12" s="135">
        <f>$C$68</f>
        <v>4.5292397660818713</v>
      </c>
    </row>
    <row r="13" spans="1:9" x14ac:dyDescent="0.3">
      <c r="A13" t="s">
        <v>1651</v>
      </c>
      <c r="B13" s="13" t="s">
        <v>604</v>
      </c>
      <c r="C13">
        <v>0</v>
      </c>
      <c r="D13">
        <v>0</v>
      </c>
      <c r="E13">
        <v>0</v>
      </c>
      <c r="F13">
        <v>0</v>
      </c>
      <c r="G13">
        <v>0</v>
      </c>
      <c r="H13">
        <v>0</v>
      </c>
    </row>
    <row r="14" spans="1:9" x14ac:dyDescent="0.3">
      <c r="A14" t="s">
        <v>2050</v>
      </c>
      <c r="B14" s="13" t="s">
        <v>778</v>
      </c>
      <c r="C14">
        <f>$C$70</f>
        <v>13.75</v>
      </c>
      <c r="D14">
        <f t="shared" ref="D14:E14" si="0">$C$70</f>
        <v>13.75</v>
      </c>
      <c r="E14">
        <f t="shared" si="0"/>
        <v>13.75</v>
      </c>
      <c r="F14">
        <f>$C$72</f>
        <v>12.26</v>
      </c>
      <c r="G14">
        <f>$C$73</f>
        <v>11.51</v>
      </c>
      <c r="H14">
        <f>$C$74</f>
        <v>10.84</v>
      </c>
    </row>
    <row r="15" spans="1:9" x14ac:dyDescent="0.3">
      <c r="A15" t="s">
        <v>1039</v>
      </c>
      <c r="B15" s="13" t="s">
        <v>202</v>
      </c>
      <c r="C15">
        <v>12.1</v>
      </c>
      <c r="D15">
        <v>22.5</v>
      </c>
      <c r="E15">
        <v>20</v>
      </c>
      <c r="F15" s="5">
        <v>12.1</v>
      </c>
      <c r="G15" s="5">
        <v>12.1</v>
      </c>
      <c r="H15" s="5">
        <v>22.5</v>
      </c>
    </row>
    <row r="16" spans="1:9" x14ac:dyDescent="0.3">
      <c r="A16" t="s">
        <v>1038</v>
      </c>
      <c r="B16" s="13" t="s">
        <v>1068</v>
      </c>
      <c r="C16">
        <f>((C7*C11+C8)/(8760*C15/100)+C9)*1000</f>
        <v>53.347342553636537</v>
      </c>
      <c r="D16">
        <f>(((D7*D11+D8)/(8760*D15/100)+D9)*1000)</f>
        <v>28.68901532884454</v>
      </c>
      <c r="E16">
        <f t="shared" ref="E16:H16" si="1">((E7*E11+E8)/(8760*E15/100)+E9)*1000</f>
        <v>32.275142244950111</v>
      </c>
      <c r="F16">
        <f t="shared" si="1"/>
        <v>36.915267677186435</v>
      </c>
      <c r="G16">
        <f t="shared" si="1"/>
        <v>33.743255620678582</v>
      </c>
      <c r="H16">
        <f t="shared" si="1"/>
        <v>16.616945126006399</v>
      </c>
    </row>
    <row r="18" spans="1:8" s="26" customFormat="1" x14ac:dyDescent="0.3">
      <c r="A18" s="26" t="s">
        <v>112</v>
      </c>
      <c r="B18" s="27"/>
      <c r="D18" s="57"/>
      <c r="E18" s="28"/>
      <c r="F18" s="27"/>
      <c r="G18" s="50"/>
    </row>
    <row r="19" spans="1:8" x14ac:dyDescent="0.3">
      <c r="B19" s="13"/>
      <c r="D19" s="5"/>
      <c r="E19" s="8"/>
      <c r="F19" s="13"/>
      <c r="G19" s="5"/>
    </row>
    <row r="20" spans="1:8" x14ac:dyDescent="0.3">
      <c r="A20" s="17" t="s">
        <v>85</v>
      </c>
      <c r="B20" s="17" t="s">
        <v>82</v>
      </c>
      <c r="C20" s="15" t="s">
        <v>49</v>
      </c>
      <c r="D20" s="17" t="s">
        <v>52</v>
      </c>
      <c r="E20" s="18" t="s">
        <v>58</v>
      </c>
      <c r="F20" s="15" t="s">
        <v>93</v>
      </c>
      <c r="G20" s="49" t="s">
        <v>80</v>
      </c>
      <c r="H20" s="15" t="s">
        <v>59</v>
      </c>
    </row>
    <row r="22" spans="1:8" ht="28.8" x14ac:dyDescent="0.3">
      <c r="A22" s="8" t="s">
        <v>1040</v>
      </c>
      <c r="B22" s="10" t="s">
        <v>1763</v>
      </c>
      <c r="E22" t="str">
        <f>Sources!A79</f>
        <v>NREL2020</v>
      </c>
    </row>
    <row r="23" spans="1:8" x14ac:dyDescent="0.3">
      <c r="A23" s="8"/>
      <c r="B23" s="10"/>
    </row>
    <row r="24" spans="1:8" x14ac:dyDescent="0.3">
      <c r="A24" s="203" t="s">
        <v>1039</v>
      </c>
      <c r="B24" s="10" t="s">
        <v>1056</v>
      </c>
      <c r="C24">
        <v>20</v>
      </c>
      <c r="D24" s="5" t="s">
        <v>202</v>
      </c>
      <c r="E24" t="str">
        <f>Sources!A80</f>
        <v>Staffell&amp;Pfenninger 2020</v>
      </c>
    </row>
    <row r="25" spans="1:8" x14ac:dyDescent="0.3">
      <c r="A25" s="203"/>
      <c r="B25" s="10" t="s">
        <v>1055</v>
      </c>
      <c r="C25">
        <v>15.3</v>
      </c>
      <c r="D25" s="5" t="s">
        <v>202</v>
      </c>
      <c r="E25" t="str">
        <f>Sources!A80</f>
        <v>Staffell&amp;Pfenninger 2020</v>
      </c>
    </row>
    <row r="26" spans="1:8" x14ac:dyDescent="0.3">
      <c r="A26" s="203"/>
      <c r="B26" s="10" t="s">
        <v>1057</v>
      </c>
      <c r="C26">
        <v>12.1</v>
      </c>
      <c r="D26" s="5" t="s">
        <v>202</v>
      </c>
      <c r="E26" t="str">
        <f>Sources!A80</f>
        <v>Staffell&amp;Pfenninger 2020</v>
      </c>
    </row>
    <row r="27" spans="1:8" x14ac:dyDescent="0.3">
      <c r="A27" s="203"/>
      <c r="B27" s="10" t="s">
        <v>1129</v>
      </c>
      <c r="C27">
        <v>14.1</v>
      </c>
      <c r="D27" s="5" t="s">
        <v>202</v>
      </c>
      <c r="E27" t="str">
        <f>Sources!A80</f>
        <v>Staffell&amp;Pfenninger 2020</v>
      </c>
    </row>
    <row r="28" spans="1:8" x14ac:dyDescent="0.3">
      <c r="A28" s="203"/>
      <c r="B28" s="10" t="s">
        <v>1223</v>
      </c>
      <c r="C28">
        <v>22.4</v>
      </c>
      <c r="D28" s="5" t="s">
        <v>202</v>
      </c>
      <c r="E28" t="str">
        <f>Sources!A80</f>
        <v>Staffell&amp;Pfenninger 2020</v>
      </c>
    </row>
    <row r="29" spans="1:8" x14ac:dyDescent="0.3">
      <c r="A29" s="203"/>
      <c r="B29" s="10" t="s">
        <v>1053</v>
      </c>
      <c r="C29">
        <v>17.5</v>
      </c>
      <c r="D29" s="5" t="s">
        <v>202</v>
      </c>
      <c r="E29" t="str">
        <f>Sources!A80</f>
        <v>Staffell&amp;Pfenninger 2020</v>
      </c>
    </row>
    <row r="31" spans="1:8" x14ac:dyDescent="0.3">
      <c r="A31" s="203" t="s">
        <v>1779</v>
      </c>
      <c r="B31" t="s">
        <v>666</v>
      </c>
      <c r="C31">
        <v>100</v>
      </c>
      <c r="D31" s="5" t="s">
        <v>192</v>
      </c>
      <c r="E31" t="str">
        <f>Sources!A7</f>
        <v>Ikäheimo2018</v>
      </c>
      <c r="F31" t="str">
        <f>Sources!A47</f>
        <v>Gallagher2016</v>
      </c>
    </row>
    <row r="32" spans="1:8" x14ac:dyDescent="0.3">
      <c r="A32" s="203"/>
      <c r="B32" s="10" t="s">
        <v>1516</v>
      </c>
      <c r="C32">
        <f>530*E2015_ref</f>
        <v>552.67870000000005</v>
      </c>
      <c r="D32" s="5" t="s">
        <v>192</v>
      </c>
      <c r="E32" t="str">
        <f>Sources!A105</f>
        <v>DTU 2021</v>
      </c>
      <c r="F32" t="str">
        <f>Sources!A53</f>
        <v>DEA2020</v>
      </c>
    </row>
    <row r="33" spans="1:6" x14ac:dyDescent="0.3">
      <c r="A33" s="203"/>
      <c r="B33" s="10" t="s">
        <v>1517</v>
      </c>
      <c r="C33">
        <f>380*E2015_ref</f>
        <v>396.26020000000005</v>
      </c>
      <c r="D33" s="5" t="s">
        <v>192</v>
      </c>
      <c r="E33" t="str">
        <f>Sources!A105</f>
        <v>DTU 2021</v>
      </c>
      <c r="F33" t="str">
        <f>Sources!A53</f>
        <v>DEA2020</v>
      </c>
    </row>
    <row r="34" spans="1:6" x14ac:dyDescent="0.3">
      <c r="A34" s="203"/>
      <c r="B34" s="10" t="s">
        <v>1518</v>
      </c>
      <c r="C34">
        <f>330*E2015_ref</f>
        <v>344.12070000000006</v>
      </c>
      <c r="D34" s="5" t="s">
        <v>192</v>
      </c>
      <c r="E34" t="str">
        <f>Sources!A105</f>
        <v>DTU 2021</v>
      </c>
      <c r="F34" t="str">
        <f>Sources!A53</f>
        <v>DEA2020</v>
      </c>
    </row>
    <row r="35" spans="1:6" x14ac:dyDescent="0.3">
      <c r="A35" s="203"/>
      <c r="B35" s="10" t="s">
        <v>1519</v>
      </c>
      <c r="C35">
        <f>300*E2015_ref</f>
        <v>312.83700000000005</v>
      </c>
      <c r="D35" s="5" t="s">
        <v>192</v>
      </c>
      <c r="E35" t="str">
        <f>Sources!A105</f>
        <v>DTU 2021</v>
      </c>
      <c r="F35" t="str">
        <f>Sources!A53</f>
        <v>DEA2020</v>
      </c>
    </row>
    <row r="36" spans="1:6" s="60" customFormat="1" x14ac:dyDescent="0.3">
      <c r="A36" s="203"/>
      <c r="B36" s="119" t="s">
        <v>1112</v>
      </c>
      <c r="C36" s="60">
        <f>995*DE2019_*E2019_ref</f>
        <v>888.47218501651935</v>
      </c>
      <c r="D36" s="61" t="s">
        <v>192</v>
      </c>
      <c r="E36" s="60" t="str">
        <f>Sources!A84</f>
        <v>IRENA2020</v>
      </c>
    </row>
    <row r="37" spans="1:6" x14ac:dyDescent="0.3">
      <c r="A37" s="203"/>
      <c r="B37" s="10" t="s">
        <v>1117</v>
      </c>
      <c r="C37">
        <f>618*DE2019_*E2019_ref</f>
        <v>551.83498526654171</v>
      </c>
      <c r="D37" s="5" t="s">
        <v>192</v>
      </c>
      <c r="E37" t="str">
        <f>Sources!A84</f>
        <v>IRENA2020</v>
      </c>
    </row>
    <row r="38" spans="1:6" x14ac:dyDescent="0.3">
      <c r="A38" s="203"/>
      <c r="B38" s="10" t="s">
        <v>1115</v>
      </c>
      <c r="C38">
        <f>1130*DE2019_*E2019_ref</f>
        <v>1009.0186623805697</v>
      </c>
      <c r="D38" s="5" t="s">
        <v>192</v>
      </c>
      <c r="E38" t="str">
        <f>Sources!A84</f>
        <v>IRENA2020</v>
      </c>
    </row>
    <row r="39" spans="1:6" x14ac:dyDescent="0.3">
      <c r="A39" s="203"/>
      <c r="B39" s="10" t="s">
        <v>1116</v>
      </c>
      <c r="C39">
        <f>1464*DE2019_*E2019_ref</f>
        <v>1307.259576747924</v>
      </c>
      <c r="D39" s="5" t="s">
        <v>192</v>
      </c>
      <c r="E39" t="str">
        <f>Sources!A84</f>
        <v>IRENA2020</v>
      </c>
    </row>
    <row r="40" spans="1:6" s="60" customFormat="1" x14ac:dyDescent="0.3">
      <c r="A40" s="203"/>
      <c r="B40" s="119" t="s">
        <v>1113</v>
      </c>
      <c r="C40" s="60">
        <f>714*DE2019_*E2019_ref</f>
        <v>637.55692472542194</v>
      </c>
      <c r="D40" s="61" t="s">
        <v>192</v>
      </c>
      <c r="E40" s="60" t="str">
        <f>Sources!A84</f>
        <v>IRENA2020</v>
      </c>
    </row>
    <row r="41" spans="1:6" s="60" customFormat="1" x14ac:dyDescent="0.3">
      <c r="A41" s="203"/>
      <c r="B41" s="119" t="s">
        <v>1114</v>
      </c>
      <c r="C41" s="60">
        <f>2320*DE2019_*E2019_ref</f>
        <v>2071.6135369229396</v>
      </c>
      <c r="D41" s="61" t="s">
        <v>192</v>
      </c>
      <c r="E41" s="60" t="str">
        <f>Sources!A84</f>
        <v>IRENA2020</v>
      </c>
    </row>
    <row r="42" spans="1:6" x14ac:dyDescent="0.3">
      <c r="A42" s="203"/>
      <c r="B42" t="s">
        <v>667</v>
      </c>
      <c r="C42">
        <v>324</v>
      </c>
      <c r="D42" s="5" t="s">
        <v>192</v>
      </c>
      <c r="E42" t="str">
        <f>Sources!A7</f>
        <v>Ikäheimo2018</v>
      </c>
      <c r="F42" t="str">
        <f>Sources!A48</f>
        <v>Mayer2015</v>
      </c>
    </row>
    <row r="43" spans="1:6" x14ac:dyDescent="0.3">
      <c r="A43" s="203"/>
      <c r="B43" t="s">
        <v>668</v>
      </c>
      <c r="C43">
        <f>606</f>
        <v>606</v>
      </c>
      <c r="D43" s="5" t="s">
        <v>192</v>
      </c>
      <c r="E43" t="str">
        <f>Sources!A7</f>
        <v>Ikäheimo2018</v>
      </c>
      <c r="F43" t="str">
        <f>Sources!A48</f>
        <v>Mayer2015</v>
      </c>
    </row>
    <row r="44" spans="1:6" x14ac:dyDescent="0.3">
      <c r="A44" s="203"/>
      <c r="B44" t="s">
        <v>662</v>
      </c>
      <c r="C44">
        <v>330</v>
      </c>
      <c r="D44" s="5" t="s">
        <v>192</v>
      </c>
      <c r="E44" t="str">
        <f>Sources!A7</f>
        <v>Ikäheimo2018</v>
      </c>
    </row>
    <row r="45" spans="1:6" x14ac:dyDescent="0.3">
      <c r="A45" s="203"/>
      <c r="B45" t="s">
        <v>663</v>
      </c>
      <c r="C45">
        <v>520</v>
      </c>
      <c r="D45" s="5" t="s">
        <v>192</v>
      </c>
      <c r="E45" t="str">
        <f>Sources!A7</f>
        <v>Ikäheimo2018</v>
      </c>
    </row>
    <row r="46" spans="1:6" x14ac:dyDescent="0.3">
      <c r="D46" s="5"/>
    </row>
    <row r="47" spans="1:6" x14ac:dyDescent="0.3">
      <c r="A47" s="203" t="s">
        <v>1750</v>
      </c>
      <c r="B47" t="s">
        <v>669</v>
      </c>
      <c r="C47">
        <v>10</v>
      </c>
      <c r="D47" s="5" t="s">
        <v>531</v>
      </c>
      <c r="E47" t="str">
        <f>Sources!A7</f>
        <v>Ikäheimo2018</v>
      </c>
    </row>
    <row r="48" spans="1:6" x14ac:dyDescent="0.3">
      <c r="A48" s="203"/>
      <c r="B48" t="s">
        <v>1501</v>
      </c>
      <c r="C48">
        <f>8.75*E2015_ref</f>
        <v>9.1244125000000018</v>
      </c>
      <c r="D48" s="5" t="s">
        <v>531</v>
      </c>
      <c r="E48" t="str">
        <f>Sources!A105</f>
        <v>DTU 2021</v>
      </c>
      <c r="F48" t="str">
        <f>Sources!A53</f>
        <v>DEA2020</v>
      </c>
    </row>
    <row r="49" spans="1:6" x14ac:dyDescent="0.3">
      <c r="A49" s="203"/>
      <c r="B49" t="s">
        <v>1502</v>
      </c>
      <c r="C49">
        <f>7.25*E2015_ref</f>
        <v>7.5602275000000008</v>
      </c>
      <c r="D49" s="5" t="s">
        <v>531</v>
      </c>
      <c r="E49" t="str">
        <f>Sources!A105</f>
        <v>DTU 2021</v>
      </c>
      <c r="F49" t="str">
        <f>Sources!A53</f>
        <v>DEA2020</v>
      </c>
    </row>
    <row r="50" spans="1:6" x14ac:dyDescent="0.3">
      <c r="A50" s="203"/>
      <c r="B50" t="s">
        <v>1503</v>
      </c>
      <c r="C50">
        <f>6.625*E2015_ref</f>
        <v>6.9084837500000003</v>
      </c>
      <c r="D50" s="5" t="s">
        <v>531</v>
      </c>
      <c r="E50" t="str">
        <f>Sources!A105</f>
        <v>DTU 2021</v>
      </c>
      <c r="F50" t="str">
        <f>Sources!A53</f>
        <v>DEA2020</v>
      </c>
    </row>
    <row r="51" spans="1:6" x14ac:dyDescent="0.3">
      <c r="A51" s="203"/>
      <c r="B51" t="s">
        <v>1504</v>
      </c>
      <c r="C51">
        <f>6.25*E2015_ref</f>
        <v>6.5174375000000007</v>
      </c>
      <c r="D51" s="5" t="s">
        <v>531</v>
      </c>
      <c r="E51" t="str">
        <f>Sources!A105</f>
        <v>DTU 2021</v>
      </c>
      <c r="F51" t="str">
        <f>Sources!A53</f>
        <v>DEA2020</v>
      </c>
    </row>
    <row r="52" spans="1:6" s="60" customFormat="1" x14ac:dyDescent="0.3">
      <c r="A52" s="203"/>
      <c r="B52" s="60" t="s">
        <v>1764</v>
      </c>
      <c r="C52" s="60">
        <f>10*DE2020_*E2019_ref</f>
        <v>8.7565674255691768</v>
      </c>
      <c r="D52" s="61" t="s">
        <v>531</v>
      </c>
      <c r="E52" s="60" t="str">
        <f>Sources!A84</f>
        <v>IRENA2020</v>
      </c>
    </row>
    <row r="53" spans="1:6" s="60" customFormat="1" x14ac:dyDescent="0.3">
      <c r="A53" s="203"/>
      <c r="B53" s="60" t="s">
        <v>1426</v>
      </c>
      <c r="C53" s="60">
        <f>9.5*DE2019_*E2019_ref</f>
        <v>8.4829002589516929</v>
      </c>
      <c r="D53" s="61" t="s">
        <v>531</v>
      </c>
      <c r="E53" s="60" t="str">
        <f>Sources!A84</f>
        <v>IRENA2020</v>
      </c>
    </row>
    <row r="54" spans="1:6" s="60" customFormat="1" x14ac:dyDescent="0.3">
      <c r="A54" s="203"/>
      <c r="B54" s="60" t="s">
        <v>1427</v>
      </c>
      <c r="C54" s="60">
        <f>18.3*DE2019_*E2019_ref</f>
        <v>16.34074470934905</v>
      </c>
      <c r="D54" s="61" t="s">
        <v>531</v>
      </c>
      <c r="E54" s="60" t="str">
        <f>Sources!A84</f>
        <v>IRENA2020</v>
      </c>
    </row>
    <row r="55" spans="1:6" x14ac:dyDescent="0.3">
      <c r="D55" s="5"/>
    </row>
    <row r="56" spans="1:6" x14ac:dyDescent="0.3">
      <c r="A56" s="13" t="s">
        <v>1752</v>
      </c>
      <c r="D56" s="5"/>
    </row>
    <row r="57" spans="1:6" x14ac:dyDescent="0.3">
      <c r="A57" s="13"/>
      <c r="D57" s="5"/>
    </row>
    <row r="58" spans="1:6" x14ac:dyDescent="0.3">
      <c r="A58" s="203" t="s">
        <v>110</v>
      </c>
      <c r="B58" t="s">
        <v>670</v>
      </c>
      <c r="C58">
        <v>30</v>
      </c>
      <c r="D58" s="5" t="s">
        <v>132</v>
      </c>
      <c r="E58" t="str">
        <f>Sources!A7</f>
        <v>Ikäheimo2018</v>
      </c>
    </row>
    <row r="59" spans="1:6" x14ac:dyDescent="0.3">
      <c r="A59" s="203"/>
      <c r="B59" s="16">
        <v>2020</v>
      </c>
      <c r="C59">
        <v>35</v>
      </c>
      <c r="D59" s="5" t="s">
        <v>132</v>
      </c>
      <c r="E59" t="str">
        <f>Sources!A53</f>
        <v>DEA2020</v>
      </c>
    </row>
    <row r="60" spans="1:6" x14ac:dyDescent="0.3">
      <c r="A60" s="203"/>
      <c r="B60" s="16">
        <v>2030</v>
      </c>
      <c r="C60">
        <v>40</v>
      </c>
      <c r="D60" s="5" t="s">
        <v>132</v>
      </c>
      <c r="E60" t="str">
        <f>Sources!A53</f>
        <v>DEA2020</v>
      </c>
    </row>
    <row r="61" spans="1:6" x14ac:dyDescent="0.3">
      <c r="A61" s="203"/>
      <c r="B61" s="16">
        <v>2040</v>
      </c>
      <c r="C61">
        <v>40</v>
      </c>
      <c r="D61" s="5" t="s">
        <v>132</v>
      </c>
      <c r="E61" t="str">
        <f>Sources!A53</f>
        <v>DEA2020</v>
      </c>
    </row>
    <row r="62" spans="1:6" x14ac:dyDescent="0.3">
      <c r="A62" s="203"/>
      <c r="B62" s="16">
        <v>2050</v>
      </c>
      <c r="C62">
        <v>40</v>
      </c>
      <c r="D62" s="5" t="s">
        <v>132</v>
      </c>
      <c r="E62" t="str">
        <f>Sources!A53</f>
        <v>DEA2020</v>
      </c>
    </row>
    <row r="63" spans="1:6" x14ac:dyDescent="0.3">
      <c r="D63" s="5"/>
    </row>
    <row r="64" spans="1:6" x14ac:dyDescent="0.3">
      <c r="A64" s="203" t="s">
        <v>605</v>
      </c>
      <c r="B64" t="s">
        <v>606</v>
      </c>
      <c r="C64">
        <v>40</v>
      </c>
      <c r="D64" s="5" t="s">
        <v>607</v>
      </c>
      <c r="E64" t="str">
        <f>Sources!A51</f>
        <v>NREL2012</v>
      </c>
    </row>
    <row r="65" spans="1:5" x14ac:dyDescent="0.3">
      <c r="A65" s="203"/>
      <c r="B65" t="s">
        <v>1730</v>
      </c>
      <c r="C65">
        <v>90.584795321637415</v>
      </c>
      <c r="D65" s="167" t="s">
        <v>1874</v>
      </c>
      <c r="E65" t="str">
        <f>Sources!A123</f>
        <v>Ecoinvent2020</v>
      </c>
    </row>
    <row r="66" spans="1:5" x14ac:dyDescent="0.3">
      <c r="A66" s="203"/>
      <c r="B66" s="16" t="s">
        <v>1687</v>
      </c>
      <c r="C66">
        <v>61.899610136452274</v>
      </c>
      <c r="D66" s="167" t="s">
        <v>1874</v>
      </c>
      <c r="E66" t="s">
        <v>529</v>
      </c>
    </row>
    <row r="67" spans="1:5" x14ac:dyDescent="0.3">
      <c r="A67" s="203"/>
      <c r="B67" s="13">
        <v>2040</v>
      </c>
      <c r="C67">
        <v>33.21442495126707</v>
      </c>
      <c r="D67" s="167" t="s">
        <v>1874</v>
      </c>
      <c r="E67" t="s">
        <v>529</v>
      </c>
    </row>
    <row r="68" spans="1:5" x14ac:dyDescent="0.3">
      <c r="A68" s="203"/>
      <c r="B68" s="13">
        <v>2050</v>
      </c>
      <c r="C68">
        <f>C65*0.05</f>
        <v>4.5292397660818713</v>
      </c>
      <c r="D68" s="167" t="s">
        <v>1874</v>
      </c>
      <c r="E68" t="s">
        <v>529</v>
      </c>
    </row>
    <row r="69" spans="1:5" x14ac:dyDescent="0.3">
      <c r="D69" s="5"/>
    </row>
    <row r="70" spans="1:5" x14ac:dyDescent="0.3">
      <c r="A70" s="203" t="s">
        <v>2050</v>
      </c>
      <c r="B70" t="s">
        <v>2055</v>
      </c>
      <c r="C70">
        <v>13.75</v>
      </c>
      <c r="D70" s="5" t="s">
        <v>778</v>
      </c>
      <c r="E70" t="str">
        <f>Sources!A132</f>
        <v>DEA2022</v>
      </c>
    </row>
    <row r="71" spans="1:5" x14ac:dyDescent="0.3">
      <c r="A71" s="203"/>
      <c r="B71" t="s">
        <v>2291</v>
      </c>
      <c r="C71">
        <f>(1/28)*10^3</f>
        <v>35.714285714285715</v>
      </c>
      <c r="D71" s="5" t="s">
        <v>778</v>
      </c>
    </row>
    <row r="72" spans="1:5" x14ac:dyDescent="0.3">
      <c r="A72" s="203"/>
      <c r="B72" t="s">
        <v>2052</v>
      </c>
      <c r="C72">
        <v>12.26</v>
      </c>
      <c r="D72" s="5" t="s">
        <v>778</v>
      </c>
      <c r="E72" t="str">
        <f>Sources!A132</f>
        <v>DEA2022</v>
      </c>
    </row>
    <row r="73" spans="1:5" x14ac:dyDescent="0.3">
      <c r="A73" s="203"/>
      <c r="B73" t="s">
        <v>2053</v>
      </c>
      <c r="C73">
        <v>11.51</v>
      </c>
      <c r="D73" s="5" t="s">
        <v>778</v>
      </c>
      <c r="E73" t="str">
        <f>Sources!A132</f>
        <v>DEA2022</v>
      </c>
    </row>
    <row r="74" spans="1:5" x14ac:dyDescent="0.3">
      <c r="A74" s="203"/>
      <c r="B74" t="s">
        <v>2054</v>
      </c>
      <c r="C74">
        <v>10.84</v>
      </c>
      <c r="D74" s="5" t="s">
        <v>778</v>
      </c>
      <c r="E74" t="str">
        <f>Sources!A132</f>
        <v>DEA2022</v>
      </c>
    </row>
  </sheetData>
  <mergeCells count="6">
    <mergeCell ref="A70:A74"/>
    <mergeCell ref="A31:A45"/>
    <mergeCell ref="A47:A54"/>
    <mergeCell ref="A58:A62"/>
    <mergeCell ref="A24:A29"/>
    <mergeCell ref="A64:A68"/>
  </mergeCells>
  <pageMargins left="0.7" right="0.7" top="0.75" bottom="0.75" header="0.3" footer="0.3"/>
  <pageSetup paperSize="9"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67"/>
  <sheetViews>
    <sheetView topLeftCell="A50" workbookViewId="0">
      <selection activeCell="B68" sqref="B68"/>
    </sheetView>
  </sheetViews>
  <sheetFormatPr defaultColWidth="8.77734375" defaultRowHeight="14.4" x14ac:dyDescent="0.3"/>
  <cols>
    <col min="1" max="1" width="32.21875" customWidth="1"/>
    <col min="2" max="2" width="79" customWidth="1"/>
    <col min="3" max="3" width="7.77734375" customWidth="1"/>
    <col min="4" max="4" width="19.77734375" customWidth="1"/>
    <col min="5" max="5" width="9" customWidth="1"/>
    <col min="6" max="7" width="12" customWidth="1"/>
    <col min="8" max="8" width="12.77734375" customWidth="1"/>
    <col min="9" max="9" width="21.21875" customWidth="1"/>
  </cols>
  <sheetData>
    <row r="1" spans="1:9" s="29" customFormat="1" x14ac:dyDescent="0.3">
      <c r="A1" s="71" t="s">
        <v>1506</v>
      </c>
    </row>
    <row r="3" spans="1:9" s="33" customFormat="1" x14ac:dyDescent="0.3">
      <c r="A3" s="33" t="s">
        <v>603</v>
      </c>
      <c r="B3" s="32"/>
      <c r="D3" s="32"/>
      <c r="E3" s="34"/>
      <c r="F3" s="32"/>
      <c r="G3" s="48"/>
    </row>
    <row r="4" spans="1:9" x14ac:dyDescent="0.3">
      <c r="B4" s="13"/>
      <c r="D4" s="17"/>
      <c r="E4" s="8"/>
      <c r="F4" s="13"/>
      <c r="G4" s="5"/>
    </row>
    <row r="5" spans="1:9" s="17" customFormat="1" x14ac:dyDescent="0.3">
      <c r="A5" s="17" t="s">
        <v>85</v>
      </c>
      <c r="B5" s="17" t="s">
        <v>52</v>
      </c>
      <c r="C5" s="17" t="s">
        <v>184</v>
      </c>
      <c r="D5" s="18" t="s">
        <v>106</v>
      </c>
      <c r="E5" s="17" t="s">
        <v>183</v>
      </c>
      <c r="F5" s="17">
        <v>2030</v>
      </c>
      <c r="G5" s="17">
        <v>2040</v>
      </c>
      <c r="H5" s="49">
        <v>2050</v>
      </c>
      <c r="I5" s="15"/>
    </row>
    <row r="6" spans="1:9" x14ac:dyDescent="0.3">
      <c r="A6" t="s">
        <v>218</v>
      </c>
      <c r="B6" s="13" t="s">
        <v>425</v>
      </c>
      <c r="C6" s="5" t="s">
        <v>422</v>
      </c>
      <c r="D6" s="5" t="s">
        <v>422</v>
      </c>
      <c r="E6" s="5" t="s">
        <v>422</v>
      </c>
      <c r="F6" s="5" t="s">
        <v>422</v>
      </c>
      <c r="G6" s="5" t="s">
        <v>422</v>
      </c>
      <c r="H6" s="5" t="s">
        <v>422</v>
      </c>
    </row>
    <row r="7" spans="1:9" x14ac:dyDescent="0.3">
      <c r="A7" t="s">
        <v>1779</v>
      </c>
      <c r="B7" s="13" t="s">
        <v>426</v>
      </c>
      <c r="C7">
        <f>C33</f>
        <v>761.23670000000004</v>
      </c>
      <c r="D7">
        <f>C32</f>
        <v>646.52980000000002</v>
      </c>
      <c r="E7">
        <f>C31</f>
        <v>583.96240000000012</v>
      </c>
      <c r="F7" s="5">
        <f>C34</f>
        <v>458.82760000000007</v>
      </c>
      <c r="G7" s="5">
        <f>C35</f>
        <v>406.68810000000002</v>
      </c>
      <c r="H7">
        <f>C37</f>
        <v>375.40440000000001</v>
      </c>
    </row>
    <row r="8" spans="1:9" x14ac:dyDescent="0.3">
      <c r="A8" t="s">
        <v>1750</v>
      </c>
      <c r="B8" s="13" t="s">
        <v>427</v>
      </c>
      <c r="C8">
        <f>C42</f>
        <v>11.601038750000001</v>
      </c>
      <c r="D8">
        <f>C41</f>
        <v>11.157853000000001</v>
      </c>
      <c r="E8">
        <f>C40</f>
        <v>7.6905762500000012</v>
      </c>
      <c r="F8" s="5">
        <f>C43</f>
        <v>9.2808310000000009</v>
      </c>
      <c r="G8" s="5">
        <f>C44</f>
        <v>8.5508780000000009</v>
      </c>
      <c r="H8">
        <f>C46</f>
        <v>8.1337620000000008</v>
      </c>
    </row>
    <row r="9" spans="1:9" x14ac:dyDescent="0.3">
      <c r="A9" t="s">
        <v>1751</v>
      </c>
      <c r="B9" s="13" t="s">
        <v>280</v>
      </c>
      <c r="C9">
        <v>0</v>
      </c>
      <c r="D9">
        <v>0</v>
      </c>
      <c r="E9">
        <v>0</v>
      </c>
      <c r="F9">
        <v>0</v>
      </c>
      <c r="G9">
        <v>0</v>
      </c>
      <c r="H9">
        <v>0</v>
      </c>
    </row>
    <row r="10" spans="1:9" x14ac:dyDescent="0.3">
      <c r="A10" t="s">
        <v>110</v>
      </c>
      <c r="B10" s="13" t="s">
        <v>201</v>
      </c>
      <c r="C10">
        <f>$C$51</f>
        <v>35</v>
      </c>
      <c r="D10">
        <f>$C$51</f>
        <v>35</v>
      </c>
      <c r="E10">
        <f>$C$51</f>
        <v>35</v>
      </c>
      <c r="F10" s="5">
        <f>C52</f>
        <v>40</v>
      </c>
      <c r="G10" s="5">
        <f>C53</f>
        <v>40</v>
      </c>
      <c r="H10">
        <f>C54</f>
        <v>40</v>
      </c>
    </row>
    <row r="11" spans="1:9" x14ac:dyDescent="0.3">
      <c r="A11" t="s">
        <v>103</v>
      </c>
      <c r="B11" s="13" t="s">
        <v>51</v>
      </c>
      <c r="C11" s="23">
        <f>Annuities!AF25</f>
        <v>8.5803264560679798E-2</v>
      </c>
      <c r="D11" s="23">
        <f>Annuities!AG25</f>
        <v>8.5803264560679798E-2</v>
      </c>
      <c r="E11" s="23">
        <f>Annuities!AH25</f>
        <v>8.5803264560679798E-2</v>
      </c>
      <c r="F11" s="23">
        <f>Annuities!AI25</f>
        <v>7.9666036677694424E-2</v>
      </c>
      <c r="G11" s="23">
        <f>Annuities!AJ25</f>
        <v>8.3860161500585326E-2</v>
      </c>
      <c r="H11" s="23">
        <f>Annuities!AK25</f>
        <v>8.3860161500585326E-2</v>
      </c>
    </row>
    <row r="12" spans="1:9" x14ac:dyDescent="0.3">
      <c r="A12" t="s">
        <v>1642</v>
      </c>
      <c r="B12" s="13" t="s">
        <v>1875</v>
      </c>
      <c r="C12" s="135">
        <f>$C$57</f>
        <v>90.584795321637415</v>
      </c>
      <c r="D12" s="135">
        <f>$C$57</f>
        <v>90.584795321637415</v>
      </c>
      <c r="E12" s="135">
        <f>$C$57</f>
        <v>90.584795321637415</v>
      </c>
      <c r="F12" s="135">
        <f>$C$58</f>
        <v>61.899610136452274</v>
      </c>
      <c r="G12" s="135">
        <f>$C$59</f>
        <v>33.21442495126707</v>
      </c>
      <c r="H12" s="135">
        <f>$C$60</f>
        <v>4.5292397660818713</v>
      </c>
    </row>
    <row r="13" spans="1:9" x14ac:dyDescent="0.3">
      <c r="A13" t="s">
        <v>1651</v>
      </c>
      <c r="B13" s="13" t="s">
        <v>604</v>
      </c>
      <c r="C13">
        <v>0</v>
      </c>
      <c r="D13">
        <v>0</v>
      </c>
      <c r="E13">
        <v>0</v>
      </c>
      <c r="F13">
        <v>0</v>
      </c>
      <c r="G13">
        <v>0</v>
      </c>
      <c r="H13">
        <v>0</v>
      </c>
    </row>
    <row r="14" spans="1:9" x14ac:dyDescent="0.3">
      <c r="A14" t="s">
        <v>2050</v>
      </c>
      <c r="B14" s="13" t="s">
        <v>778</v>
      </c>
      <c r="C14">
        <f>$C$62</f>
        <v>17.88</v>
      </c>
      <c r="D14">
        <f>$C$62</f>
        <v>17.88</v>
      </c>
      <c r="E14">
        <f>$C$62</f>
        <v>17.88</v>
      </c>
      <c r="F14">
        <f>$C$65</f>
        <v>15.93</v>
      </c>
      <c r="G14">
        <f>$C$66</f>
        <v>14.96</v>
      </c>
      <c r="H14">
        <f>$C$67</f>
        <v>14.09</v>
      </c>
    </row>
    <row r="15" spans="1:9" x14ac:dyDescent="0.3">
      <c r="A15" t="s">
        <v>1039</v>
      </c>
      <c r="B15" s="13" t="s">
        <v>202</v>
      </c>
      <c r="C15">
        <v>12.1</v>
      </c>
      <c r="D15">
        <v>22.5</v>
      </c>
      <c r="E15">
        <v>20</v>
      </c>
      <c r="F15" s="5">
        <v>12.1</v>
      </c>
      <c r="G15" s="5">
        <v>13.1</v>
      </c>
      <c r="H15" s="5">
        <v>22.5</v>
      </c>
    </row>
    <row r="16" spans="1:9" x14ac:dyDescent="0.3">
      <c r="A16" t="s">
        <v>1038</v>
      </c>
      <c r="B16" s="13" t="s">
        <v>1068</v>
      </c>
      <c r="C16">
        <f>((C7*C11+C8)/(8760*C15/100)+C9)*1000</f>
        <v>72.566542806708597</v>
      </c>
      <c r="D16">
        <f>(((D7*D11+D8)/(8760*D15/100)+D9)*1000)</f>
        <v>33.806301611244756</v>
      </c>
      <c r="E16">
        <f>((E7*E11+E8)/(8760*E15/100)+E9)*1000</f>
        <v>32.98884506317895</v>
      </c>
      <c r="F16">
        <f>((F7*F11+F8)/(8760*F15/100)+F9)*1000</f>
        <v>43.241072691741678</v>
      </c>
      <c r="G16">
        <f>((G7*G11+G8)/(8760*G15/100)+G9)*1000</f>
        <v>37.170873633070336</v>
      </c>
      <c r="H16">
        <f>((H7*H11+H8)/(8760*H15/100)+H9)*1000</f>
        <v>20.099054090324877</v>
      </c>
    </row>
    <row r="18" spans="1:8" s="26" customFormat="1" x14ac:dyDescent="0.3">
      <c r="A18" s="26" t="s">
        <v>112</v>
      </c>
      <c r="B18" s="27"/>
      <c r="D18" s="57"/>
      <c r="E18" s="28"/>
      <c r="F18" s="27"/>
      <c r="G18" s="50"/>
    </row>
    <row r="19" spans="1:8" x14ac:dyDescent="0.3">
      <c r="B19" s="13"/>
      <c r="D19" s="5"/>
      <c r="E19" s="8"/>
      <c r="F19" s="13"/>
      <c r="G19" s="5"/>
    </row>
    <row r="20" spans="1:8" x14ac:dyDescent="0.3">
      <c r="A20" s="17" t="s">
        <v>85</v>
      </c>
      <c r="B20" s="17" t="s">
        <v>82</v>
      </c>
      <c r="C20" s="15" t="s">
        <v>49</v>
      </c>
      <c r="D20" s="17" t="s">
        <v>52</v>
      </c>
      <c r="E20" s="18" t="s">
        <v>58</v>
      </c>
      <c r="F20" s="15" t="s">
        <v>93</v>
      </c>
      <c r="G20" s="49" t="s">
        <v>80</v>
      </c>
      <c r="H20" s="15" t="s">
        <v>59</v>
      </c>
    </row>
    <row r="22" spans="1:8" ht="28.8" x14ac:dyDescent="0.3">
      <c r="A22" s="8" t="s">
        <v>1040</v>
      </c>
      <c r="B22" s="10" t="s">
        <v>1763</v>
      </c>
      <c r="E22" t="str">
        <f>Sources!A79</f>
        <v>NREL2020</v>
      </c>
    </row>
    <row r="23" spans="1:8" x14ac:dyDescent="0.3">
      <c r="A23" s="8"/>
      <c r="B23" s="10"/>
    </row>
    <row r="24" spans="1:8" x14ac:dyDescent="0.3">
      <c r="A24" s="203" t="s">
        <v>1039</v>
      </c>
      <c r="B24" s="10" t="s">
        <v>1056</v>
      </c>
      <c r="D24" s="5" t="s">
        <v>202</v>
      </c>
      <c r="E24" t="str">
        <f>Sources!A80</f>
        <v>Staffell&amp;Pfenninger 2020</v>
      </c>
    </row>
    <row r="25" spans="1:8" x14ac:dyDescent="0.3">
      <c r="A25" s="203"/>
      <c r="B25" s="10" t="s">
        <v>1055</v>
      </c>
      <c r="D25" s="5" t="s">
        <v>202</v>
      </c>
      <c r="E25" t="str">
        <f>Sources!A80</f>
        <v>Staffell&amp;Pfenninger 2020</v>
      </c>
    </row>
    <row r="26" spans="1:8" x14ac:dyDescent="0.3">
      <c r="A26" s="203"/>
      <c r="B26" s="10" t="s">
        <v>1057</v>
      </c>
      <c r="D26" s="5" t="s">
        <v>202</v>
      </c>
      <c r="E26" t="str">
        <f>Sources!A80</f>
        <v>Staffell&amp;Pfenninger 2020</v>
      </c>
    </row>
    <row r="27" spans="1:8" x14ac:dyDescent="0.3">
      <c r="A27" s="203"/>
      <c r="B27" s="10" t="s">
        <v>1129</v>
      </c>
      <c r="D27" s="5" t="s">
        <v>202</v>
      </c>
      <c r="E27" t="str">
        <f>Sources!A80</f>
        <v>Staffell&amp;Pfenninger 2020</v>
      </c>
    </row>
    <row r="28" spans="1:8" x14ac:dyDescent="0.3">
      <c r="A28" s="203"/>
      <c r="B28" s="10" t="s">
        <v>1223</v>
      </c>
      <c r="D28" s="5" t="s">
        <v>202</v>
      </c>
      <c r="E28" t="str">
        <f>Sources!A80</f>
        <v>Staffell&amp;Pfenninger 2020</v>
      </c>
    </row>
    <row r="29" spans="1:8" x14ac:dyDescent="0.3">
      <c r="A29" s="203"/>
      <c r="B29" s="10" t="s">
        <v>1053</v>
      </c>
      <c r="D29" s="5" t="s">
        <v>202</v>
      </c>
      <c r="E29" t="str">
        <f>Sources!A80</f>
        <v>Staffell&amp;Pfenninger 2020</v>
      </c>
    </row>
    <row r="31" spans="1:8" x14ac:dyDescent="0.3">
      <c r="A31" s="203" t="s">
        <v>1779</v>
      </c>
      <c r="B31" s="60" t="s">
        <v>1418</v>
      </c>
      <c r="C31" s="60">
        <f>560*E2015_ref</f>
        <v>583.96240000000012</v>
      </c>
      <c r="D31" s="61" t="s">
        <v>192</v>
      </c>
      <c r="E31" s="60" t="str">
        <f>Sources!A53</f>
        <v>DEA2020</v>
      </c>
    </row>
    <row r="32" spans="1:8" x14ac:dyDescent="0.3">
      <c r="A32" s="203"/>
      <c r="B32" s="60" t="s">
        <v>1419</v>
      </c>
      <c r="C32" s="60">
        <f>620*E2015_ref</f>
        <v>646.52980000000002</v>
      </c>
      <c r="D32" s="61" t="s">
        <v>192</v>
      </c>
      <c r="E32" s="60" t="str">
        <f>Sources!A53</f>
        <v>DEA2020</v>
      </c>
    </row>
    <row r="33" spans="1:5" x14ac:dyDescent="0.3">
      <c r="A33" s="203"/>
      <c r="B33" s="60" t="s">
        <v>1420</v>
      </c>
      <c r="C33" s="60">
        <f>730*E2015_ref</f>
        <v>761.23670000000004</v>
      </c>
      <c r="D33" s="61" t="s">
        <v>192</v>
      </c>
      <c r="E33" s="60" t="str">
        <f>Sources!A53</f>
        <v>DEA2020</v>
      </c>
    </row>
    <row r="34" spans="1:5" x14ac:dyDescent="0.3">
      <c r="A34" s="203"/>
      <c r="B34" t="s">
        <v>1421</v>
      </c>
      <c r="C34">
        <f>440*E2015_ref</f>
        <v>458.82760000000007</v>
      </c>
      <c r="D34" s="61" t="s">
        <v>192</v>
      </c>
      <c r="E34" t="str">
        <f>Sources!A53</f>
        <v>DEA2020</v>
      </c>
    </row>
    <row r="35" spans="1:5" x14ac:dyDescent="0.3">
      <c r="A35" s="203"/>
      <c r="B35" t="s">
        <v>1422</v>
      </c>
      <c r="C35">
        <f>390*E2015_ref</f>
        <v>406.68810000000002</v>
      </c>
      <c r="D35" s="61" t="s">
        <v>192</v>
      </c>
      <c r="E35" t="str">
        <f>Sources!A53</f>
        <v>DEA2020</v>
      </c>
    </row>
    <row r="36" spans="1:5" s="45" customFormat="1" x14ac:dyDescent="0.3">
      <c r="A36" s="203"/>
      <c r="B36" t="s">
        <v>1423</v>
      </c>
      <c r="C36">
        <f>300*E2015_ref</f>
        <v>312.83700000000005</v>
      </c>
      <c r="D36" s="61" t="s">
        <v>192</v>
      </c>
      <c r="E36" t="str">
        <f>Sources!A53</f>
        <v>DEA2020</v>
      </c>
    </row>
    <row r="37" spans="1:5" x14ac:dyDescent="0.3">
      <c r="A37" s="203"/>
      <c r="B37" t="s">
        <v>1424</v>
      </c>
      <c r="C37">
        <f>360*E2015_ref</f>
        <v>375.40440000000001</v>
      </c>
      <c r="D37" s="61" t="s">
        <v>192</v>
      </c>
      <c r="E37" t="str">
        <f>Sources!A53</f>
        <v>DEA2020</v>
      </c>
    </row>
    <row r="38" spans="1:5" x14ac:dyDescent="0.3">
      <c r="A38" s="203"/>
      <c r="B38" t="s">
        <v>1425</v>
      </c>
      <c r="C38">
        <f>460*E2015_ref</f>
        <v>479.68340000000006</v>
      </c>
      <c r="D38" s="61" t="s">
        <v>192</v>
      </c>
      <c r="E38" t="str">
        <f>Sources!A53</f>
        <v>DEA2020</v>
      </c>
    </row>
    <row r="39" spans="1:5" x14ac:dyDescent="0.3">
      <c r="D39" s="5"/>
    </row>
    <row r="40" spans="1:5" x14ac:dyDescent="0.3">
      <c r="A40" s="203" t="s">
        <v>1750</v>
      </c>
      <c r="B40" s="60" t="s">
        <v>1418</v>
      </c>
      <c r="C40">
        <f>7.375*E2015_ref</f>
        <v>7.6905762500000012</v>
      </c>
      <c r="D40" s="5" t="s">
        <v>531</v>
      </c>
      <c r="E40" t="str">
        <f>Sources!A53</f>
        <v>DEA2020</v>
      </c>
    </row>
    <row r="41" spans="1:5" x14ac:dyDescent="0.3">
      <c r="A41" s="203"/>
      <c r="B41" s="60" t="s">
        <v>1419</v>
      </c>
      <c r="C41">
        <f>10.7*E2015_ref</f>
        <v>11.157853000000001</v>
      </c>
      <c r="D41" s="5" t="s">
        <v>531</v>
      </c>
      <c r="E41" t="str">
        <f>Sources!A53</f>
        <v>DEA2020</v>
      </c>
    </row>
    <row r="42" spans="1:5" x14ac:dyDescent="0.3">
      <c r="A42" s="203"/>
      <c r="B42" s="60" t="s">
        <v>1420</v>
      </c>
      <c r="C42">
        <f>11.125*E2015_ref</f>
        <v>11.601038750000001</v>
      </c>
      <c r="D42" s="5" t="s">
        <v>531</v>
      </c>
      <c r="E42" t="str">
        <f>Sources!A53</f>
        <v>DEA2020</v>
      </c>
    </row>
    <row r="43" spans="1:5" x14ac:dyDescent="0.3">
      <c r="A43" s="203"/>
      <c r="B43" t="s">
        <v>1421</v>
      </c>
      <c r="C43">
        <f>8.9*E2015_ref</f>
        <v>9.2808310000000009</v>
      </c>
      <c r="D43" s="5" t="s">
        <v>531</v>
      </c>
      <c r="E43" t="str">
        <f>Sources!A53</f>
        <v>DEA2020</v>
      </c>
    </row>
    <row r="44" spans="1:5" x14ac:dyDescent="0.3">
      <c r="A44" s="203"/>
      <c r="B44" t="s">
        <v>1422</v>
      </c>
      <c r="C44">
        <f>8.2*E2015_ref</f>
        <v>8.5508780000000009</v>
      </c>
      <c r="D44" s="5" t="s">
        <v>531</v>
      </c>
      <c r="E44" t="str">
        <f>Sources!A53</f>
        <v>DEA2020</v>
      </c>
    </row>
    <row r="45" spans="1:5" s="60" customFormat="1" x14ac:dyDescent="0.3">
      <c r="A45" s="203"/>
      <c r="B45" s="60" t="s">
        <v>1423</v>
      </c>
      <c r="C45" s="60">
        <f>5*E2015_ref</f>
        <v>5.2139500000000005</v>
      </c>
      <c r="D45" s="5" t="s">
        <v>531</v>
      </c>
      <c r="E45" s="60" t="str">
        <f>Sources!A53</f>
        <v>DEA2020</v>
      </c>
    </row>
    <row r="46" spans="1:5" s="60" customFormat="1" x14ac:dyDescent="0.3">
      <c r="A46" s="203"/>
      <c r="B46" s="60" t="s">
        <v>1424</v>
      </c>
      <c r="C46" s="60">
        <f>7.8*E2015_ref</f>
        <v>8.1337620000000008</v>
      </c>
      <c r="D46" s="5" t="s">
        <v>531</v>
      </c>
      <c r="E46" s="60" t="str">
        <f>Sources!A53</f>
        <v>DEA2020</v>
      </c>
    </row>
    <row r="47" spans="1:5" s="60" customFormat="1" x14ac:dyDescent="0.3">
      <c r="A47" s="203"/>
      <c r="B47" s="60" t="s">
        <v>1425</v>
      </c>
      <c r="C47" s="60">
        <f>7.75*E2015_ref</f>
        <v>8.0816225000000017</v>
      </c>
      <c r="D47" s="5" t="s">
        <v>531</v>
      </c>
      <c r="E47" s="60" t="str">
        <f>Sources!A53</f>
        <v>DEA2020</v>
      </c>
    </row>
    <row r="48" spans="1:5" x14ac:dyDescent="0.3">
      <c r="D48" s="5"/>
    </row>
    <row r="49" spans="1:5" x14ac:dyDescent="0.3">
      <c r="A49" s="13" t="s">
        <v>1752</v>
      </c>
      <c r="D49" s="5"/>
    </row>
    <row r="50" spans="1:5" x14ac:dyDescent="0.3">
      <c r="A50" s="13"/>
      <c r="D50" s="5"/>
    </row>
    <row r="51" spans="1:5" x14ac:dyDescent="0.3">
      <c r="A51" s="203" t="s">
        <v>110</v>
      </c>
      <c r="B51" s="16">
        <v>2020</v>
      </c>
      <c r="C51">
        <v>35</v>
      </c>
      <c r="D51" s="5" t="s">
        <v>132</v>
      </c>
      <c r="E51" t="str">
        <f>Sources!A53</f>
        <v>DEA2020</v>
      </c>
    </row>
    <row r="52" spans="1:5" x14ac:dyDescent="0.3">
      <c r="A52" s="203"/>
      <c r="B52" s="16">
        <v>2030</v>
      </c>
      <c r="C52">
        <v>40</v>
      </c>
      <c r="D52" s="5" t="s">
        <v>132</v>
      </c>
      <c r="E52" t="str">
        <f>Sources!A53</f>
        <v>DEA2020</v>
      </c>
    </row>
    <row r="53" spans="1:5" x14ac:dyDescent="0.3">
      <c r="A53" s="203"/>
      <c r="B53" s="16">
        <v>2040</v>
      </c>
      <c r="C53">
        <v>40</v>
      </c>
      <c r="D53" s="5" t="s">
        <v>132</v>
      </c>
      <c r="E53" t="str">
        <f>Sources!A53</f>
        <v>DEA2020</v>
      </c>
    </row>
    <row r="54" spans="1:5" x14ac:dyDescent="0.3">
      <c r="A54" s="203"/>
      <c r="B54" s="16">
        <v>2050</v>
      </c>
      <c r="C54">
        <v>40</v>
      </c>
      <c r="D54" s="5" t="s">
        <v>132</v>
      </c>
      <c r="E54" t="str">
        <f>Sources!A53</f>
        <v>DEA2020</v>
      </c>
    </row>
    <row r="55" spans="1:5" x14ac:dyDescent="0.3">
      <c r="D55" s="5"/>
    </row>
    <row r="56" spans="1:5" x14ac:dyDescent="0.3">
      <c r="A56" s="203" t="s">
        <v>605</v>
      </c>
      <c r="B56" t="s">
        <v>606</v>
      </c>
      <c r="C56">
        <v>40</v>
      </c>
      <c r="D56" s="5" t="s">
        <v>607</v>
      </c>
      <c r="E56">
        <v>50</v>
      </c>
    </row>
    <row r="57" spans="1:5" x14ac:dyDescent="0.3">
      <c r="A57" s="203"/>
      <c r="B57" t="s">
        <v>1730</v>
      </c>
      <c r="C57">
        <v>90.584795321637415</v>
      </c>
      <c r="D57" s="5" t="s">
        <v>1874</v>
      </c>
      <c r="E57">
        <v>122</v>
      </c>
    </row>
    <row r="58" spans="1:5" x14ac:dyDescent="0.3">
      <c r="A58" s="203"/>
      <c r="B58" t="s">
        <v>1687</v>
      </c>
      <c r="C58">
        <v>61.899610136452274</v>
      </c>
      <c r="D58" s="5" t="s">
        <v>1874</v>
      </c>
      <c r="E58" t="s">
        <v>529</v>
      </c>
    </row>
    <row r="59" spans="1:5" x14ac:dyDescent="0.3">
      <c r="A59" s="203"/>
      <c r="B59">
        <v>2040</v>
      </c>
      <c r="C59">
        <v>33.21442495126707</v>
      </c>
      <c r="D59" s="5" t="s">
        <v>1874</v>
      </c>
      <c r="E59" t="s">
        <v>529</v>
      </c>
    </row>
    <row r="60" spans="1:5" x14ac:dyDescent="0.3">
      <c r="A60" s="203"/>
      <c r="B60">
        <v>2050</v>
      </c>
      <c r="C60">
        <v>4.5292397660818713</v>
      </c>
      <c r="D60" s="5" t="s">
        <v>1874</v>
      </c>
      <c r="E60" t="s">
        <v>529</v>
      </c>
    </row>
    <row r="61" spans="1:5" x14ac:dyDescent="0.3">
      <c r="D61" s="5"/>
    </row>
    <row r="62" spans="1:5" x14ac:dyDescent="0.3">
      <c r="A62" s="203" t="s">
        <v>777</v>
      </c>
      <c r="B62" t="s">
        <v>2041</v>
      </c>
      <c r="C62">
        <v>17.88</v>
      </c>
      <c r="D62" s="5" t="s">
        <v>2040</v>
      </c>
      <c r="E62" t="str">
        <f>Sources!A132</f>
        <v>DEA2022</v>
      </c>
    </row>
    <row r="63" spans="1:5" x14ac:dyDescent="0.3">
      <c r="A63" s="203"/>
      <c r="B63" t="s">
        <v>2289</v>
      </c>
      <c r="C63">
        <f>(1/20)*10^3</f>
        <v>50</v>
      </c>
      <c r="D63" s="5" t="s">
        <v>2040</v>
      </c>
      <c r="E63" t="str">
        <f>Sources!A2</f>
        <v>Armijo2020</v>
      </c>
    </row>
    <row r="64" spans="1:5" x14ac:dyDescent="0.3">
      <c r="A64" s="203"/>
      <c r="B64" t="s">
        <v>2290</v>
      </c>
      <c r="C64">
        <f>(1/50)*10^3</f>
        <v>20</v>
      </c>
      <c r="D64" s="5" t="s">
        <v>2040</v>
      </c>
      <c r="E64" t="str">
        <f>Sources!A2</f>
        <v>Armijo2020</v>
      </c>
    </row>
    <row r="65" spans="1:5" x14ac:dyDescent="0.3">
      <c r="A65" s="203"/>
      <c r="B65" t="s">
        <v>2042</v>
      </c>
      <c r="C65">
        <v>15.93</v>
      </c>
      <c r="D65" s="5" t="s">
        <v>2040</v>
      </c>
      <c r="E65" t="str">
        <f>Sources!A132</f>
        <v>DEA2022</v>
      </c>
    </row>
    <row r="66" spans="1:5" x14ac:dyDescent="0.3">
      <c r="A66" s="203"/>
      <c r="B66" t="s">
        <v>2043</v>
      </c>
      <c r="C66">
        <v>14.96</v>
      </c>
      <c r="D66" s="5" t="s">
        <v>2040</v>
      </c>
      <c r="E66" t="str">
        <f>Sources!A132</f>
        <v>DEA2022</v>
      </c>
    </row>
    <row r="67" spans="1:5" x14ac:dyDescent="0.3">
      <c r="A67" s="203"/>
      <c r="B67" t="s">
        <v>2044</v>
      </c>
      <c r="C67">
        <v>14.09</v>
      </c>
      <c r="D67" s="5" t="s">
        <v>2040</v>
      </c>
      <c r="E67" t="str">
        <f>Sources!A132</f>
        <v>DEA2022</v>
      </c>
    </row>
  </sheetData>
  <mergeCells count="6">
    <mergeCell ref="A62:A67"/>
    <mergeCell ref="A24:A29"/>
    <mergeCell ref="A31:A38"/>
    <mergeCell ref="A40:A47"/>
    <mergeCell ref="A51:A54"/>
    <mergeCell ref="A56:A60"/>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7"/>
  <sheetViews>
    <sheetView topLeftCell="A40" workbookViewId="0">
      <selection activeCell="E50" sqref="E50"/>
    </sheetView>
  </sheetViews>
  <sheetFormatPr defaultColWidth="8.77734375" defaultRowHeight="14.4" x14ac:dyDescent="0.3"/>
  <cols>
    <col min="1" max="1" width="32.21875" customWidth="1"/>
    <col min="2" max="2" width="79" customWidth="1"/>
    <col min="3" max="3" width="7.77734375" customWidth="1"/>
    <col min="4" max="4" width="19.77734375" customWidth="1"/>
    <col min="5" max="5" width="15.33203125" customWidth="1"/>
    <col min="6" max="7" width="12" customWidth="1"/>
    <col min="8" max="8" width="12.77734375" customWidth="1"/>
    <col min="9" max="9" width="21.21875" customWidth="1"/>
  </cols>
  <sheetData>
    <row r="1" spans="1:9" s="29" customFormat="1" x14ac:dyDescent="0.3">
      <c r="A1" s="71" t="s">
        <v>1506</v>
      </c>
    </row>
    <row r="3" spans="1:9" s="33" customFormat="1" x14ac:dyDescent="0.3">
      <c r="A3" s="33" t="s">
        <v>603</v>
      </c>
      <c r="B3" s="32"/>
      <c r="D3" s="32"/>
      <c r="E3" s="34"/>
      <c r="F3" s="32"/>
      <c r="G3" s="48"/>
    </row>
    <row r="4" spans="1:9" x14ac:dyDescent="0.3">
      <c r="B4" s="13"/>
      <c r="D4" s="17"/>
      <c r="E4" s="8"/>
      <c r="F4" s="13"/>
      <c r="G4" s="5"/>
    </row>
    <row r="5" spans="1:9" s="17" customFormat="1" x14ac:dyDescent="0.3">
      <c r="A5" s="17" t="s">
        <v>85</v>
      </c>
      <c r="B5" s="17" t="s">
        <v>52</v>
      </c>
      <c r="C5" s="17" t="s">
        <v>184</v>
      </c>
      <c r="D5" s="18" t="s">
        <v>106</v>
      </c>
      <c r="E5" s="17" t="s">
        <v>183</v>
      </c>
      <c r="F5" s="17">
        <v>2030</v>
      </c>
      <c r="G5" s="17">
        <v>2040</v>
      </c>
      <c r="H5" s="49">
        <v>2050</v>
      </c>
      <c r="I5" s="15"/>
    </row>
    <row r="6" spans="1:9" x14ac:dyDescent="0.3">
      <c r="A6" t="s">
        <v>218</v>
      </c>
      <c r="B6" s="13" t="s">
        <v>425</v>
      </c>
      <c r="C6" s="5" t="s">
        <v>422</v>
      </c>
      <c r="D6" s="5" t="s">
        <v>422</v>
      </c>
      <c r="E6" s="5" t="s">
        <v>422</v>
      </c>
      <c r="F6" s="5" t="s">
        <v>422</v>
      </c>
      <c r="G6" s="5" t="s">
        <v>422</v>
      </c>
      <c r="H6" s="5" t="s">
        <v>422</v>
      </c>
    </row>
    <row r="7" spans="1:9" x14ac:dyDescent="0.3">
      <c r="A7" t="s">
        <v>1779</v>
      </c>
      <c r="B7" s="13" t="s">
        <v>426</v>
      </c>
      <c r="C7">
        <f>C23</f>
        <v>0</v>
      </c>
      <c r="D7">
        <f>C22</f>
        <v>0</v>
      </c>
      <c r="E7">
        <f>C21</f>
        <v>0</v>
      </c>
      <c r="F7" s="5">
        <f>C24</f>
        <v>0</v>
      </c>
      <c r="G7" s="5">
        <f>C25</f>
        <v>0</v>
      </c>
      <c r="H7">
        <f>C27</f>
        <v>0</v>
      </c>
    </row>
    <row r="8" spans="1:9" x14ac:dyDescent="0.3">
      <c r="A8" t="s">
        <v>1750</v>
      </c>
      <c r="B8" s="13" t="s">
        <v>427</v>
      </c>
      <c r="C8">
        <f>C32</f>
        <v>0</v>
      </c>
      <c r="D8">
        <f>C31</f>
        <v>0</v>
      </c>
      <c r="E8">
        <f>C30</f>
        <v>0</v>
      </c>
      <c r="F8" s="5">
        <f>C33</f>
        <v>0</v>
      </c>
      <c r="G8" s="5">
        <f>C34</f>
        <v>0</v>
      </c>
      <c r="H8">
        <f>C36</f>
        <v>0</v>
      </c>
    </row>
    <row r="9" spans="1:9" x14ac:dyDescent="0.3">
      <c r="A9" t="s">
        <v>1751</v>
      </c>
      <c r="B9" s="13" t="s">
        <v>280</v>
      </c>
      <c r="C9">
        <v>0</v>
      </c>
      <c r="D9">
        <v>0</v>
      </c>
      <c r="E9">
        <v>0</v>
      </c>
      <c r="F9">
        <v>0</v>
      </c>
      <c r="G9">
        <v>0</v>
      </c>
      <c r="H9">
        <v>0</v>
      </c>
    </row>
    <row r="10" spans="1:9" x14ac:dyDescent="0.3">
      <c r="A10" t="s">
        <v>110</v>
      </c>
      <c r="B10" s="13" t="s">
        <v>201</v>
      </c>
      <c r="C10">
        <f>$C$41</f>
        <v>30</v>
      </c>
      <c r="D10">
        <f>$C$41</f>
        <v>30</v>
      </c>
      <c r="E10">
        <f>$C$41</f>
        <v>30</v>
      </c>
      <c r="F10" s="5">
        <f>C42</f>
        <v>0</v>
      </c>
      <c r="G10" s="5">
        <f>C43</f>
        <v>0</v>
      </c>
      <c r="H10">
        <f>C44</f>
        <v>0</v>
      </c>
    </row>
    <row r="11" spans="1:9" x14ac:dyDescent="0.3">
      <c r="A11" t="s">
        <v>103</v>
      </c>
      <c r="B11" s="13" t="s">
        <v>51</v>
      </c>
      <c r="C11" s="23">
        <f>Annuities!AF25</f>
        <v>8.5803264560679798E-2</v>
      </c>
      <c r="D11" s="23">
        <f>Annuities!AG25</f>
        <v>8.5803264560679798E-2</v>
      </c>
      <c r="E11" s="23">
        <f>Annuities!AH25</f>
        <v>8.5803264560679798E-2</v>
      </c>
      <c r="F11" s="23">
        <f>Annuities!AI25</f>
        <v>7.9666036677694424E-2</v>
      </c>
      <c r="G11" s="23">
        <f>Annuities!AJ25</f>
        <v>8.3860161500585326E-2</v>
      </c>
      <c r="H11" s="23">
        <f>Annuities!AK25</f>
        <v>8.3860161500585326E-2</v>
      </c>
    </row>
    <row r="12" spans="1:9" x14ac:dyDescent="0.3">
      <c r="A12" t="s">
        <v>1642</v>
      </c>
      <c r="B12" s="13" t="s">
        <v>1875</v>
      </c>
      <c r="C12" s="135">
        <f>$C$47</f>
        <v>0</v>
      </c>
      <c r="D12" s="135">
        <f>$C$47</f>
        <v>0</v>
      </c>
      <c r="E12" s="135">
        <f>$C$47</f>
        <v>0</v>
      </c>
      <c r="F12" s="135">
        <f>$C$48</f>
        <v>0</v>
      </c>
      <c r="G12" s="135">
        <f>$C$49</f>
        <v>0</v>
      </c>
      <c r="H12" s="135">
        <f>$C$50</f>
        <v>0</v>
      </c>
    </row>
    <row r="13" spans="1:9" x14ac:dyDescent="0.3">
      <c r="A13" t="s">
        <v>1651</v>
      </c>
      <c r="B13" s="13" t="s">
        <v>604</v>
      </c>
      <c r="C13">
        <v>0</v>
      </c>
      <c r="D13">
        <v>0</v>
      </c>
      <c r="E13">
        <v>0</v>
      </c>
      <c r="F13">
        <v>0</v>
      </c>
      <c r="G13">
        <v>0</v>
      </c>
      <c r="H13">
        <v>0</v>
      </c>
    </row>
    <row r="14" spans="1:9" x14ac:dyDescent="0.3">
      <c r="A14" t="s">
        <v>2050</v>
      </c>
      <c r="B14" s="13" t="s">
        <v>778</v>
      </c>
      <c r="C14">
        <f>$C$52</f>
        <v>0</v>
      </c>
      <c r="D14">
        <f>$C$52</f>
        <v>0</v>
      </c>
      <c r="E14">
        <f>$C$52</f>
        <v>0</v>
      </c>
      <c r="F14">
        <f>$C$55</f>
        <v>0</v>
      </c>
      <c r="G14">
        <f>$C$56</f>
        <v>0</v>
      </c>
      <c r="H14">
        <f>$C$57</f>
        <v>0</v>
      </c>
    </row>
    <row r="16" spans="1:9" s="26" customFormat="1" x14ac:dyDescent="0.3">
      <c r="A16" s="26" t="s">
        <v>112</v>
      </c>
      <c r="B16" s="27"/>
      <c r="D16" s="57"/>
      <c r="E16" s="28"/>
      <c r="F16" s="27"/>
      <c r="G16" s="50"/>
    </row>
    <row r="17" spans="1:8" x14ac:dyDescent="0.3">
      <c r="B17" s="13"/>
      <c r="D17" s="5"/>
      <c r="E17" s="8"/>
      <c r="F17" s="13"/>
      <c r="G17" s="5"/>
    </row>
    <row r="18" spans="1:8" x14ac:dyDescent="0.3">
      <c r="A18" s="17" t="s">
        <v>85</v>
      </c>
      <c r="B18" s="17" t="s">
        <v>82</v>
      </c>
      <c r="C18" s="15" t="s">
        <v>49</v>
      </c>
      <c r="D18" s="17" t="s">
        <v>52</v>
      </c>
      <c r="E18" s="18" t="s">
        <v>58</v>
      </c>
      <c r="F18" s="15" t="s">
        <v>93</v>
      </c>
      <c r="G18" s="49" t="s">
        <v>80</v>
      </c>
      <c r="H18" s="15" t="s">
        <v>59</v>
      </c>
    </row>
    <row r="21" spans="1:8" x14ac:dyDescent="0.3">
      <c r="A21" s="203" t="s">
        <v>1779</v>
      </c>
      <c r="B21" s="60" t="s">
        <v>1418</v>
      </c>
      <c r="C21" s="60"/>
      <c r="D21" s="61" t="s">
        <v>192</v>
      </c>
      <c r="E21" s="60"/>
    </row>
    <row r="22" spans="1:8" x14ac:dyDescent="0.3">
      <c r="A22" s="203"/>
      <c r="B22" s="60" t="s">
        <v>1419</v>
      </c>
      <c r="C22" s="60"/>
      <c r="D22" s="61" t="s">
        <v>192</v>
      </c>
      <c r="E22" s="60"/>
    </row>
    <row r="23" spans="1:8" x14ac:dyDescent="0.3">
      <c r="A23" s="203"/>
      <c r="B23" s="60" t="s">
        <v>1420</v>
      </c>
      <c r="C23" s="60"/>
      <c r="D23" s="61" t="s">
        <v>192</v>
      </c>
      <c r="E23" s="60"/>
    </row>
    <row r="24" spans="1:8" x14ac:dyDescent="0.3">
      <c r="A24" s="203"/>
      <c r="B24" t="s">
        <v>1421</v>
      </c>
      <c r="D24" s="61" t="s">
        <v>192</v>
      </c>
    </row>
    <row r="25" spans="1:8" x14ac:dyDescent="0.3">
      <c r="A25" s="203"/>
      <c r="B25" t="s">
        <v>1422</v>
      </c>
      <c r="D25" s="61" t="s">
        <v>192</v>
      </c>
    </row>
    <row r="26" spans="1:8" s="45" customFormat="1" x14ac:dyDescent="0.3">
      <c r="A26" s="203"/>
      <c r="B26" t="s">
        <v>1423</v>
      </c>
      <c r="C26"/>
      <c r="D26" s="61" t="s">
        <v>192</v>
      </c>
      <c r="E26"/>
    </row>
    <row r="27" spans="1:8" x14ac:dyDescent="0.3">
      <c r="A27" s="203"/>
      <c r="B27" t="s">
        <v>1424</v>
      </c>
      <c r="D27" s="61" t="s">
        <v>192</v>
      </c>
    </row>
    <row r="28" spans="1:8" x14ac:dyDescent="0.3">
      <c r="A28" s="203"/>
      <c r="B28" t="s">
        <v>1425</v>
      </c>
      <c r="D28" s="61" t="s">
        <v>192</v>
      </c>
    </row>
    <row r="29" spans="1:8" x14ac:dyDescent="0.3">
      <c r="D29" s="5"/>
    </row>
    <row r="30" spans="1:8" x14ac:dyDescent="0.3">
      <c r="A30" s="203" t="s">
        <v>1750</v>
      </c>
      <c r="B30" s="60" t="s">
        <v>1418</v>
      </c>
      <c r="D30" s="5" t="s">
        <v>531</v>
      </c>
    </row>
    <row r="31" spans="1:8" x14ac:dyDescent="0.3">
      <c r="A31" s="203"/>
      <c r="B31" s="60" t="s">
        <v>1419</v>
      </c>
      <c r="D31" s="5" t="s">
        <v>531</v>
      </c>
    </row>
    <row r="32" spans="1:8" x14ac:dyDescent="0.3">
      <c r="A32" s="203"/>
      <c r="B32" s="60" t="s">
        <v>1420</v>
      </c>
      <c r="D32" s="5" t="s">
        <v>531</v>
      </c>
    </row>
    <row r="33" spans="1:5" x14ac:dyDescent="0.3">
      <c r="A33" s="203"/>
      <c r="B33" t="s">
        <v>1421</v>
      </c>
      <c r="D33" s="5" t="s">
        <v>531</v>
      </c>
    </row>
    <row r="34" spans="1:5" x14ac:dyDescent="0.3">
      <c r="A34" s="203"/>
      <c r="B34" t="s">
        <v>1422</v>
      </c>
      <c r="D34" s="5" t="s">
        <v>531</v>
      </c>
    </row>
    <row r="35" spans="1:5" s="60" customFormat="1" x14ac:dyDescent="0.3">
      <c r="A35" s="203"/>
      <c r="B35" s="60" t="s">
        <v>1423</v>
      </c>
      <c r="D35" s="5" t="s">
        <v>531</v>
      </c>
    </row>
    <row r="36" spans="1:5" s="60" customFormat="1" x14ac:dyDescent="0.3">
      <c r="A36" s="203"/>
      <c r="B36" s="60" t="s">
        <v>1424</v>
      </c>
      <c r="D36" s="5" t="s">
        <v>531</v>
      </c>
    </row>
    <row r="37" spans="1:5" s="60" customFormat="1" x14ac:dyDescent="0.3">
      <c r="A37" s="203"/>
      <c r="B37" s="60" t="s">
        <v>1425</v>
      </c>
      <c r="D37" s="5" t="s">
        <v>531</v>
      </c>
    </row>
    <row r="38" spans="1:5" x14ac:dyDescent="0.3">
      <c r="D38" s="5"/>
    </row>
    <row r="39" spans="1:5" x14ac:dyDescent="0.3">
      <c r="A39" s="13" t="s">
        <v>1752</v>
      </c>
      <c r="D39" s="5"/>
    </row>
    <row r="40" spans="1:5" x14ac:dyDescent="0.3">
      <c r="A40" s="13"/>
      <c r="D40" s="5"/>
    </row>
    <row r="41" spans="1:5" x14ac:dyDescent="0.3">
      <c r="A41" s="203" t="s">
        <v>110</v>
      </c>
      <c r="B41" s="16">
        <v>2020</v>
      </c>
      <c r="C41">
        <v>30</v>
      </c>
      <c r="D41" s="5" t="s">
        <v>132</v>
      </c>
      <c r="E41" t="s">
        <v>2299</v>
      </c>
    </row>
    <row r="42" spans="1:5" x14ac:dyDescent="0.3">
      <c r="A42" s="203"/>
      <c r="B42" s="16">
        <v>2030</v>
      </c>
      <c r="D42" s="5" t="s">
        <v>132</v>
      </c>
    </row>
    <row r="43" spans="1:5" x14ac:dyDescent="0.3">
      <c r="A43" s="203"/>
      <c r="B43" s="16">
        <v>2040</v>
      </c>
      <c r="D43" s="5" t="s">
        <v>132</v>
      </c>
    </row>
    <row r="44" spans="1:5" x14ac:dyDescent="0.3">
      <c r="A44" s="203"/>
      <c r="B44" s="16">
        <v>2050</v>
      </c>
      <c r="D44" s="5" t="s">
        <v>132</v>
      </c>
    </row>
    <row r="45" spans="1:5" x14ac:dyDescent="0.3">
      <c r="D45" s="5"/>
    </row>
    <row r="46" spans="1:5" x14ac:dyDescent="0.3">
      <c r="A46" s="203" t="s">
        <v>605</v>
      </c>
      <c r="B46" t="s">
        <v>2301</v>
      </c>
      <c r="C46">
        <f>((6.78*10^7)/(20*10^3))/30</f>
        <v>113</v>
      </c>
      <c r="D46" s="5" t="s">
        <v>2300</v>
      </c>
      <c r="E46" t="str">
        <f>Sources!A140</f>
        <v>Ecoinventcsp2021</v>
      </c>
    </row>
    <row r="47" spans="1:5" x14ac:dyDescent="0.3">
      <c r="A47" s="203"/>
      <c r="D47" s="5" t="s">
        <v>2300</v>
      </c>
    </row>
    <row r="48" spans="1:5" x14ac:dyDescent="0.3">
      <c r="A48" s="203"/>
      <c r="D48" s="5" t="s">
        <v>2300</v>
      </c>
    </row>
    <row r="49" spans="1:4" x14ac:dyDescent="0.3">
      <c r="A49" s="203"/>
      <c r="D49" s="5" t="s">
        <v>2300</v>
      </c>
    </row>
    <row r="50" spans="1:4" x14ac:dyDescent="0.3">
      <c r="A50" s="203"/>
      <c r="D50" s="5" t="s">
        <v>2300</v>
      </c>
    </row>
    <row r="51" spans="1:4" x14ac:dyDescent="0.3">
      <c r="D51" s="5"/>
    </row>
    <row r="52" spans="1:4" x14ac:dyDescent="0.3">
      <c r="A52" s="203" t="s">
        <v>777</v>
      </c>
      <c r="D52" s="5" t="s">
        <v>778</v>
      </c>
    </row>
    <row r="53" spans="1:4" x14ac:dyDescent="0.3">
      <c r="A53" s="203"/>
      <c r="D53" s="5" t="s">
        <v>778</v>
      </c>
    </row>
    <row r="54" spans="1:4" x14ac:dyDescent="0.3">
      <c r="A54" s="203"/>
      <c r="D54" s="5" t="s">
        <v>778</v>
      </c>
    </row>
    <row r="55" spans="1:4" x14ac:dyDescent="0.3">
      <c r="A55" s="203"/>
      <c r="D55" s="5" t="s">
        <v>778</v>
      </c>
    </row>
    <row r="56" spans="1:4" x14ac:dyDescent="0.3">
      <c r="A56" s="203"/>
      <c r="D56" s="5" t="s">
        <v>778</v>
      </c>
    </row>
    <row r="57" spans="1:4" x14ac:dyDescent="0.3">
      <c r="A57" s="203"/>
      <c r="D57" s="5" t="s">
        <v>778</v>
      </c>
    </row>
  </sheetData>
  <mergeCells count="5">
    <mergeCell ref="A21:A28"/>
    <mergeCell ref="A30:A37"/>
    <mergeCell ref="A41:A44"/>
    <mergeCell ref="A46:A50"/>
    <mergeCell ref="A52:A57"/>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F122"/>
  <sheetViews>
    <sheetView topLeftCell="C76" workbookViewId="0">
      <selection activeCell="J82" sqref="J82"/>
    </sheetView>
  </sheetViews>
  <sheetFormatPr defaultColWidth="8.77734375" defaultRowHeight="14.4" x14ac:dyDescent="0.3"/>
  <cols>
    <col min="1" max="1" width="35.21875" customWidth="1"/>
    <col min="2" max="2" width="79.77734375" customWidth="1"/>
    <col min="3" max="3" width="15.77734375" bestFit="1" customWidth="1"/>
    <col min="4" max="4" width="19.21875" customWidth="1"/>
    <col min="5" max="5" width="17.5546875" bestFit="1" customWidth="1"/>
    <col min="6" max="6" width="14.5546875" bestFit="1" customWidth="1"/>
    <col min="7" max="7" width="12.44140625" bestFit="1" customWidth="1"/>
    <col min="8" max="8" width="11.77734375" bestFit="1" customWidth="1"/>
    <col min="10" max="14" width="10.44140625" bestFit="1" customWidth="1"/>
  </cols>
  <sheetData>
    <row r="1" spans="1:32" x14ac:dyDescent="0.3">
      <c r="H1" s="191" t="s">
        <v>1536</v>
      </c>
      <c r="I1" s="191"/>
      <c r="J1" s="191"/>
      <c r="K1" s="191"/>
      <c r="L1" s="191" t="s">
        <v>1537</v>
      </c>
      <c r="M1" s="191"/>
      <c r="N1" s="191"/>
      <c r="O1" s="191"/>
      <c r="P1" s="191" t="s">
        <v>1538</v>
      </c>
      <c r="Q1" s="191"/>
      <c r="R1" s="191"/>
      <c r="S1" s="191"/>
      <c r="T1" s="13"/>
      <c r="U1" s="191" t="s">
        <v>1569</v>
      </c>
      <c r="V1" s="191"/>
      <c r="W1" s="191"/>
      <c r="X1" s="191"/>
      <c r="Y1" s="191" t="s">
        <v>1570</v>
      </c>
      <c r="Z1" s="191"/>
      <c r="AA1" s="191"/>
      <c r="AB1" s="191"/>
      <c r="AC1" s="191" t="s">
        <v>1571</v>
      </c>
      <c r="AD1" s="191"/>
      <c r="AE1" s="191"/>
      <c r="AF1" s="191"/>
    </row>
    <row r="2" spans="1:32" x14ac:dyDescent="0.3">
      <c r="C2" t="s">
        <v>1539</v>
      </c>
      <c r="D2" s="13" t="s">
        <v>1540</v>
      </c>
      <c r="E2" s="13" t="s">
        <v>1541</v>
      </c>
      <c r="F2" s="13" t="s">
        <v>1542</v>
      </c>
      <c r="G2" s="13" t="s">
        <v>1543</v>
      </c>
      <c r="H2" s="13">
        <v>2020</v>
      </c>
      <c r="I2" s="13">
        <v>2030</v>
      </c>
      <c r="J2" s="13">
        <v>2040</v>
      </c>
      <c r="K2" s="13">
        <v>2050</v>
      </c>
      <c r="L2" s="13">
        <v>2020</v>
      </c>
      <c r="M2" s="13">
        <v>2030</v>
      </c>
      <c r="N2" s="13">
        <v>2040</v>
      </c>
      <c r="O2" s="13">
        <v>2050</v>
      </c>
      <c r="P2" s="13">
        <v>2020</v>
      </c>
      <c r="Q2" s="13">
        <v>2030</v>
      </c>
      <c r="R2" s="13">
        <v>2040</v>
      </c>
      <c r="S2" s="13">
        <v>2050</v>
      </c>
      <c r="T2" s="13"/>
      <c r="U2" s="13">
        <v>2020</v>
      </c>
      <c r="V2" s="13">
        <v>2030</v>
      </c>
      <c r="W2" s="13">
        <v>2040</v>
      </c>
      <c r="X2" s="13">
        <v>2050</v>
      </c>
      <c r="Y2" s="13">
        <v>2020</v>
      </c>
      <c r="Z2" s="13">
        <v>2030</v>
      </c>
      <c r="AA2" s="13">
        <v>2040</v>
      </c>
      <c r="AB2" s="13">
        <v>2050</v>
      </c>
      <c r="AC2" s="13">
        <v>2020</v>
      </c>
      <c r="AD2" s="13">
        <v>2030</v>
      </c>
      <c r="AE2" s="13">
        <v>2040</v>
      </c>
      <c r="AF2" s="13">
        <v>2050</v>
      </c>
    </row>
    <row r="3" spans="1:32" x14ac:dyDescent="0.3">
      <c r="A3" t="s">
        <v>1544</v>
      </c>
      <c r="B3" t="s">
        <v>1545</v>
      </c>
      <c r="C3">
        <v>3150</v>
      </c>
      <c r="D3" s="8">
        <v>100</v>
      </c>
      <c r="E3" s="8">
        <v>142</v>
      </c>
      <c r="F3" s="8" t="s">
        <v>1546</v>
      </c>
      <c r="G3" s="8" t="s">
        <v>1547</v>
      </c>
      <c r="H3" s="8">
        <v>1.686514785190282</v>
      </c>
      <c r="I3" s="151">
        <v>1.566049443390976</v>
      </c>
      <c r="J3" s="151">
        <v>1.4757004370414966</v>
      </c>
      <c r="K3" s="151">
        <v>1.4455841015916699</v>
      </c>
      <c r="L3" s="151">
        <v>14000</v>
      </c>
      <c r="M3">
        <v>12600</v>
      </c>
      <c r="N3">
        <v>11592</v>
      </c>
      <c r="O3">
        <v>11340</v>
      </c>
      <c r="P3">
        <v>1.5</v>
      </c>
      <c r="Q3">
        <v>1.35</v>
      </c>
      <c r="R3">
        <v>1.24</v>
      </c>
      <c r="S3">
        <v>1.22</v>
      </c>
      <c r="U3">
        <f t="shared" ref="U3:U14" si="0">H3*1000*E2015_ref</f>
        <v>1758.6807528485745</v>
      </c>
      <c r="V3">
        <f t="shared" ref="V3:V14" si="1">I3*1000*E2015_ref</f>
        <v>1633.060699073676</v>
      </c>
      <c r="W3">
        <f t="shared" ref="W3:W14" si="2">J3*1000*E2015_ref</f>
        <v>1538.8456587425023</v>
      </c>
      <c r="X3">
        <f t="shared" ref="X3:X14" si="3">K3*1000*E2015_ref</f>
        <v>1507.4406452987776</v>
      </c>
      <c r="Y3">
        <f t="shared" ref="Y3:Y14" si="4">L3*E2015_ref/1000</f>
        <v>14.599060000000001</v>
      </c>
      <c r="Z3">
        <f t="shared" ref="Z3:Z14" si="5">M3*E2015_ref/1000</f>
        <v>13.139154000000001</v>
      </c>
      <c r="AA3">
        <f t="shared" ref="AA3:AA14" si="6">N3*E2015_ref/1000</f>
        <v>12.088021680000002</v>
      </c>
      <c r="AB3">
        <f t="shared" ref="AB3:AB14" si="7">O3*E2015_ref/1000</f>
        <v>11.8252386</v>
      </c>
      <c r="AC3">
        <f t="shared" ref="AC3:AC14" si="8">P3*E2015_ref/1000</f>
        <v>1.5641850000000001E-3</v>
      </c>
      <c r="AD3">
        <f t="shared" ref="AD3:AD14" si="9">Q3*E2015_ref/1000</f>
        <v>1.4077665000000001E-3</v>
      </c>
      <c r="AE3">
        <f t="shared" ref="AE3:AE14" si="10">R3*E2015_ref/1000</f>
        <v>1.2930596E-3</v>
      </c>
      <c r="AF3">
        <f t="shared" ref="AF3:AF14" si="11">S3*E2015_ref/1000</f>
        <v>1.2722038E-3</v>
      </c>
    </row>
    <row r="4" spans="1:32" x14ac:dyDescent="0.3">
      <c r="A4" t="s">
        <v>1548</v>
      </c>
      <c r="B4" t="s">
        <v>1545</v>
      </c>
      <c r="C4">
        <v>3150</v>
      </c>
      <c r="D4" s="8">
        <v>150</v>
      </c>
      <c r="E4" s="8">
        <v>142</v>
      </c>
      <c r="F4" s="8" t="s">
        <v>1546</v>
      </c>
      <c r="G4" s="8" t="s">
        <v>1547</v>
      </c>
      <c r="H4" s="8">
        <v>2.0989781447397347</v>
      </c>
      <c r="I4" s="151">
        <v>1.9490511344011821</v>
      </c>
      <c r="J4" s="151">
        <v>1.8366058766472677</v>
      </c>
      <c r="K4" s="151">
        <v>1.7991241240626294</v>
      </c>
      <c r="L4" s="151">
        <v>14000</v>
      </c>
      <c r="M4">
        <v>12600</v>
      </c>
      <c r="N4">
        <v>11592</v>
      </c>
      <c r="O4">
        <v>11340</v>
      </c>
      <c r="P4">
        <v>1.5</v>
      </c>
      <c r="Q4">
        <v>1.35</v>
      </c>
      <c r="R4">
        <v>1.24</v>
      </c>
      <c r="S4">
        <v>1.22</v>
      </c>
      <c r="U4">
        <f t="shared" si="0"/>
        <v>2188.7934195531479</v>
      </c>
      <c r="V4">
        <f t="shared" si="1"/>
        <v>2032.4510324422088</v>
      </c>
      <c r="W4">
        <f t="shared" si="2"/>
        <v>1915.1942421090046</v>
      </c>
      <c r="X4">
        <f t="shared" si="3"/>
        <v>1876.1086453312696</v>
      </c>
      <c r="Y4">
        <f t="shared" si="4"/>
        <v>14.599060000000001</v>
      </c>
      <c r="Z4">
        <f t="shared" si="5"/>
        <v>13.139154000000001</v>
      </c>
      <c r="AA4">
        <f t="shared" si="6"/>
        <v>12.088021680000002</v>
      </c>
      <c r="AB4">
        <f t="shared" si="7"/>
        <v>11.8252386</v>
      </c>
      <c r="AC4">
        <f t="shared" si="8"/>
        <v>1.5641850000000001E-3</v>
      </c>
      <c r="AD4">
        <f t="shared" si="9"/>
        <v>1.4077665000000001E-3</v>
      </c>
      <c r="AE4">
        <f t="shared" si="10"/>
        <v>1.2930596E-3</v>
      </c>
      <c r="AF4">
        <f t="shared" si="11"/>
        <v>1.2722038E-3</v>
      </c>
    </row>
    <row r="5" spans="1:32" x14ac:dyDescent="0.3">
      <c r="A5" t="s">
        <v>1549</v>
      </c>
      <c r="B5" t="s">
        <v>1545</v>
      </c>
      <c r="C5">
        <v>3450</v>
      </c>
      <c r="D5" s="8">
        <v>100</v>
      </c>
      <c r="E5" s="8">
        <v>136</v>
      </c>
      <c r="F5" s="8" t="s">
        <v>1550</v>
      </c>
      <c r="G5" s="8" t="s">
        <v>1551</v>
      </c>
      <c r="H5" s="8">
        <v>1.4909644239690312</v>
      </c>
      <c r="I5" s="151">
        <v>1.3844669651141002</v>
      </c>
      <c r="J5" s="151">
        <v>1.3045938709729021</v>
      </c>
      <c r="K5" s="151">
        <v>1.2779695062591692</v>
      </c>
      <c r="L5" s="151">
        <v>14000</v>
      </c>
      <c r="M5">
        <v>12600</v>
      </c>
      <c r="N5">
        <v>11592</v>
      </c>
      <c r="O5">
        <v>11340</v>
      </c>
      <c r="P5">
        <v>1.5</v>
      </c>
      <c r="Q5">
        <v>1.35</v>
      </c>
      <c r="R5">
        <v>1.24</v>
      </c>
      <c r="S5">
        <v>1.22</v>
      </c>
      <c r="U5">
        <f t="shared" si="0"/>
        <v>1554.7627916706663</v>
      </c>
      <c r="V5">
        <f t="shared" si="1"/>
        <v>1443.7083065513327</v>
      </c>
      <c r="W5">
        <f t="shared" si="2"/>
        <v>1360.4174427118328</v>
      </c>
      <c r="X5">
        <f t="shared" si="3"/>
        <v>1332.6538214319989</v>
      </c>
      <c r="Y5">
        <f t="shared" si="4"/>
        <v>14.599060000000001</v>
      </c>
      <c r="Z5">
        <f t="shared" si="5"/>
        <v>13.139154000000001</v>
      </c>
      <c r="AA5">
        <f t="shared" si="6"/>
        <v>12.088021680000002</v>
      </c>
      <c r="AB5">
        <f t="shared" si="7"/>
        <v>11.8252386</v>
      </c>
      <c r="AC5">
        <f t="shared" si="8"/>
        <v>1.5641850000000001E-3</v>
      </c>
      <c r="AD5">
        <f t="shared" si="9"/>
        <v>1.4077665000000001E-3</v>
      </c>
      <c r="AE5">
        <f t="shared" si="10"/>
        <v>1.2930596E-3</v>
      </c>
      <c r="AF5">
        <f t="shared" si="11"/>
        <v>1.2722038E-3</v>
      </c>
    </row>
    <row r="6" spans="1:32" x14ac:dyDescent="0.3">
      <c r="A6" t="s">
        <v>1552</v>
      </c>
      <c r="B6" t="s">
        <v>1545</v>
      </c>
      <c r="C6">
        <v>3450</v>
      </c>
      <c r="D6" s="8">
        <v>150</v>
      </c>
      <c r="E6" s="8">
        <v>136</v>
      </c>
      <c r="F6" s="8" t="s">
        <v>1550</v>
      </c>
      <c r="G6" s="8" t="s">
        <v>1551</v>
      </c>
      <c r="H6" s="8">
        <v>1.8675609536191173</v>
      </c>
      <c r="I6" s="151">
        <v>1.734163742646323</v>
      </c>
      <c r="J6" s="151">
        <v>1.6341158344167273</v>
      </c>
      <c r="K6" s="151">
        <v>1.6007665316735287</v>
      </c>
      <c r="L6" s="151">
        <v>14000</v>
      </c>
      <c r="M6">
        <v>12600</v>
      </c>
      <c r="N6">
        <v>11592</v>
      </c>
      <c r="O6">
        <v>11340</v>
      </c>
      <c r="P6">
        <v>1.5</v>
      </c>
      <c r="Q6">
        <v>1.35</v>
      </c>
      <c r="R6">
        <v>1.24</v>
      </c>
      <c r="S6">
        <v>1.22</v>
      </c>
      <c r="U6">
        <f t="shared" si="0"/>
        <v>1947.4738868244795</v>
      </c>
      <c r="V6">
        <f t="shared" si="1"/>
        <v>1808.3686091941595</v>
      </c>
      <c r="W6">
        <f t="shared" si="2"/>
        <v>1704.0396509714192</v>
      </c>
      <c r="X6">
        <f t="shared" si="3"/>
        <v>1669.2633315638391</v>
      </c>
      <c r="Y6">
        <f t="shared" si="4"/>
        <v>14.599060000000001</v>
      </c>
      <c r="Z6">
        <f t="shared" si="5"/>
        <v>13.139154000000001</v>
      </c>
      <c r="AA6">
        <f t="shared" si="6"/>
        <v>12.088021680000002</v>
      </c>
      <c r="AB6">
        <f t="shared" si="7"/>
        <v>11.8252386</v>
      </c>
      <c r="AC6">
        <f t="shared" si="8"/>
        <v>1.5641850000000001E-3</v>
      </c>
      <c r="AD6">
        <f t="shared" si="9"/>
        <v>1.4077665000000001E-3</v>
      </c>
      <c r="AE6">
        <f t="shared" si="10"/>
        <v>1.2930596E-3</v>
      </c>
      <c r="AF6">
        <f t="shared" si="11"/>
        <v>1.2722038E-3</v>
      </c>
    </row>
    <row r="7" spans="1:32" x14ac:dyDescent="0.3">
      <c r="A7" t="s">
        <v>1553</v>
      </c>
      <c r="B7" t="s">
        <v>1545</v>
      </c>
      <c r="C7">
        <v>3450</v>
      </c>
      <c r="D7" s="8">
        <v>100</v>
      </c>
      <c r="E7" s="8">
        <v>126</v>
      </c>
      <c r="F7" s="8" t="s">
        <v>1550</v>
      </c>
      <c r="G7" s="8" t="s">
        <v>1554</v>
      </c>
      <c r="H7" s="8">
        <v>1.3569202389573831</v>
      </c>
      <c r="I7" s="151">
        <v>1.2599973647461413</v>
      </c>
      <c r="J7" s="151">
        <v>1.1873052090877101</v>
      </c>
      <c r="K7" s="151">
        <v>1.1630744905348995</v>
      </c>
      <c r="L7" s="151">
        <v>14000</v>
      </c>
      <c r="M7">
        <v>12600</v>
      </c>
      <c r="N7">
        <v>11592</v>
      </c>
      <c r="O7">
        <v>11340</v>
      </c>
      <c r="P7">
        <v>1.5</v>
      </c>
      <c r="Q7">
        <v>1.35</v>
      </c>
      <c r="R7">
        <v>1.24</v>
      </c>
      <c r="S7">
        <v>1.22</v>
      </c>
      <c r="U7">
        <f t="shared" si="0"/>
        <v>1414.9828559823698</v>
      </c>
      <c r="V7">
        <f t="shared" si="1"/>
        <v>1313.9126519836288</v>
      </c>
      <c r="W7">
        <f t="shared" si="2"/>
        <v>1238.1099989845734</v>
      </c>
      <c r="X7">
        <f t="shared" si="3"/>
        <v>1212.8424479848879</v>
      </c>
      <c r="Y7">
        <f t="shared" si="4"/>
        <v>14.599060000000001</v>
      </c>
      <c r="Z7">
        <f t="shared" si="5"/>
        <v>13.139154000000001</v>
      </c>
      <c r="AA7">
        <f t="shared" si="6"/>
        <v>12.088021680000002</v>
      </c>
      <c r="AB7">
        <f t="shared" si="7"/>
        <v>11.8252386</v>
      </c>
      <c r="AC7">
        <f t="shared" si="8"/>
        <v>1.5641850000000001E-3</v>
      </c>
      <c r="AD7">
        <f t="shared" si="9"/>
        <v>1.4077665000000001E-3</v>
      </c>
      <c r="AE7">
        <f t="shared" si="10"/>
        <v>1.2930596E-3</v>
      </c>
      <c r="AF7">
        <f t="shared" si="11"/>
        <v>1.2722038E-3</v>
      </c>
    </row>
    <row r="8" spans="1:32" x14ac:dyDescent="0.3">
      <c r="A8" t="s">
        <v>1555</v>
      </c>
      <c r="B8" t="s">
        <v>1545</v>
      </c>
      <c r="C8">
        <v>3450</v>
      </c>
      <c r="D8" s="8">
        <v>150</v>
      </c>
      <c r="E8" s="8">
        <v>126</v>
      </c>
      <c r="F8" s="8" t="s">
        <v>1550</v>
      </c>
      <c r="G8" s="8" t="s">
        <v>1554</v>
      </c>
      <c r="H8" s="8">
        <v>1.7335167686074686</v>
      </c>
      <c r="I8" s="151">
        <v>1.6096941422783635</v>
      </c>
      <c r="J8" s="151">
        <v>1.5168271725315348</v>
      </c>
      <c r="K8" s="151">
        <v>1.4858715159492584</v>
      </c>
      <c r="L8" s="151">
        <v>14000</v>
      </c>
      <c r="M8">
        <v>12600</v>
      </c>
      <c r="N8">
        <v>11592</v>
      </c>
      <c r="O8">
        <v>11340</v>
      </c>
      <c r="P8">
        <v>1.5</v>
      </c>
      <c r="Q8">
        <v>1.35</v>
      </c>
      <c r="R8">
        <v>1.24</v>
      </c>
      <c r="S8">
        <v>1.22</v>
      </c>
      <c r="U8">
        <f t="shared" si="0"/>
        <v>1807.6939511361822</v>
      </c>
      <c r="V8">
        <f t="shared" si="1"/>
        <v>1678.5729546264547</v>
      </c>
      <c r="W8">
        <f t="shared" si="2"/>
        <v>1581.7322072441593</v>
      </c>
      <c r="X8">
        <f t="shared" si="3"/>
        <v>1549.4519581167272</v>
      </c>
      <c r="Y8">
        <f t="shared" si="4"/>
        <v>14.599060000000001</v>
      </c>
      <c r="Z8">
        <f t="shared" si="5"/>
        <v>13.139154000000001</v>
      </c>
      <c r="AA8">
        <f t="shared" si="6"/>
        <v>12.088021680000002</v>
      </c>
      <c r="AB8">
        <f t="shared" si="7"/>
        <v>11.8252386</v>
      </c>
      <c r="AC8">
        <f t="shared" si="8"/>
        <v>1.5641850000000001E-3</v>
      </c>
      <c r="AD8">
        <f t="shared" si="9"/>
        <v>1.4077665000000001E-3</v>
      </c>
      <c r="AE8">
        <f t="shared" si="10"/>
        <v>1.2930596E-3</v>
      </c>
      <c r="AF8">
        <f t="shared" si="11"/>
        <v>1.2722038E-3</v>
      </c>
    </row>
    <row r="9" spans="1:32" x14ac:dyDescent="0.3">
      <c r="A9" t="s">
        <v>1556</v>
      </c>
      <c r="B9" t="s">
        <v>1545</v>
      </c>
      <c r="C9">
        <v>3450</v>
      </c>
      <c r="D9" s="8">
        <v>100</v>
      </c>
      <c r="E9" s="8">
        <v>117</v>
      </c>
      <c r="F9" s="8" t="s">
        <v>1550</v>
      </c>
      <c r="G9" s="8" t="s">
        <v>1557</v>
      </c>
      <c r="H9" s="8">
        <v>1.2478972564690969</v>
      </c>
      <c r="I9" s="151">
        <v>1.1587617381498756</v>
      </c>
      <c r="J9" s="151">
        <v>1.0919100994104596</v>
      </c>
      <c r="K9" s="151">
        <v>1.0696262198306541</v>
      </c>
      <c r="L9" s="151">
        <v>14000</v>
      </c>
      <c r="M9">
        <v>12600</v>
      </c>
      <c r="N9">
        <v>11592</v>
      </c>
      <c r="O9">
        <v>11340</v>
      </c>
      <c r="P9">
        <v>1.5</v>
      </c>
      <c r="Q9">
        <v>1.35</v>
      </c>
      <c r="R9">
        <v>1.24</v>
      </c>
      <c r="S9">
        <v>1.22</v>
      </c>
      <c r="U9">
        <f t="shared" si="0"/>
        <v>1301.2947800734096</v>
      </c>
      <c r="V9">
        <f t="shared" si="1"/>
        <v>1208.3451529253089</v>
      </c>
      <c r="W9">
        <f t="shared" si="2"/>
        <v>1138.6329325642334</v>
      </c>
      <c r="X9">
        <f t="shared" si="3"/>
        <v>1115.3955257772077</v>
      </c>
      <c r="Y9">
        <f t="shared" si="4"/>
        <v>14.599060000000001</v>
      </c>
      <c r="Z9">
        <f t="shared" si="5"/>
        <v>13.139154000000001</v>
      </c>
      <c r="AA9">
        <f t="shared" si="6"/>
        <v>12.088021680000002</v>
      </c>
      <c r="AB9">
        <f t="shared" si="7"/>
        <v>11.8252386</v>
      </c>
      <c r="AC9">
        <f t="shared" si="8"/>
        <v>1.5641850000000001E-3</v>
      </c>
      <c r="AD9">
        <f t="shared" si="9"/>
        <v>1.4077665000000001E-3</v>
      </c>
      <c r="AE9">
        <f t="shared" si="10"/>
        <v>1.2930596E-3</v>
      </c>
      <c r="AF9">
        <f t="shared" si="11"/>
        <v>1.2722038E-3</v>
      </c>
    </row>
    <row r="10" spans="1:32" x14ac:dyDescent="0.3">
      <c r="A10" t="s">
        <v>1558</v>
      </c>
      <c r="B10" t="s">
        <v>1545</v>
      </c>
      <c r="C10">
        <v>3450</v>
      </c>
      <c r="D10" s="8">
        <v>150</v>
      </c>
      <c r="E10" s="8">
        <v>117</v>
      </c>
      <c r="F10" s="8" t="s">
        <v>1550</v>
      </c>
      <c r="G10" s="8" t="s">
        <v>1557</v>
      </c>
      <c r="H10" s="8">
        <v>1.6244942369272919</v>
      </c>
      <c r="I10" s="151">
        <v>1.508458934289628</v>
      </c>
      <c r="J10" s="151">
        <v>1.4214324573113801</v>
      </c>
      <c r="K10" s="151">
        <v>1.392423631651964</v>
      </c>
      <c r="L10" s="151">
        <v>14000</v>
      </c>
      <c r="M10">
        <v>12600</v>
      </c>
      <c r="N10">
        <v>11592</v>
      </c>
      <c r="O10">
        <v>11340</v>
      </c>
      <c r="P10">
        <v>1.5</v>
      </c>
      <c r="Q10">
        <v>1.35</v>
      </c>
      <c r="R10">
        <v>1.24</v>
      </c>
      <c r="S10">
        <v>1.22</v>
      </c>
      <c r="U10">
        <f t="shared" si="0"/>
        <v>1694.0063453254108</v>
      </c>
      <c r="V10">
        <f t="shared" si="1"/>
        <v>1573.0058920878812</v>
      </c>
      <c r="W10">
        <f t="shared" si="2"/>
        <v>1482.2555521597342</v>
      </c>
      <c r="X10">
        <f t="shared" si="3"/>
        <v>1452.0054388503518</v>
      </c>
      <c r="Y10">
        <f t="shared" si="4"/>
        <v>14.599060000000001</v>
      </c>
      <c r="Z10">
        <f t="shared" si="5"/>
        <v>13.139154000000001</v>
      </c>
      <c r="AA10">
        <f t="shared" si="6"/>
        <v>12.088021680000002</v>
      </c>
      <c r="AB10">
        <f t="shared" si="7"/>
        <v>11.8252386</v>
      </c>
      <c r="AC10">
        <f t="shared" si="8"/>
        <v>1.5641850000000001E-3</v>
      </c>
      <c r="AD10">
        <f t="shared" si="9"/>
        <v>1.4077665000000001E-3</v>
      </c>
      <c r="AE10">
        <f t="shared" si="10"/>
        <v>1.2930596E-3</v>
      </c>
      <c r="AF10">
        <f t="shared" si="11"/>
        <v>1.2722038E-3</v>
      </c>
    </row>
    <row r="11" spans="1:32" x14ac:dyDescent="0.3">
      <c r="A11" t="s">
        <v>1559</v>
      </c>
      <c r="B11" t="s">
        <v>1560</v>
      </c>
      <c r="C11">
        <v>8000</v>
      </c>
      <c r="D11" s="8">
        <v>100</v>
      </c>
      <c r="E11" s="8">
        <v>164</v>
      </c>
      <c r="F11" s="8" t="s">
        <v>1550</v>
      </c>
      <c r="G11" s="8" t="s">
        <v>1561</v>
      </c>
      <c r="H11" s="8">
        <v>2.1147023349940546</v>
      </c>
      <c r="I11" s="151">
        <v>1.9161387354640964</v>
      </c>
      <c r="J11" s="151">
        <v>1.7970005757461218</v>
      </c>
      <c r="K11" s="151">
        <v>1.767216035816628</v>
      </c>
      <c r="L11" s="151">
        <v>40059</v>
      </c>
      <c r="M11">
        <v>36053</v>
      </c>
      <c r="N11">
        <v>33169</v>
      </c>
      <c r="O11">
        <v>32448</v>
      </c>
      <c r="P11">
        <v>3</v>
      </c>
      <c r="Q11">
        <v>2.7</v>
      </c>
      <c r="R11" s="152">
        <v>2.5</v>
      </c>
      <c r="S11">
        <v>2.4</v>
      </c>
      <c r="U11">
        <f t="shared" si="0"/>
        <v>2205.1904479084506</v>
      </c>
      <c r="V11">
        <f t="shared" si="1"/>
        <v>1998.1303119546053</v>
      </c>
      <c r="W11">
        <f t="shared" si="2"/>
        <v>1873.8942303822985</v>
      </c>
      <c r="X11">
        <f t="shared" si="3"/>
        <v>1842.8352099892215</v>
      </c>
      <c r="Y11">
        <f t="shared" si="4"/>
        <v>41.773124610000004</v>
      </c>
      <c r="Z11">
        <f t="shared" si="5"/>
        <v>37.595707870000005</v>
      </c>
      <c r="AA11">
        <f t="shared" si="6"/>
        <v>34.588301510000008</v>
      </c>
      <c r="AB11">
        <f t="shared" si="7"/>
        <v>33.836449920000007</v>
      </c>
      <c r="AC11">
        <f t="shared" si="8"/>
        <v>3.1283700000000001E-3</v>
      </c>
      <c r="AD11">
        <f t="shared" si="9"/>
        <v>2.8155330000000003E-3</v>
      </c>
      <c r="AE11">
        <f t="shared" si="10"/>
        <v>2.6069750000000001E-3</v>
      </c>
      <c r="AF11">
        <f t="shared" si="11"/>
        <v>2.5026960000000004E-3</v>
      </c>
    </row>
    <row r="12" spans="1:32" x14ac:dyDescent="0.3">
      <c r="A12" t="s">
        <v>1562</v>
      </c>
      <c r="B12" t="s">
        <v>1560</v>
      </c>
      <c r="C12">
        <v>8000</v>
      </c>
      <c r="D12" s="8">
        <v>150</v>
      </c>
      <c r="E12" s="8">
        <v>164</v>
      </c>
      <c r="F12" s="8" t="s">
        <v>1550</v>
      </c>
      <c r="G12" s="8" t="s">
        <v>1561</v>
      </c>
      <c r="H12" s="8">
        <v>2.4306017265992401</v>
      </c>
      <c r="I12" s="151">
        <v>2.2023762123645696</v>
      </c>
      <c r="J12" s="151">
        <v>2.0654409038237675</v>
      </c>
      <c r="K12" s="151">
        <v>2.0312070766885668</v>
      </c>
      <c r="L12" s="151">
        <v>40059</v>
      </c>
      <c r="M12">
        <v>36053</v>
      </c>
      <c r="N12">
        <v>33169</v>
      </c>
      <c r="O12">
        <v>32448</v>
      </c>
      <c r="P12">
        <v>3</v>
      </c>
      <c r="Q12">
        <v>2.7</v>
      </c>
      <c r="R12" s="152">
        <v>2.5</v>
      </c>
      <c r="S12">
        <v>2.4</v>
      </c>
      <c r="U12">
        <f t="shared" si="0"/>
        <v>2534.6071744804217</v>
      </c>
      <c r="V12">
        <f t="shared" si="1"/>
        <v>2296.6158904916497</v>
      </c>
      <c r="W12">
        <f t="shared" si="2"/>
        <v>2153.8211200983869</v>
      </c>
      <c r="X12">
        <f t="shared" si="3"/>
        <v>2118.1224275000709</v>
      </c>
      <c r="Y12">
        <f t="shared" si="4"/>
        <v>41.773124610000004</v>
      </c>
      <c r="Z12">
        <f t="shared" si="5"/>
        <v>37.595707870000005</v>
      </c>
      <c r="AA12">
        <f t="shared" si="6"/>
        <v>34.588301510000008</v>
      </c>
      <c r="AB12">
        <f t="shared" si="7"/>
        <v>33.836449920000007</v>
      </c>
      <c r="AC12">
        <f t="shared" si="8"/>
        <v>3.1283700000000001E-3</v>
      </c>
      <c r="AD12">
        <f t="shared" si="9"/>
        <v>2.8155330000000003E-3</v>
      </c>
      <c r="AE12">
        <f t="shared" si="10"/>
        <v>2.6069750000000001E-3</v>
      </c>
      <c r="AF12">
        <f t="shared" si="11"/>
        <v>2.5026960000000004E-3</v>
      </c>
    </row>
    <row r="13" spans="1:32" x14ac:dyDescent="0.3">
      <c r="A13" t="s">
        <v>1563</v>
      </c>
      <c r="B13" t="s">
        <v>1560</v>
      </c>
      <c r="C13">
        <v>9500</v>
      </c>
      <c r="D13" s="8">
        <v>100</v>
      </c>
      <c r="E13" s="8">
        <v>164</v>
      </c>
      <c r="F13" s="8" t="s">
        <v>1550</v>
      </c>
      <c r="G13" s="8" t="s">
        <v>1564</v>
      </c>
      <c r="H13" s="8">
        <v>1.9065425288122311</v>
      </c>
      <c r="I13" s="151">
        <v>1.7275244509894863</v>
      </c>
      <c r="J13" s="151">
        <v>1.6201136042958397</v>
      </c>
      <c r="K13" s="151">
        <v>1.5932608926224281</v>
      </c>
      <c r="L13" s="151">
        <v>40059</v>
      </c>
      <c r="M13">
        <v>36053</v>
      </c>
      <c r="N13">
        <v>33169</v>
      </c>
      <c r="O13">
        <v>32448</v>
      </c>
      <c r="P13">
        <v>3</v>
      </c>
      <c r="Q13">
        <v>2.7</v>
      </c>
      <c r="R13" s="152">
        <v>2.5</v>
      </c>
      <c r="S13">
        <v>2.4</v>
      </c>
      <c r="U13">
        <f t="shared" si="0"/>
        <v>1988.1234836201065</v>
      </c>
      <c r="V13">
        <f t="shared" si="1"/>
        <v>1801.4452222473265</v>
      </c>
      <c r="W13">
        <f t="shared" si="2"/>
        <v>1689.4382654236588</v>
      </c>
      <c r="X13">
        <f t="shared" si="3"/>
        <v>1661.4365262177421</v>
      </c>
      <c r="Y13">
        <f t="shared" si="4"/>
        <v>41.773124610000004</v>
      </c>
      <c r="Z13">
        <f t="shared" si="5"/>
        <v>37.595707870000005</v>
      </c>
      <c r="AA13">
        <f t="shared" si="6"/>
        <v>34.588301510000008</v>
      </c>
      <c r="AB13">
        <f t="shared" si="7"/>
        <v>33.836449920000007</v>
      </c>
      <c r="AC13">
        <f t="shared" si="8"/>
        <v>3.1283700000000001E-3</v>
      </c>
      <c r="AD13">
        <f t="shared" si="9"/>
        <v>2.8155330000000003E-3</v>
      </c>
      <c r="AE13">
        <f t="shared" si="10"/>
        <v>2.6069750000000001E-3</v>
      </c>
      <c r="AF13">
        <f t="shared" si="11"/>
        <v>2.5026960000000004E-3</v>
      </c>
    </row>
    <row r="14" spans="1:32" x14ac:dyDescent="0.3">
      <c r="A14" t="s">
        <v>1565</v>
      </c>
      <c r="B14" t="s">
        <v>1560</v>
      </c>
      <c r="C14">
        <v>9500</v>
      </c>
      <c r="D14" s="8">
        <v>150</v>
      </c>
      <c r="E14" s="8">
        <v>164</v>
      </c>
      <c r="F14" s="8" t="s">
        <v>1550</v>
      </c>
      <c r="G14" s="8" t="s">
        <v>1564</v>
      </c>
      <c r="H14" s="8">
        <v>2.1725630691113338</v>
      </c>
      <c r="I14" s="151">
        <v>1.9685665368004104</v>
      </c>
      <c r="J14" s="151">
        <v>1.8461686174138567</v>
      </c>
      <c r="K14" s="151">
        <v>1.815569137567218</v>
      </c>
      <c r="L14" s="151">
        <v>40059</v>
      </c>
      <c r="M14">
        <v>36053</v>
      </c>
      <c r="N14">
        <v>33169</v>
      </c>
      <c r="O14">
        <v>32448</v>
      </c>
      <c r="P14">
        <v>3</v>
      </c>
      <c r="Q14">
        <v>2.7</v>
      </c>
      <c r="R14" s="152">
        <v>2.5</v>
      </c>
      <c r="S14">
        <v>2.4</v>
      </c>
      <c r="U14">
        <f t="shared" si="0"/>
        <v>2265.5270428386079</v>
      </c>
      <c r="V14">
        <f t="shared" si="1"/>
        <v>2052.8014989101002</v>
      </c>
      <c r="W14">
        <f t="shared" si="2"/>
        <v>1925.1661725529959</v>
      </c>
      <c r="X14">
        <f t="shared" si="3"/>
        <v>1893.2573409637196</v>
      </c>
      <c r="Y14">
        <f t="shared" si="4"/>
        <v>41.773124610000004</v>
      </c>
      <c r="Z14">
        <f t="shared" si="5"/>
        <v>37.595707870000005</v>
      </c>
      <c r="AA14">
        <f t="shared" si="6"/>
        <v>34.588301510000008</v>
      </c>
      <c r="AB14">
        <f t="shared" si="7"/>
        <v>33.836449920000007</v>
      </c>
      <c r="AC14">
        <f t="shared" si="8"/>
        <v>3.1283700000000001E-3</v>
      </c>
      <c r="AD14">
        <f t="shared" si="9"/>
        <v>2.8155330000000003E-3</v>
      </c>
      <c r="AE14">
        <f t="shared" si="10"/>
        <v>2.6069750000000001E-3</v>
      </c>
      <c r="AF14">
        <f t="shared" si="11"/>
        <v>2.5026960000000004E-3</v>
      </c>
    </row>
    <row r="15" spans="1:32" x14ac:dyDescent="0.3">
      <c r="D15" s="8"/>
      <c r="E15" s="8"/>
      <c r="F15" s="8"/>
      <c r="G15" s="8"/>
      <c r="H15" s="8"/>
      <c r="I15" s="151"/>
      <c r="J15" s="151"/>
      <c r="K15" s="151"/>
      <c r="L15" s="151"/>
      <c r="R15" s="152"/>
    </row>
    <row r="16" spans="1:32" x14ac:dyDescent="0.3">
      <c r="A16" s="17" t="s">
        <v>1543</v>
      </c>
      <c r="B16" s="17" t="s">
        <v>85</v>
      </c>
      <c r="C16" s="17" t="s">
        <v>184</v>
      </c>
      <c r="D16" s="17" t="s">
        <v>699</v>
      </c>
      <c r="E16" s="18" t="s">
        <v>1566</v>
      </c>
      <c r="F16" s="18">
        <v>2030</v>
      </c>
      <c r="G16" s="18">
        <v>2040</v>
      </c>
      <c r="H16" s="18">
        <v>2050</v>
      </c>
      <c r="I16" s="151"/>
      <c r="J16" s="17" t="s">
        <v>699</v>
      </c>
      <c r="K16" s="18">
        <v>2050</v>
      </c>
      <c r="O16" s="152"/>
    </row>
    <row r="17" spans="1:15" x14ac:dyDescent="0.3">
      <c r="A17" t="s">
        <v>1856</v>
      </c>
      <c r="B17" s="205" t="s">
        <v>1572</v>
      </c>
      <c r="C17" s="8">
        <v>1758.6807528485745</v>
      </c>
      <c r="D17" s="8">
        <v>1758.6807528485745</v>
      </c>
      <c r="E17" s="8">
        <v>1758.6807528485745</v>
      </c>
      <c r="F17" s="8">
        <v>1633.0606990736801</v>
      </c>
      <c r="G17" s="8">
        <v>1538.8456587425023</v>
      </c>
      <c r="H17" s="8">
        <v>1507.4406452987776</v>
      </c>
      <c r="I17" s="151"/>
      <c r="J17" s="156">
        <f t="shared" ref="J17:J52" si="12">D17/DE2019_</f>
        <v>1969.5465751151185</v>
      </c>
      <c r="K17" s="156">
        <f t="shared" ref="K17:K52" si="13">H17/DE2019_</f>
        <v>1688.182778670101</v>
      </c>
      <c r="O17" s="152"/>
    </row>
    <row r="18" spans="1:15" x14ac:dyDescent="0.3">
      <c r="A18" t="s">
        <v>1857</v>
      </c>
      <c r="B18" s="205"/>
      <c r="C18" s="8">
        <v>2188.7934195531479</v>
      </c>
      <c r="D18" s="8">
        <v>2188.7934195531479</v>
      </c>
      <c r="E18" s="8">
        <v>2188.7934195531479</v>
      </c>
      <c r="F18" s="8">
        <v>2032.4510324422088</v>
      </c>
      <c r="G18" s="8">
        <v>1915.1942421090046</v>
      </c>
      <c r="H18" s="8">
        <v>1876.1086453312696</v>
      </c>
      <c r="I18" s="151"/>
      <c r="J18" s="156">
        <f t="shared" si="12"/>
        <v>2451.2297505575702</v>
      </c>
      <c r="K18" s="156">
        <f t="shared" si="13"/>
        <v>2101.0540719064888</v>
      </c>
      <c r="O18" s="152"/>
    </row>
    <row r="19" spans="1:15" x14ac:dyDescent="0.3">
      <c r="A19" t="s">
        <v>1858</v>
      </c>
      <c r="B19" s="205"/>
      <c r="C19" s="8">
        <v>1554.7627916706663</v>
      </c>
      <c r="D19" s="8">
        <v>1554.7627916706663</v>
      </c>
      <c r="E19" s="8">
        <v>1554.7627916706663</v>
      </c>
      <c r="F19" s="8">
        <v>1443.7083065513327</v>
      </c>
      <c r="G19" s="8">
        <v>1360.4174427118328</v>
      </c>
      <c r="H19" s="8">
        <v>1332.6538214319989</v>
      </c>
      <c r="I19" s="151"/>
      <c r="J19" s="156">
        <f t="shared" si="12"/>
        <v>1741.178850391979</v>
      </c>
      <c r="K19" s="156">
        <f t="shared" si="13"/>
        <v>1492.4390146216956</v>
      </c>
      <c r="O19" s="152"/>
    </row>
    <row r="20" spans="1:15" x14ac:dyDescent="0.3">
      <c r="A20" t="s">
        <v>1859</v>
      </c>
      <c r="B20" s="205"/>
      <c r="C20" s="8">
        <v>1947.4738868244795</v>
      </c>
      <c r="D20" s="8">
        <v>1947.4738868244795</v>
      </c>
      <c r="E20" s="8">
        <v>1947.4738868244795</v>
      </c>
      <c r="F20" s="8">
        <v>1808.3686091941595</v>
      </c>
      <c r="G20" s="8">
        <v>1704.0396509714192</v>
      </c>
      <c r="H20" s="8">
        <v>1669.2633315638391</v>
      </c>
      <c r="I20" s="151"/>
      <c r="J20" s="156">
        <f t="shared" si="12"/>
        <v>2180.9760058547345</v>
      </c>
      <c r="K20" s="156">
        <f t="shared" si="13"/>
        <v>1869.4080050183434</v>
      </c>
      <c r="O20" s="152"/>
    </row>
    <row r="21" spans="1:15" x14ac:dyDescent="0.3">
      <c r="A21" t="s">
        <v>1860</v>
      </c>
      <c r="B21" s="205"/>
      <c r="C21" s="8">
        <v>1414.9828559823698</v>
      </c>
      <c r="D21" s="8">
        <v>1414.9828559823698</v>
      </c>
      <c r="E21" s="8">
        <v>1414.9828559823698</v>
      </c>
      <c r="F21" s="8">
        <v>1313.9126519836288</v>
      </c>
      <c r="G21" s="8">
        <v>1238.1099989845734</v>
      </c>
      <c r="H21" s="8">
        <v>1212.8424479848879</v>
      </c>
      <c r="I21" s="151"/>
      <c r="J21" s="156">
        <f t="shared" si="12"/>
        <v>1584.6393004146557</v>
      </c>
      <c r="K21" s="156">
        <f t="shared" si="13"/>
        <v>1358.2622574982759</v>
      </c>
      <c r="O21" s="152"/>
    </row>
    <row r="22" spans="1:15" x14ac:dyDescent="0.3">
      <c r="A22" t="s">
        <v>1861</v>
      </c>
      <c r="B22" s="205"/>
      <c r="C22" s="8">
        <v>1807.6939511361822</v>
      </c>
      <c r="D22" s="8">
        <v>1807.6939511361822</v>
      </c>
      <c r="E22" s="8">
        <v>1807.6939511361822</v>
      </c>
      <c r="F22" s="8">
        <v>1678.5729546264547</v>
      </c>
      <c r="G22" s="8">
        <v>1581.7322072441593</v>
      </c>
      <c r="H22" s="8">
        <v>1549.4519581167272</v>
      </c>
      <c r="I22" s="151"/>
      <c r="J22" s="156">
        <f t="shared" si="12"/>
        <v>2024.4364558774105</v>
      </c>
      <c r="K22" s="156">
        <f t="shared" si="13"/>
        <v>1735.2312478949227</v>
      </c>
      <c r="O22" s="152"/>
    </row>
    <row r="23" spans="1:15" x14ac:dyDescent="0.3">
      <c r="A23" t="s">
        <v>1862</v>
      </c>
      <c r="B23" s="205"/>
      <c r="C23" s="8">
        <v>1301.2947800734096</v>
      </c>
      <c r="D23" s="8">
        <v>1301.2947800734096</v>
      </c>
      <c r="E23" s="8">
        <v>1301.2947800734096</v>
      </c>
      <c r="F23" s="8">
        <v>1208.3451529253089</v>
      </c>
      <c r="G23" s="8">
        <v>1138.6329325642334</v>
      </c>
      <c r="H23" s="8">
        <v>1115.3955257772077</v>
      </c>
      <c r="I23" s="151"/>
      <c r="J23" s="156">
        <f t="shared" si="12"/>
        <v>1457.3200242042112</v>
      </c>
      <c r="K23" s="156">
        <f t="shared" si="13"/>
        <v>1249.1314493178947</v>
      </c>
      <c r="O23" s="152"/>
    </row>
    <row r="24" spans="1:15" x14ac:dyDescent="0.3">
      <c r="A24" t="s">
        <v>1863</v>
      </c>
      <c r="B24" s="205"/>
      <c r="C24" s="13">
        <v>1694.0063453254108</v>
      </c>
      <c r="D24" s="13">
        <v>1694.0063453254108</v>
      </c>
      <c r="E24" s="13">
        <v>1694.0063453254108</v>
      </c>
      <c r="F24" s="13">
        <v>1573.0058920878812</v>
      </c>
      <c r="G24" s="13">
        <v>1482.2555521597342</v>
      </c>
      <c r="H24" s="13">
        <v>1452.0054388503518</v>
      </c>
      <c r="J24" s="156">
        <f t="shared" si="12"/>
        <v>1897.1177061299275</v>
      </c>
      <c r="K24" s="156">
        <f t="shared" si="13"/>
        <v>1626.1008909685088</v>
      </c>
    </row>
    <row r="25" spans="1:15" x14ac:dyDescent="0.3">
      <c r="A25" t="s">
        <v>1866</v>
      </c>
      <c r="B25" s="205"/>
      <c r="C25" s="13">
        <v>2205.1904479084506</v>
      </c>
      <c r="D25" s="13">
        <v>2205.1904479084506</v>
      </c>
      <c r="E25" s="13">
        <v>2205.1904479084506</v>
      </c>
      <c r="F25" s="13">
        <v>1998.1303119546053</v>
      </c>
      <c r="G25" s="13">
        <v>1873.8942303822985</v>
      </c>
      <c r="H25" s="13">
        <v>1842.8352099892215</v>
      </c>
      <c r="J25" s="156">
        <f t="shared" si="12"/>
        <v>2469.5927826126735</v>
      </c>
      <c r="K25" s="156">
        <f t="shared" si="13"/>
        <v>2063.7911516669292</v>
      </c>
    </row>
    <row r="26" spans="1:15" x14ac:dyDescent="0.3">
      <c r="A26" t="s">
        <v>1867</v>
      </c>
      <c r="B26" s="205"/>
      <c r="C26" s="13">
        <v>2534.6071744804217</v>
      </c>
      <c r="D26" s="13">
        <v>2534.6071744804217</v>
      </c>
      <c r="E26" s="13">
        <v>2534.6071744804217</v>
      </c>
      <c r="F26" s="13">
        <v>2296.6158904916497</v>
      </c>
      <c r="G26" s="13">
        <v>2153.8211200983869</v>
      </c>
      <c r="H26" s="13">
        <v>2118.1224275000709</v>
      </c>
      <c r="J26" s="156">
        <f t="shared" si="12"/>
        <v>2838.5065747006242</v>
      </c>
      <c r="K26" s="156">
        <f t="shared" si="13"/>
        <v>2372.0853065573292</v>
      </c>
    </row>
    <row r="27" spans="1:15" x14ac:dyDescent="0.3">
      <c r="A27" t="s">
        <v>1864</v>
      </c>
      <c r="B27" s="205"/>
      <c r="C27" s="13">
        <v>1988.1234836201065</v>
      </c>
      <c r="D27" s="13">
        <v>1988.1234836201065</v>
      </c>
      <c r="E27" s="13">
        <v>1988.1234836201065</v>
      </c>
      <c r="F27" s="13">
        <v>1801.4452222473265</v>
      </c>
      <c r="G27" s="13">
        <v>1689.4382654236588</v>
      </c>
      <c r="H27" s="13">
        <v>1661.4365262177421</v>
      </c>
      <c r="J27" s="156">
        <f t="shared" si="12"/>
        <v>2226.4994893061571</v>
      </c>
      <c r="K27" s="156">
        <f t="shared" si="13"/>
        <v>1860.6427657112492</v>
      </c>
    </row>
    <row r="28" spans="1:15" x14ac:dyDescent="0.3">
      <c r="A28" t="s">
        <v>1865</v>
      </c>
      <c r="B28" s="205"/>
      <c r="C28" s="13">
        <v>2265.5270428386079</v>
      </c>
      <c r="D28" s="13">
        <v>2265.5270428386079</v>
      </c>
      <c r="E28" s="13">
        <v>2265.5270428386079</v>
      </c>
      <c r="F28" s="13">
        <v>2052.8014989101002</v>
      </c>
      <c r="G28" s="13">
        <v>1925.1661725529959</v>
      </c>
      <c r="H28" s="13">
        <v>1893.2573409637196</v>
      </c>
      <c r="J28" s="156">
        <f t="shared" si="12"/>
        <v>2537.1637352749567</v>
      </c>
      <c r="K28" s="156">
        <f t="shared" si="13"/>
        <v>2120.2588961452693</v>
      </c>
    </row>
    <row r="29" spans="1:15" x14ac:dyDescent="0.3">
      <c r="A29" t="s">
        <v>1856</v>
      </c>
      <c r="B29" s="205" t="s">
        <v>1765</v>
      </c>
      <c r="C29">
        <v>14.599060000000001</v>
      </c>
      <c r="D29">
        <v>14.599060000000001</v>
      </c>
      <c r="E29">
        <v>14.599060000000001</v>
      </c>
      <c r="F29">
        <v>13.139154000000001</v>
      </c>
      <c r="G29">
        <v>12.088021680000002</v>
      </c>
      <c r="H29">
        <v>11.8252386</v>
      </c>
      <c r="J29" s="154">
        <f t="shared" si="12"/>
        <v>16.349487293999999</v>
      </c>
      <c r="K29" s="154">
        <f t="shared" si="13"/>
        <v>13.24308470814</v>
      </c>
    </row>
    <row r="30" spans="1:15" x14ac:dyDescent="0.3">
      <c r="A30" t="s">
        <v>1857</v>
      </c>
      <c r="B30" s="205"/>
      <c r="C30">
        <v>14.599060000000001</v>
      </c>
      <c r="D30">
        <v>14.599060000000001</v>
      </c>
      <c r="E30">
        <v>14.599060000000001</v>
      </c>
      <c r="F30">
        <v>13.139154000000001</v>
      </c>
      <c r="G30">
        <v>12.088021680000002</v>
      </c>
      <c r="H30">
        <v>11.8252386</v>
      </c>
      <c r="J30" s="154">
        <f t="shared" si="12"/>
        <v>16.349487293999999</v>
      </c>
      <c r="K30" s="154">
        <f t="shared" si="13"/>
        <v>13.24308470814</v>
      </c>
    </row>
    <row r="31" spans="1:15" x14ac:dyDescent="0.3">
      <c r="A31" t="s">
        <v>1858</v>
      </c>
      <c r="B31" s="205"/>
      <c r="C31">
        <v>14.599060000000001</v>
      </c>
      <c r="D31">
        <v>14.599060000000001</v>
      </c>
      <c r="E31">
        <v>14.599060000000001</v>
      </c>
      <c r="F31">
        <v>13.139154000000001</v>
      </c>
      <c r="G31">
        <v>12.088021680000002</v>
      </c>
      <c r="H31">
        <v>11.8252386</v>
      </c>
      <c r="J31" s="154">
        <f t="shared" si="12"/>
        <v>16.349487293999999</v>
      </c>
      <c r="K31" s="154">
        <f t="shared" si="13"/>
        <v>13.24308470814</v>
      </c>
    </row>
    <row r="32" spans="1:15" x14ac:dyDescent="0.3">
      <c r="A32" t="s">
        <v>1859</v>
      </c>
      <c r="B32" s="205"/>
      <c r="C32">
        <v>14.599060000000001</v>
      </c>
      <c r="D32">
        <v>14.599060000000001</v>
      </c>
      <c r="E32">
        <v>14.599060000000001</v>
      </c>
      <c r="F32">
        <v>13.139154000000001</v>
      </c>
      <c r="G32">
        <v>12.088021680000002</v>
      </c>
      <c r="H32">
        <v>11.8252386</v>
      </c>
      <c r="J32" s="154">
        <f t="shared" si="12"/>
        <v>16.349487293999999</v>
      </c>
      <c r="K32" s="154">
        <f t="shared" si="13"/>
        <v>13.24308470814</v>
      </c>
    </row>
    <row r="33" spans="1:11" x14ac:dyDescent="0.3">
      <c r="A33" t="s">
        <v>1860</v>
      </c>
      <c r="B33" s="205"/>
      <c r="C33">
        <v>14.599060000000001</v>
      </c>
      <c r="D33">
        <v>14.599060000000001</v>
      </c>
      <c r="E33">
        <v>14.599060000000001</v>
      </c>
      <c r="F33">
        <v>13.139154000000001</v>
      </c>
      <c r="G33">
        <v>12.088021680000002</v>
      </c>
      <c r="H33">
        <v>11.8252386</v>
      </c>
      <c r="J33" s="154">
        <f t="shared" si="12"/>
        <v>16.349487293999999</v>
      </c>
      <c r="K33" s="154">
        <f t="shared" si="13"/>
        <v>13.24308470814</v>
      </c>
    </row>
    <row r="34" spans="1:11" x14ac:dyDescent="0.3">
      <c r="A34" t="s">
        <v>1861</v>
      </c>
      <c r="B34" s="205"/>
      <c r="C34">
        <v>14.599060000000001</v>
      </c>
      <c r="D34">
        <v>14.599060000000001</v>
      </c>
      <c r="E34">
        <v>14.599060000000001</v>
      </c>
      <c r="F34">
        <v>13.139154000000001</v>
      </c>
      <c r="G34">
        <v>12.088021680000002</v>
      </c>
      <c r="H34">
        <v>11.8252386</v>
      </c>
      <c r="J34" s="154">
        <f t="shared" si="12"/>
        <v>16.349487293999999</v>
      </c>
      <c r="K34" s="154">
        <f t="shared" si="13"/>
        <v>13.24308470814</v>
      </c>
    </row>
    <row r="35" spans="1:11" x14ac:dyDescent="0.3">
      <c r="A35" t="s">
        <v>1862</v>
      </c>
      <c r="B35" s="205"/>
      <c r="C35">
        <v>14.599060000000001</v>
      </c>
      <c r="D35">
        <v>14.599060000000001</v>
      </c>
      <c r="E35">
        <v>14.599060000000001</v>
      </c>
      <c r="F35">
        <v>13.139154000000001</v>
      </c>
      <c r="G35">
        <v>12.088021680000002</v>
      </c>
      <c r="H35">
        <v>11.8252386</v>
      </c>
      <c r="J35" s="154">
        <f t="shared" si="12"/>
        <v>16.349487293999999</v>
      </c>
      <c r="K35" s="154">
        <f t="shared" si="13"/>
        <v>13.24308470814</v>
      </c>
    </row>
    <row r="36" spans="1:11" x14ac:dyDescent="0.3">
      <c r="A36" t="s">
        <v>1863</v>
      </c>
      <c r="B36" s="205"/>
      <c r="C36">
        <v>14.599060000000001</v>
      </c>
      <c r="D36">
        <v>14.599060000000001</v>
      </c>
      <c r="E36">
        <v>14.599060000000001</v>
      </c>
      <c r="F36">
        <v>13.139154000000001</v>
      </c>
      <c r="G36">
        <v>12.088021680000002</v>
      </c>
      <c r="H36">
        <v>11.8252386</v>
      </c>
      <c r="J36" s="154">
        <f t="shared" si="12"/>
        <v>16.349487293999999</v>
      </c>
      <c r="K36" s="154">
        <f t="shared" si="13"/>
        <v>13.24308470814</v>
      </c>
    </row>
    <row r="37" spans="1:11" x14ac:dyDescent="0.3">
      <c r="A37" t="s">
        <v>1866</v>
      </c>
      <c r="B37" s="205"/>
      <c r="C37">
        <v>41.773124610000004</v>
      </c>
      <c r="D37">
        <v>41.773124610000004</v>
      </c>
      <c r="E37">
        <v>41.773124610000004</v>
      </c>
      <c r="F37">
        <v>37.595707870000005</v>
      </c>
      <c r="G37">
        <v>34.588301510000008</v>
      </c>
      <c r="H37">
        <v>33.836449920000007</v>
      </c>
      <c r="J37" s="154">
        <f t="shared" si="12"/>
        <v>46.781722250739001</v>
      </c>
      <c r="K37" s="154">
        <f t="shared" si="13"/>
        <v>37.893440265408003</v>
      </c>
    </row>
    <row r="38" spans="1:11" x14ac:dyDescent="0.3">
      <c r="A38" t="s">
        <v>1867</v>
      </c>
      <c r="B38" s="205"/>
      <c r="C38">
        <v>41.773124610000004</v>
      </c>
      <c r="D38">
        <v>41.773124610000004</v>
      </c>
      <c r="E38">
        <v>41.773124610000004</v>
      </c>
      <c r="F38">
        <v>37.595707870000005</v>
      </c>
      <c r="G38">
        <v>34.588301510000008</v>
      </c>
      <c r="H38">
        <v>33.836449920000007</v>
      </c>
      <c r="J38" s="154">
        <f t="shared" si="12"/>
        <v>46.781722250739001</v>
      </c>
      <c r="K38" s="154">
        <f t="shared" si="13"/>
        <v>37.893440265408003</v>
      </c>
    </row>
    <row r="39" spans="1:11" x14ac:dyDescent="0.3">
      <c r="A39" t="s">
        <v>1864</v>
      </c>
      <c r="B39" s="205"/>
      <c r="C39">
        <v>41.773124610000004</v>
      </c>
      <c r="D39">
        <v>41.773124610000004</v>
      </c>
      <c r="E39">
        <v>41.773124610000004</v>
      </c>
      <c r="F39">
        <v>37.595707870000005</v>
      </c>
      <c r="G39">
        <v>34.588301510000008</v>
      </c>
      <c r="H39">
        <v>33.836449920000007</v>
      </c>
      <c r="J39" s="154">
        <f t="shared" si="12"/>
        <v>46.781722250739001</v>
      </c>
      <c r="K39" s="154">
        <f t="shared" si="13"/>
        <v>37.893440265408003</v>
      </c>
    </row>
    <row r="40" spans="1:11" x14ac:dyDescent="0.3">
      <c r="A40" t="s">
        <v>1865</v>
      </c>
      <c r="B40" s="205"/>
      <c r="C40">
        <v>41.773124610000004</v>
      </c>
      <c r="D40">
        <v>41.773124610000004</v>
      </c>
      <c r="E40">
        <v>41.773124610000004</v>
      </c>
      <c r="F40">
        <v>37.595707870000005</v>
      </c>
      <c r="G40">
        <v>34.588301510000008</v>
      </c>
      <c r="H40">
        <v>33.836449920000007</v>
      </c>
      <c r="J40" s="154">
        <f t="shared" si="12"/>
        <v>46.781722250739001</v>
      </c>
      <c r="K40" s="154">
        <f t="shared" si="13"/>
        <v>37.893440265408003</v>
      </c>
    </row>
    <row r="41" spans="1:11" x14ac:dyDescent="0.3">
      <c r="A41" t="s">
        <v>1856</v>
      </c>
      <c r="B41" s="205" t="s">
        <v>1766</v>
      </c>
      <c r="C41">
        <v>1.5641850000000001E-3</v>
      </c>
      <c r="D41">
        <v>1.5641850000000001E-3</v>
      </c>
      <c r="E41">
        <v>1.5641850000000001E-3</v>
      </c>
      <c r="F41">
        <v>1.4077665000000001E-3</v>
      </c>
      <c r="G41">
        <v>1.2930596E-3</v>
      </c>
      <c r="H41">
        <v>1.2722038E-3</v>
      </c>
      <c r="J41" s="155">
        <f t="shared" si="12"/>
        <v>1.7517307815000001E-3</v>
      </c>
      <c r="K41" s="155">
        <f t="shared" si="13"/>
        <v>1.42474103562E-3</v>
      </c>
    </row>
    <row r="42" spans="1:11" x14ac:dyDescent="0.3">
      <c r="A42" t="s">
        <v>1857</v>
      </c>
      <c r="B42" s="205"/>
      <c r="C42">
        <v>1.5641850000000001E-3</v>
      </c>
      <c r="D42">
        <v>1.5641850000000001E-3</v>
      </c>
      <c r="E42">
        <v>1.5641850000000001E-3</v>
      </c>
      <c r="F42">
        <v>1.4077665000000001E-3</v>
      </c>
      <c r="G42">
        <v>1.2930596E-3</v>
      </c>
      <c r="H42">
        <v>1.2722038E-3</v>
      </c>
      <c r="J42" s="155">
        <f t="shared" si="12"/>
        <v>1.7517307815000001E-3</v>
      </c>
      <c r="K42" s="155">
        <f t="shared" si="13"/>
        <v>1.42474103562E-3</v>
      </c>
    </row>
    <row r="43" spans="1:11" x14ac:dyDescent="0.3">
      <c r="A43" t="s">
        <v>1858</v>
      </c>
      <c r="B43" s="205"/>
      <c r="C43">
        <v>1.5641850000000001E-3</v>
      </c>
      <c r="D43">
        <v>1.5641850000000001E-3</v>
      </c>
      <c r="E43">
        <v>1.5641850000000001E-3</v>
      </c>
      <c r="F43">
        <v>1.4077665000000001E-3</v>
      </c>
      <c r="G43">
        <v>1.2930596E-3</v>
      </c>
      <c r="H43">
        <v>1.2722038E-3</v>
      </c>
      <c r="J43" s="155">
        <f t="shared" si="12"/>
        <v>1.7517307815000001E-3</v>
      </c>
      <c r="K43" s="155">
        <f t="shared" si="13"/>
        <v>1.42474103562E-3</v>
      </c>
    </row>
    <row r="44" spans="1:11" x14ac:dyDescent="0.3">
      <c r="A44" t="s">
        <v>1859</v>
      </c>
      <c r="B44" s="205"/>
      <c r="C44">
        <v>1.5641850000000001E-3</v>
      </c>
      <c r="D44">
        <v>1.5641850000000001E-3</v>
      </c>
      <c r="E44">
        <v>1.5641850000000001E-3</v>
      </c>
      <c r="F44">
        <v>1.4077665000000001E-3</v>
      </c>
      <c r="G44">
        <v>1.2930596E-3</v>
      </c>
      <c r="H44">
        <v>1.2722038E-3</v>
      </c>
      <c r="J44" s="155">
        <f t="shared" si="12"/>
        <v>1.7517307815000001E-3</v>
      </c>
      <c r="K44" s="155">
        <f t="shared" si="13"/>
        <v>1.42474103562E-3</v>
      </c>
    </row>
    <row r="45" spans="1:11" x14ac:dyDescent="0.3">
      <c r="A45" t="s">
        <v>1860</v>
      </c>
      <c r="B45" s="205"/>
      <c r="C45">
        <v>1.5641850000000001E-3</v>
      </c>
      <c r="D45">
        <v>1.5641850000000001E-3</v>
      </c>
      <c r="E45">
        <v>1.5641850000000001E-3</v>
      </c>
      <c r="F45">
        <v>1.4077665000000001E-3</v>
      </c>
      <c r="G45">
        <v>1.2930596E-3</v>
      </c>
      <c r="H45">
        <v>1.2722038E-3</v>
      </c>
      <c r="J45" s="155">
        <f t="shared" si="12"/>
        <v>1.7517307815000001E-3</v>
      </c>
      <c r="K45" s="155">
        <f t="shared" si="13"/>
        <v>1.42474103562E-3</v>
      </c>
    </row>
    <row r="46" spans="1:11" x14ac:dyDescent="0.3">
      <c r="A46" t="s">
        <v>1861</v>
      </c>
      <c r="B46" s="205"/>
      <c r="C46">
        <v>1.5641850000000001E-3</v>
      </c>
      <c r="D46">
        <v>1.5641850000000001E-3</v>
      </c>
      <c r="E46">
        <v>1.5641850000000001E-3</v>
      </c>
      <c r="F46">
        <v>1.4077665000000001E-3</v>
      </c>
      <c r="G46">
        <v>1.2930596E-3</v>
      </c>
      <c r="H46">
        <v>1.2722038E-3</v>
      </c>
      <c r="J46" s="155">
        <f t="shared" si="12"/>
        <v>1.7517307815000001E-3</v>
      </c>
      <c r="K46" s="155">
        <f t="shared" si="13"/>
        <v>1.42474103562E-3</v>
      </c>
    </row>
    <row r="47" spans="1:11" x14ac:dyDescent="0.3">
      <c r="A47" t="s">
        <v>1862</v>
      </c>
      <c r="B47" s="205"/>
      <c r="C47">
        <v>1.5641850000000001E-3</v>
      </c>
      <c r="D47">
        <v>1.5641850000000001E-3</v>
      </c>
      <c r="E47">
        <v>1.5641850000000001E-3</v>
      </c>
      <c r="F47">
        <v>1.4077665000000001E-3</v>
      </c>
      <c r="G47">
        <v>1.2930596E-3</v>
      </c>
      <c r="H47">
        <v>1.2722038E-3</v>
      </c>
      <c r="J47" s="155">
        <f t="shared" si="12"/>
        <v>1.7517307815000001E-3</v>
      </c>
      <c r="K47" s="155">
        <f t="shared" si="13"/>
        <v>1.42474103562E-3</v>
      </c>
    </row>
    <row r="48" spans="1:11" x14ac:dyDescent="0.3">
      <c r="A48" t="s">
        <v>1863</v>
      </c>
      <c r="B48" s="205"/>
      <c r="C48">
        <v>1.5641850000000001E-3</v>
      </c>
      <c r="D48">
        <v>1.5641850000000001E-3</v>
      </c>
      <c r="E48">
        <v>1.5641850000000001E-3</v>
      </c>
      <c r="F48">
        <v>1.4077665000000001E-3</v>
      </c>
      <c r="G48">
        <v>1.2930596E-3</v>
      </c>
      <c r="H48">
        <v>1.2722038E-3</v>
      </c>
      <c r="J48" s="155">
        <f t="shared" si="12"/>
        <v>1.7517307815000001E-3</v>
      </c>
      <c r="K48" s="155">
        <f t="shared" si="13"/>
        <v>1.42474103562E-3</v>
      </c>
    </row>
    <row r="49" spans="1:11" x14ac:dyDescent="0.3">
      <c r="A49" t="s">
        <v>1866</v>
      </c>
      <c r="B49" s="205"/>
      <c r="C49">
        <v>3.1283700000000001E-3</v>
      </c>
      <c r="D49">
        <v>3.1283700000000001E-3</v>
      </c>
      <c r="E49">
        <v>3.1283700000000001E-3</v>
      </c>
      <c r="F49">
        <v>2.8155330000000003E-3</v>
      </c>
      <c r="G49">
        <v>2.6069750000000001E-3</v>
      </c>
      <c r="H49">
        <v>2.5026960000000004E-3</v>
      </c>
      <c r="J49" s="155">
        <f t="shared" si="12"/>
        <v>3.5034615630000002E-3</v>
      </c>
      <c r="K49" s="155">
        <f t="shared" si="13"/>
        <v>2.8027692504000003E-3</v>
      </c>
    </row>
    <row r="50" spans="1:11" x14ac:dyDescent="0.3">
      <c r="A50" t="s">
        <v>1867</v>
      </c>
      <c r="B50" s="205"/>
      <c r="C50">
        <v>3.1283700000000001E-3</v>
      </c>
      <c r="D50">
        <v>3.1283700000000001E-3</v>
      </c>
      <c r="E50">
        <v>3.1283700000000001E-3</v>
      </c>
      <c r="F50">
        <v>2.8155330000000003E-3</v>
      </c>
      <c r="G50">
        <v>2.6069750000000001E-3</v>
      </c>
      <c r="H50">
        <v>2.5026960000000004E-3</v>
      </c>
      <c r="J50" s="155">
        <f t="shared" si="12"/>
        <v>3.5034615630000002E-3</v>
      </c>
      <c r="K50" s="155">
        <f t="shared" si="13"/>
        <v>2.8027692504000003E-3</v>
      </c>
    </row>
    <row r="51" spans="1:11" x14ac:dyDescent="0.3">
      <c r="A51" t="s">
        <v>1864</v>
      </c>
      <c r="B51" s="205"/>
      <c r="C51">
        <v>3.1283700000000001E-3</v>
      </c>
      <c r="D51">
        <v>3.1283700000000001E-3</v>
      </c>
      <c r="E51">
        <v>3.1283700000000001E-3</v>
      </c>
      <c r="F51">
        <v>2.8155330000000003E-3</v>
      </c>
      <c r="G51">
        <v>2.6069750000000001E-3</v>
      </c>
      <c r="H51">
        <v>2.5026960000000004E-3</v>
      </c>
      <c r="J51" s="155">
        <f t="shared" si="12"/>
        <v>3.5034615630000002E-3</v>
      </c>
      <c r="K51" s="155">
        <f t="shared" si="13"/>
        <v>2.8027692504000003E-3</v>
      </c>
    </row>
    <row r="52" spans="1:11" x14ac:dyDescent="0.3">
      <c r="A52" t="s">
        <v>1865</v>
      </c>
      <c r="B52" s="205"/>
      <c r="C52">
        <v>3.1283700000000001E-3</v>
      </c>
      <c r="D52">
        <v>3.1283700000000001E-3</v>
      </c>
      <c r="E52">
        <v>3.1283700000000001E-3</v>
      </c>
      <c r="F52">
        <v>2.8155330000000003E-3</v>
      </c>
      <c r="G52">
        <v>2.6069750000000001E-3</v>
      </c>
      <c r="H52">
        <v>2.5026960000000004E-3</v>
      </c>
      <c r="J52" s="155">
        <f t="shared" si="12"/>
        <v>3.5034615630000002E-3</v>
      </c>
      <c r="K52" s="155">
        <f t="shared" si="13"/>
        <v>2.8027692504000003E-3</v>
      </c>
    </row>
    <row r="53" spans="1:11" x14ac:dyDescent="0.3">
      <c r="A53" t="s">
        <v>1856</v>
      </c>
      <c r="B53" s="203" t="s">
        <v>1573</v>
      </c>
      <c r="C53">
        <v>27</v>
      </c>
      <c r="D53">
        <v>27</v>
      </c>
      <c r="E53">
        <v>27</v>
      </c>
      <c r="F53">
        <v>30</v>
      </c>
      <c r="G53">
        <v>30</v>
      </c>
      <c r="H53">
        <v>30</v>
      </c>
    </row>
    <row r="54" spans="1:11" x14ac:dyDescent="0.3">
      <c r="A54" t="s">
        <v>1857</v>
      </c>
      <c r="B54" s="203"/>
      <c r="C54">
        <v>27</v>
      </c>
      <c r="D54">
        <v>27</v>
      </c>
      <c r="E54">
        <v>27</v>
      </c>
      <c r="F54">
        <v>30</v>
      </c>
      <c r="G54">
        <v>30</v>
      </c>
      <c r="H54">
        <v>30</v>
      </c>
    </row>
    <row r="55" spans="1:11" x14ac:dyDescent="0.3">
      <c r="A55" t="s">
        <v>1858</v>
      </c>
      <c r="B55" s="203"/>
      <c r="C55">
        <v>27</v>
      </c>
      <c r="D55">
        <v>27</v>
      </c>
      <c r="E55">
        <v>27</v>
      </c>
      <c r="F55">
        <v>30</v>
      </c>
      <c r="G55">
        <v>30</v>
      </c>
      <c r="H55">
        <v>30</v>
      </c>
    </row>
    <row r="56" spans="1:11" x14ac:dyDescent="0.3">
      <c r="A56" t="s">
        <v>1859</v>
      </c>
      <c r="B56" s="203"/>
      <c r="C56">
        <v>27</v>
      </c>
      <c r="D56">
        <v>27</v>
      </c>
      <c r="E56">
        <v>27</v>
      </c>
      <c r="F56">
        <v>30</v>
      </c>
      <c r="G56">
        <v>30</v>
      </c>
      <c r="H56">
        <v>30</v>
      </c>
    </row>
    <row r="57" spans="1:11" x14ac:dyDescent="0.3">
      <c r="A57" t="s">
        <v>1860</v>
      </c>
      <c r="B57" s="203"/>
      <c r="C57">
        <v>27</v>
      </c>
      <c r="D57">
        <v>27</v>
      </c>
      <c r="E57">
        <v>27</v>
      </c>
      <c r="F57">
        <v>30</v>
      </c>
      <c r="G57">
        <v>30</v>
      </c>
      <c r="H57">
        <v>30</v>
      </c>
    </row>
    <row r="58" spans="1:11" x14ac:dyDescent="0.3">
      <c r="A58" t="s">
        <v>1861</v>
      </c>
      <c r="B58" s="203"/>
      <c r="C58">
        <v>27</v>
      </c>
      <c r="D58">
        <v>27</v>
      </c>
      <c r="E58">
        <v>27</v>
      </c>
      <c r="F58">
        <v>30</v>
      </c>
      <c r="G58">
        <v>30</v>
      </c>
      <c r="H58">
        <v>30</v>
      </c>
    </row>
    <row r="59" spans="1:11" x14ac:dyDescent="0.3">
      <c r="A59" t="s">
        <v>1862</v>
      </c>
      <c r="B59" s="203"/>
      <c r="C59">
        <v>27</v>
      </c>
      <c r="D59">
        <v>27</v>
      </c>
      <c r="E59">
        <v>27</v>
      </c>
      <c r="F59">
        <v>30</v>
      </c>
      <c r="G59">
        <v>30</v>
      </c>
      <c r="H59">
        <v>30</v>
      </c>
    </row>
    <row r="60" spans="1:11" x14ac:dyDescent="0.3">
      <c r="A60" t="s">
        <v>1863</v>
      </c>
      <c r="B60" s="203"/>
      <c r="C60">
        <v>27</v>
      </c>
      <c r="D60">
        <v>27</v>
      </c>
      <c r="E60">
        <v>27</v>
      </c>
      <c r="F60">
        <v>30</v>
      </c>
      <c r="G60">
        <v>30</v>
      </c>
      <c r="H60">
        <v>30</v>
      </c>
    </row>
    <row r="61" spans="1:11" x14ac:dyDescent="0.3">
      <c r="A61" t="s">
        <v>1866</v>
      </c>
      <c r="B61" s="203"/>
      <c r="C61">
        <v>27</v>
      </c>
      <c r="D61">
        <v>27</v>
      </c>
      <c r="E61">
        <v>27</v>
      </c>
      <c r="F61">
        <v>30</v>
      </c>
      <c r="G61">
        <v>30</v>
      </c>
      <c r="H61">
        <v>30</v>
      </c>
    </row>
    <row r="62" spans="1:11" x14ac:dyDescent="0.3">
      <c r="A62" t="s">
        <v>1867</v>
      </c>
      <c r="B62" s="203"/>
      <c r="C62">
        <v>27</v>
      </c>
      <c r="D62">
        <v>27</v>
      </c>
      <c r="E62">
        <v>27</v>
      </c>
      <c r="F62">
        <v>30</v>
      </c>
      <c r="G62">
        <v>30</v>
      </c>
      <c r="H62">
        <v>30</v>
      </c>
    </row>
    <row r="63" spans="1:11" x14ac:dyDescent="0.3">
      <c r="A63" t="s">
        <v>1864</v>
      </c>
      <c r="B63" s="203"/>
      <c r="C63">
        <v>27</v>
      </c>
      <c r="D63">
        <v>27</v>
      </c>
      <c r="E63">
        <v>27</v>
      </c>
      <c r="F63">
        <v>30</v>
      </c>
      <c r="G63">
        <v>30</v>
      </c>
      <c r="H63">
        <v>30</v>
      </c>
    </row>
    <row r="64" spans="1:11" x14ac:dyDescent="0.3">
      <c r="A64" t="s">
        <v>1865</v>
      </c>
      <c r="B64" s="203"/>
      <c r="C64">
        <v>27</v>
      </c>
      <c r="D64">
        <v>27</v>
      </c>
      <c r="E64">
        <v>27</v>
      </c>
      <c r="F64">
        <v>30</v>
      </c>
      <c r="G64">
        <v>30</v>
      </c>
      <c r="H64">
        <v>30</v>
      </c>
    </row>
    <row r="65" spans="1:8" x14ac:dyDescent="0.3">
      <c r="A65" t="s">
        <v>1856</v>
      </c>
      <c r="B65" s="203" t="s">
        <v>103</v>
      </c>
      <c r="C65">
        <f>Annuities!AF28</f>
        <v>9.1448096207564403E-2</v>
      </c>
      <c r="D65">
        <f>Annuities!AG28</f>
        <v>9.1448096207564403E-2</v>
      </c>
      <c r="E65">
        <f>Annuities!AH28</f>
        <v>9.1448096207564403E-2</v>
      </c>
      <c r="F65">
        <f>Annuities!AI28</f>
        <v>8.4918639638364407E-2</v>
      </c>
      <c r="G65">
        <f>Annuities!AJ28</f>
        <v>8.8827433387272267E-2</v>
      </c>
      <c r="H65">
        <f>Annuities!AK28</f>
        <v>8.8827433387272267E-2</v>
      </c>
    </row>
    <row r="66" spans="1:8" x14ac:dyDescent="0.3">
      <c r="A66" t="s">
        <v>1857</v>
      </c>
      <c r="B66" s="203"/>
      <c r="C66">
        <f>Annuities!AF29</f>
        <v>9.1448096207564403E-2</v>
      </c>
      <c r="D66">
        <f>Annuities!AG29</f>
        <v>9.1448096207564403E-2</v>
      </c>
      <c r="E66">
        <f>Annuities!AH29</f>
        <v>9.1448096207564403E-2</v>
      </c>
      <c r="F66">
        <f>Annuities!AI29</f>
        <v>8.4918639638364407E-2</v>
      </c>
      <c r="G66">
        <f>Annuities!AJ29</f>
        <v>8.8827433387272267E-2</v>
      </c>
      <c r="H66">
        <f>Annuities!AK29</f>
        <v>8.8827433387272267E-2</v>
      </c>
    </row>
    <row r="67" spans="1:8" x14ac:dyDescent="0.3">
      <c r="A67" t="s">
        <v>1858</v>
      </c>
      <c r="B67" s="203"/>
      <c r="C67">
        <f>Annuities!AF30</f>
        <v>9.1448096207564403E-2</v>
      </c>
      <c r="D67">
        <f>Annuities!AG30</f>
        <v>9.1448096207564403E-2</v>
      </c>
      <c r="E67">
        <f>Annuities!AH30</f>
        <v>9.1448096207564403E-2</v>
      </c>
      <c r="F67">
        <f>Annuities!AI30</f>
        <v>8.4918639638364407E-2</v>
      </c>
      <c r="G67">
        <f>Annuities!AJ30</f>
        <v>8.8827433387272267E-2</v>
      </c>
      <c r="H67">
        <f>Annuities!AK30</f>
        <v>8.8827433387272267E-2</v>
      </c>
    </row>
    <row r="68" spans="1:8" x14ac:dyDescent="0.3">
      <c r="A68" t="s">
        <v>1859</v>
      </c>
      <c r="B68" s="203"/>
      <c r="C68">
        <f>Annuities!AF31</f>
        <v>9.1448096207564403E-2</v>
      </c>
      <c r="D68">
        <f>Annuities!AG31</f>
        <v>9.1448096207564403E-2</v>
      </c>
      <c r="E68">
        <f>Annuities!AH31</f>
        <v>9.1448096207564403E-2</v>
      </c>
      <c r="F68">
        <f>Annuities!AI31</f>
        <v>8.4918639638364407E-2</v>
      </c>
      <c r="G68">
        <f>Annuities!AJ31</f>
        <v>8.8827433387272267E-2</v>
      </c>
      <c r="H68">
        <f>Annuities!AK31</f>
        <v>8.8827433387272267E-2</v>
      </c>
    </row>
    <row r="69" spans="1:8" x14ac:dyDescent="0.3">
      <c r="A69" t="s">
        <v>1860</v>
      </c>
      <c r="B69" s="203"/>
      <c r="C69">
        <f>Annuities!AF32</f>
        <v>9.1448096207564403E-2</v>
      </c>
      <c r="D69">
        <f>Annuities!AG32</f>
        <v>9.1448096207564403E-2</v>
      </c>
      <c r="E69">
        <f>Annuities!AH32</f>
        <v>9.1448096207564403E-2</v>
      </c>
      <c r="F69">
        <f>Annuities!AI32</f>
        <v>8.4918639638364407E-2</v>
      </c>
      <c r="G69">
        <f>Annuities!AJ32</f>
        <v>8.8827433387272267E-2</v>
      </c>
      <c r="H69">
        <f>Annuities!AK32</f>
        <v>8.8827433387272267E-2</v>
      </c>
    </row>
    <row r="70" spans="1:8" x14ac:dyDescent="0.3">
      <c r="A70" t="s">
        <v>1861</v>
      </c>
      <c r="B70" s="203"/>
      <c r="C70">
        <f>Annuities!AF33</f>
        <v>9.1448096207564403E-2</v>
      </c>
      <c r="D70">
        <f>Annuities!AG33</f>
        <v>9.1448096207564403E-2</v>
      </c>
      <c r="E70">
        <f>Annuities!AH33</f>
        <v>9.1448096207564403E-2</v>
      </c>
      <c r="F70">
        <f>Annuities!AI33</f>
        <v>8.4918639638364407E-2</v>
      </c>
      <c r="G70">
        <f>Annuities!AJ33</f>
        <v>8.8827433387272267E-2</v>
      </c>
      <c r="H70">
        <f>Annuities!AK33</f>
        <v>8.8827433387272267E-2</v>
      </c>
    </row>
    <row r="71" spans="1:8" x14ac:dyDescent="0.3">
      <c r="A71" t="s">
        <v>1862</v>
      </c>
      <c r="B71" s="203"/>
      <c r="C71">
        <f>Annuities!AF34</f>
        <v>9.1448096207564403E-2</v>
      </c>
      <c r="D71">
        <f>Annuities!AG34</f>
        <v>9.1448096207564403E-2</v>
      </c>
      <c r="E71">
        <f>Annuities!AH34</f>
        <v>9.1448096207564403E-2</v>
      </c>
      <c r="F71">
        <f>Annuities!AI34</f>
        <v>8.4918639638364407E-2</v>
      </c>
      <c r="G71">
        <f>Annuities!AJ34</f>
        <v>8.8827433387272267E-2</v>
      </c>
      <c r="H71">
        <f>Annuities!AK34</f>
        <v>8.8827433387272267E-2</v>
      </c>
    </row>
    <row r="72" spans="1:8" x14ac:dyDescent="0.3">
      <c r="A72" t="s">
        <v>1863</v>
      </c>
      <c r="B72" s="203"/>
      <c r="C72">
        <f>Annuities!AF35</f>
        <v>9.1448096207564403E-2</v>
      </c>
      <c r="D72">
        <f>Annuities!AG35</f>
        <v>9.1448096207564403E-2</v>
      </c>
      <c r="E72">
        <f>Annuities!AH35</f>
        <v>9.1448096207564403E-2</v>
      </c>
      <c r="F72">
        <f>Annuities!AI35</f>
        <v>8.4918639638364407E-2</v>
      </c>
      <c r="G72">
        <f>Annuities!AJ35</f>
        <v>8.8827433387272267E-2</v>
      </c>
      <c r="H72">
        <f>Annuities!AK35</f>
        <v>8.8827433387272267E-2</v>
      </c>
    </row>
    <row r="73" spans="1:8" x14ac:dyDescent="0.3">
      <c r="A73" t="s">
        <v>1866</v>
      </c>
      <c r="B73" s="203"/>
      <c r="C73">
        <f>Annuities!AF36</f>
        <v>9.1448096207564403E-2</v>
      </c>
      <c r="D73">
        <f>Annuities!AG36</f>
        <v>9.1448096207564403E-2</v>
      </c>
      <c r="E73">
        <f>Annuities!AH36</f>
        <v>9.1448096207564403E-2</v>
      </c>
      <c r="F73">
        <f>Annuities!AI36</f>
        <v>8.4918639638364407E-2</v>
      </c>
      <c r="G73">
        <f>Annuities!AJ36</f>
        <v>8.8827433387272267E-2</v>
      </c>
      <c r="H73">
        <f>Annuities!AK36</f>
        <v>8.8827433387272267E-2</v>
      </c>
    </row>
    <row r="74" spans="1:8" x14ac:dyDescent="0.3">
      <c r="A74" t="s">
        <v>1867</v>
      </c>
      <c r="B74" s="203"/>
      <c r="C74">
        <f>Annuities!AF37</f>
        <v>9.1448096207564403E-2</v>
      </c>
      <c r="D74">
        <f>Annuities!AG37</f>
        <v>9.1448096207564403E-2</v>
      </c>
      <c r="E74">
        <f>Annuities!AH37</f>
        <v>9.1448096207564403E-2</v>
      </c>
      <c r="F74">
        <f>Annuities!AI37</f>
        <v>8.4918639638364407E-2</v>
      </c>
      <c r="G74">
        <f>Annuities!AJ37</f>
        <v>8.8827433387272267E-2</v>
      </c>
      <c r="H74">
        <f>Annuities!AK37</f>
        <v>8.8827433387272267E-2</v>
      </c>
    </row>
    <row r="75" spans="1:8" x14ac:dyDescent="0.3">
      <c r="A75" t="s">
        <v>1864</v>
      </c>
      <c r="B75" s="203"/>
      <c r="C75">
        <f>Annuities!AF38</f>
        <v>9.1448096207564403E-2</v>
      </c>
      <c r="D75">
        <f>Annuities!AG38</f>
        <v>9.1448096207564403E-2</v>
      </c>
      <c r="E75">
        <f>Annuities!AH38</f>
        <v>9.1448096207564403E-2</v>
      </c>
      <c r="F75">
        <f>Annuities!AI38</f>
        <v>8.4918639638364407E-2</v>
      </c>
      <c r="G75">
        <f>Annuities!AJ38</f>
        <v>8.8827433387272267E-2</v>
      </c>
      <c r="H75">
        <f>Annuities!AK38</f>
        <v>8.8827433387272267E-2</v>
      </c>
    </row>
    <row r="76" spans="1:8" x14ac:dyDescent="0.3">
      <c r="A76" t="s">
        <v>1865</v>
      </c>
      <c r="B76" s="203"/>
      <c r="C76">
        <f>Annuities!AF39</f>
        <v>9.1448096207564403E-2</v>
      </c>
      <c r="D76">
        <f>Annuities!AG39</f>
        <v>9.1448096207564403E-2</v>
      </c>
      <c r="E76">
        <f>Annuities!AH39</f>
        <v>9.1448096207564403E-2</v>
      </c>
      <c r="F76">
        <f>Annuities!AI39</f>
        <v>8.4918639638364407E-2</v>
      </c>
      <c r="G76">
        <f>Annuities!AJ39</f>
        <v>8.8827433387272267E-2</v>
      </c>
      <c r="H76">
        <f>Annuities!AK39</f>
        <v>8.8827433387272267E-2</v>
      </c>
    </row>
    <row r="77" spans="1:8" x14ac:dyDescent="0.3">
      <c r="A77" t="s">
        <v>1856</v>
      </c>
      <c r="B77" s="205" t="s">
        <v>1876</v>
      </c>
      <c r="C77" s="126">
        <f>$C$109</f>
        <v>55.12222222222222</v>
      </c>
      <c r="D77" s="126">
        <f t="shared" ref="D77:E77" si="14">$C$109</f>
        <v>55.12222222222222</v>
      </c>
      <c r="E77" s="126">
        <f t="shared" si="14"/>
        <v>55.12222222222222</v>
      </c>
      <c r="F77">
        <f>$C$110</f>
        <v>37.666851851851838</v>
      </c>
      <c r="G77">
        <f>$C$111</f>
        <v>20.211481481481449</v>
      </c>
      <c r="H77">
        <f>$C$112</f>
        <v>2.7561111111111112</v>
      </c>
    </row>
    <row r="78" spans="1:8" x14ac:dyDescent="0.3">
      <c r="A78" t="s">
        <v>1857</v>
      </c>
      <c r="B78" s="205"/>
      <c r="C78" s="126">
        <f t="shared" ref="C78:E84" si="15">$C$109</f>
        <v>55.12222222222222</v>
      </c>
      <c r="D78" s="126">
        <f t="shared" si="15"/>
        <v>55.12222222222222</v>
      </c>
      <c r="E78" s="126">
        <f t="shared" si="15"/>
        <v>55.12222222222222</v>
      </c>
      <c r="F78">
        <f t="shared" ref="F78:F84" si="16">$C$110</f>
        <v>37.666851851851838</v>
      </c>
      <c r="G78">
        <f t="shared" ref="G78:G84" si="17">$C$111</f>
        <v>20.211481481481449</v>
      </c>
      <c r="H78">
        <f t="shared" ref="H78:H84" si="18">$C$112</f>
        <v>2.7561111111111112</v>
      </c>
    </row>
    <row r="79" spans="1:8" x14ac:dyDescent="0.3">
      <c r="A79" t="s">
        <v>1858</v>
      </c>
      <c r="B79" s="205"/>
      <c r="C79" s="126">
        <f t="shared" si="15"/>
        <v>55.12222222222222</v>
      </c>
      <c r="D79" s="126">
        <f t="shared" si="15"/>
        <v>55.12222222222222</v>
      </c>
      <c r="E79" s="126">
        <f t="shared" si="15"/>
        <v>55.12222222222222</v>
      </c>
      <c r="F79">
        <f t="shared" si="16"/>
        <v>37.666851851851838</v>
      </c>
      <c r="G79">
        <f t="shared" si="17"/>
        <v>20.211481481481449</v>
      </c>
      <c r="H79">
        <f t="shared" si="18"/>
        <v>2.7561111111111112</v>
      </c>
    </row>
    <row r="80" spans="1:8" x14ac:dyDescent="0.3">
      <c r="A80" t="s">
        <v>1859</v>
      </c>
      <c r="B80" s="205"/>
      <c r="C80" s="126">
        <f t="shared" si="15"/>
        <v>55.12222222222222</v>
      </c>
      <c r="D80" s="126">
        <f t="shared" si="15"/>
        <v>55.12222222222222</v>
      </c>
      <c r="E80" s="126">
        <f t="shared" si="15"/>
        <v>55.12222222222222</v>
      </c>
      <c r="F80">
        <f t="shared" si="16"/>
        <v>37.666851851851838</v>
      </c>
      <c r="G80">
        <f t="shared" si="17"/>
        <v>20.211481481481449</v>
      </c>
      <c r="H80">
        <f t="shared" si="18"/>
        <v>2.7561111111111112</v>
      </c>
    </row>
    <row r="81" spans="1:8" x14ac:dyDescent="0.3">
      <c r="A81" t="s">
        <v>1860</v>
      </c>
      <c r="B81" s="205"/>
      <c r="C81" s="126">
        <f t="shared" si="15"/>
        <v>55.12222222222222</v>
      </c>
      <c r="D81" s="126">
        <f t="shared" si="15"/>
        <v>55.12222222222222</v>
      </c>
      <c r="E81" s="126">
        <f t="shared" si="15"/>
        <v>55.12222222222222</v>
      </c>
      <c r="F81">
        <f t="shared" si="16"/>
        <v>37.666851851851838</v>
      </c>
      <c r="G81">
        <f t="shared" si="17"/>
        <v>20.211481481481449</v>
      </c>
      <c r="H81">
        <f t="shared" si="18"/>
        <v>2.7561111111111112</v>
      </c>
    </row>
    <row r="82" spans="1:8" x14ac:dyDescent="0.3">
      <c r="A82" t="s">
        <v>1861</v>
      </c>
      <c r="B82" s="205"/>
      <c r="C82" s="126">
        <f t="shared" si="15"/>
        <v>55.12222222222222</v>
      </c>
      <c r="D82" s="126">
        <f t="shared" si="15"/>
        <v>55.12222222222222</v>
      </c>
      <c r="E82" s="126">
        <f t="shared" si="15"/>
        <v>55.12222222222222</v>
      </c>
      <c r="F82">
        <f t="shared" si="16"/>
        <v>37.666851851851838</v>
      </c>
      <c r="G82">
        <f t="shared" si="17"/>
        <v>20.211481481481449</v>
      </c>
      <c r="H82">
        <f t="shared" si="18"/>
        <v>2.7561111111111112</v>
      </c>
    </row>
    <row r="83" spans="1:8" x14ac:dyDescent="0.3">
      <c r="A83" t="s">
        <v>1862</v>
      </c>
      <c r="B83" s="205"/>
      <c r="C83" s="126">
        <f t="shared" si="15"/>
        <v>55.12222222222222</v>
      </c>
      <c r="D83" s="126">
        <f t="shared" si="15"/>
        <v>55.12222222222222</v>
      </c>
      <c r="E83" s="126">
        <f t="shared" si="15"/>
        <v>55.12222222222222</v>
      </c>
      <c r="F83">
        <f t="shared" si="16"/>
        <v>37.666851851851838</v>
      </c>
      <c r="G83">
        <f t="shared" si="17"/>
        <v>20.211481481481449</v>
      </c>
      <c r="H83">
        <f t="shared" si="18"/>
        <v>2.7561111111111112</v>
      </c>
    </row>
    <row r="84" spans="1:8" x14ac:dyDescent="0.3">
      <c r="A84" t="s">
        <v>1863</v>
      </c>
      <c r="B84" s="205"/>
      <c r="C84" s="126">
        <f t="shared" si="15"/>
        <v>55.12222222222222</v>
      </c>
      <c r="D84" s="126">
        <f t="shared" si="15"/>
        <v>55.12222222222222</v>
      </c>
      <c r="E84" s="126">
        <f t="shared" si="15"/>
        <v>55.12222222222222</v>
      </c>
      <c r="F84">
        <f t="shared" si="16"/>
        <v>37.666851851851838</v>
      </c>
      <c r="G84">
        <f t="shared" si="17"/>
        <v>20.211481481481449</v>
      </c>
      <c r="H84">
        <f t="shared" si="18"/>
        <v>2.7561111111111112</v>
      </c>
    </row>
    <row r="85" spans="1:8" x14ac:dyDescent="0.3">
      <c r="A85" t="s">
        <v>1866</v>
      </c>
      <c r="B85" s="205"/>
      <c r="C85">
        <f>$C$114</f>
        <v>53.529999999999994</v>
      </c>
      <c r="D85">
        <f t="shared" ref="D85:E88" si="19">$C$114</f>
        <v>53.529999999999994</v>
      </c>
      <c r="E85">
        <f t="shared" si="19"/>
        <v>53.529999999999994</v>
      </c>
      <c r="F85">
        <f>$C$115</f>
        <v>36.578833333333364</v>
      </c>
      <c r="G85">
        <f>$C$116</f>
        <v>19.627666666666698</v>
      </c>
      <c r="H85">
        <f>$C$117</f>
        <v>2.6764999999999999</v>
      </c>
    </row>
    <row r="86" spans="1:8" x14ac:dyDescent="0.3">
      <c r="A86" t="s">
        <v>1867</v>
      </c>
      <c r="B86" s="205"/>
      <c r="C86">
        <f t="shared" ref="C86:C88" si="20">$C$114</f>
        <v>53.529999999999994</v>
      </c>
      <c r="D86">
        <f t="shared" si="19"/>
        <v>53.529999999999994</v>
      </c>
      <c r="E86">
        <f t="shared" si="19"/>
        <v>53.529999999999994</v>
      </c>
      <c r="F86">
        <f t="shared" ref="F86:F88" si="21">$C$115</f>
        <v>36.578833333333364</v>
      </c>
      <c r="G86">
        <f t="shared" ref="G86:G88" si="22">$C$116</f>
        <v>19.627666666666698</v>
      </c>
      <c r="H86">
        <f t="shared" ref="H86:H88" si="23">$C$117</f>
        <v>2.6764999999999999</v>
      </c>
    </row>
    <row r="87" spans="1:8" x14ac:dyDescent="0.3">
      <c r="A87" t="s">
        <v>1864</v>
      </c>
      <c r="B87" s="205"/>
      <c r="C87">
        <f t="shared" si="20"/>
        <v>53.529999999999994</v>
      </c>
      <c r="D87">
        <f t="shared" si="19"/>
        <v>53.529999999999994</v>
      </c>
      <c r="E87">
        <f t="shared" si="19"/>
        <v>53.529999999999994</v>
      </c>
      <c r="F87">
        <f t="shared" si="21"/>
        <v>36.578833333333364</v>
      </c>
      <c r="G87">
        <f t="shared" si="22"/>
        <v>19.627666666666698</v>
      </c>
      <c r="H87">
        <f t="shared" si="23"/>
        <v>2.6764999999999999</v>
      </c>
    </row>
    <row r="88" spans="1:8" x14ac:dyDescent="0.3">
      <c r="A88" t="s">
        <v>1865</v>
      </c>
      <c r="B88" s="205"/>
      <c r="C88">
        <f t="shared" si="20"/>
        <v>53.529999999999994</v>
      </c>
      <c r="D88">
        <f t="shared" si="19"/>
        <v>53.529999999999994</v>
      </c>
      <c r="E88">
        <f t="shared" si="19"/>
        <v>53.529999999999994</v>
      </c>
      <c r="F88">
        <f t="shared" si="21"/>
        <v>36.578833333333364</v>
      </c>
      <c r="G88">
        <f t="shared" si="22"/>
        <v>19.627666666666698</v>
      </c>
      <c r="H88">
        <f t="shared" si="23"/>
        <v>2.6764999999999999</v>
      </c>
    </row>
    <row r="89" spans="1:8" x14ac:dyDescent="0.3">
      <c r="A89" t="s">
        <v>1856</v>
      </c>
      <c r="B89" s="205" t="s">
        <v>2057</v>
      </c>
      <c r="C89">
        <v>203.96</v>
      </c>
      <c r="D89">
        <v>177.36</v>
      </c>
      <c r="E89">
        <v>150.76</v>
      </c>
      <c r="F89">
        <v>171.96</v>
      </c>
      <c r="G89">
        <v>169.84</v>
      </c>
      <c r="H89">
        <v>171.26</v>
      </c>
    </row>
    <row r="90" spans="1:8" x14ac:dyDescent="0.3">
      <c r="A90" t="s">
        <v>1857</v>
      </c>
      <c r="B90" s="205"/>
      <c r="C90">
        <v>203.96</v>
      </c>
      <c r="D90">
        <v>177.36</v>
      </c>
      <c r="E90">
        <v>150.76</v>
      </c>
      <c r="F90">
        <v>171.96</v>
      </c>
      <c r="G90">
        <v>169.84</v>
      </c>
      <c r="H90">
        <v>171.26</v>
      </c>
    </row>
    <row r="91" spans="1:8" x14ac:dyDescent="0.3">
      <c r="A91" t="s">
        <v>1858</v>
      </c>
      <c r="B91" s="205"/>
      <c r="C91">
        <v>203.96</v>
      </c>
      <c r="D91">
        <v>177.36</v>
      </c>
      <c r="E91">
        <v>150.76</v>
      </c>
      <c r="F91">
        <v>171.96</v>
      </c>
      <c r="G91">
        <v>169.84</v>
      </c>
      <c r="H91">
        <v>171.26</v>
      </c>
    </row>
    <row r="92" spans="1:8" x14ac:dyDescent="0.3">
      <c r="A92" t="s">
        <v>1859</v>
      </c>
      <c r="B92" s="205"/>
      <c r="C92">
        <v>203.96</v>
      </c>
      <c r="D92">
        <v>177.36</v>
      </c>
      <c r="E92">
        <v>150.76</v>
      </c>
      <c r="F92">
        <v>171.96</v>
      </c>
      <c r="G92">
        <v>169.84</v>
      </c>
      <c r="H92">
        <v>171.26</v>
      </c>
    </row>
    <row r="93" spans="1:8" x14ac:dyDescent="0.3">
      <c r="A93" t="s">
        <v>1860</v>
      </c>
      <c r="B93" s="205"/>
      <c r="C93">
        <v>203.96</v>
      </c>
      <c r="D93">
        <v>177.36</v>
      </c>
      <c r="E93">
        <v>150.76</v>
      </c>
      <c r="F93">
        <v>171.96</v>
      </c>
      <c r="G93">
        <v>169.84</v>
      </c>
      <c r="H93">
        <v>171.26</v>
      </c>
    </row>
    <row r="94" spans="1:8" x14ac:dyDescent="0.3">
      <c r="A94" t="s">
        <v>1861</v>
      </c>
      <c r="B94" s="205"/>
      <c r="C94">
        <v>203.96</v>
      </c>
      <c r="D94">
        <v>177.36</v>
      </c>
      <c r="E94">
        <v>150.76</v>
      </c>
      <c r="F94">
        <v>171.96</v>
      </c>
      <c r="G94">
        <v>169.84</v>
      </c>
      <c r="H94">
        <v>171.26</v>
      </c>
    </row>
    <row r="95" spans="1:8" x14ac:dyDescent="0.3">
      <c r="A95" t="s">
        <v>1862</v>
      </c>
      <c r="B95" s="205"/>
      <c r="C95">
        <v>203.96</v>
      </c>
      <c r="D95">
        <v>177.36</v>
      </c>
      <c r="E95">
        <v>150.76</v>
      </c>
      <c r="F95">
        <v>171.96</v>
      </c>
      <c r="G95">
        <v>169.84</v>
      </c>
      <c r="H95">
        <v>171.26</v>
      </c>
    </row>
    <row r="96" spans="1:8" x14ac:dyDescent="0.3">
      <c r="A96" t="s">
        <v>1863</v>
      </c>
      <c r="B96" s="205"/>
      <c r="C96">
        <v>203.96</v>
      </c>
      <c r="D96">
        <v>177.36</v>
      </c>
      <c r="E96">
        <v>150.76</v>
      </c>
      <c r="F96">
        <v>171.96</v>
      </c>
      <c r="G96">
        <v>169.84</v>
      </c>
      <c r="H96">
        <v>171.26</v>
      </c>
    </row>
    <row r="97" spans="1:8" x14ac:dyDescent="0.3">
      <c r="A97" t="s">
        <v>1866</v>
      </c>
      <c r="B97" s="205"/>
      <c r="C97">
        <v>203.96</v>
      </c>
      <c r="D97">
        <v>177.36</v>
      </c>
      <c r="E97">
        <v>150.76</v>
      </c>
      <c r="F97">
        <v>171.96</v>
      </c>
      <c r="G97">
        <v>169.84</v>
      </c>
      <c r="H97">
        <v>171.26</v>
      </c>
    </row>
    <row r="98" spans="1:8" x14ac:dyDescent="0.3">
      <c r="A98" t="s">
        <v>1867</v>
      </c>
      <c r="B98" s="205"/>
      <c r="C98">
        <v>203.96</v>
      </c>
      <c r="D98">
        <v>177.36</v>
      </c>
      <c r="E98">
        <v>150.76</v>
      </c>
      <c r="F98">
        <v>171.96</v>
      </c>
      <c r="G98">
        <v>169.84</v>
      </c>
      <c r="H98">
        <v>171.26</v>
      </c>
    </row>
    <row r="99" spans="1:8" x14ac:dyDescent="0.3">
      <c r="A99" t="s">
        <v>1864</v>
      </c>
      <c r="B99" s="205"/>
      <c r="C99">
        <v>203.96</v>
      </c>
      <c r="D99">
        <v>177.36</v>
      </c>
      <c r="E99">
        <v>150.76</v>
      </c>
      <c r="F99">
        <v>171.96</v>
      </c>
      <c r="G99">
        <v>169.84</v>
      </c>
      <c r="H99">
        <v>171.26</v>
      </c>
    </row>
    <row r="100" spans="1:8" x14ac:dyDescent="0.3">
      <c r="A100" t="s">
        <v>1865</v>
      </c>
      <c r="B100" s="205"/>
      <c r="C100">
        <v>203.96</v>
      </c>
      <c r="D100">
        <v>177.36</v>
      </c>
      <c r="E100">
        <v>150.76</v>
      </c>
      <c r="F100">
        <v>171.96</v>
      </c>
      <c r="G100">
        <v>169.84</v>
      </c>
      <c r="H100">
        <v>171.26</v>
      </c>
    </row>
    <row r="101" spans="1:8" x14ac:dyDescent="0.3">
      <c r="B101" s="9"/>
    </row>
    <row r="103" spans="1:8" s="26" customFormat="1" x14ac:dyDescent="0.3">
      <c r="A103" s="26" t="s">
        <v>112</v>
      </c>
      <c r="B103" s="27"/>
      <c r="D103" s="57"/>
      <c r="E103" s="28"/>
      <c r="F103" s="27"/>
      <c r="G103" s="50"/>
    </row>
    <row r="104" spans="1:8" x14ac:dyDescent="0.3">
      <c r="B104" s="13"/>
      <c r="D104" s="5"/>
      <c r="E104" s="8"/>
      <c r="F104" s="13"/>
      <c r="G104" s="5"/>
    </row>
    <row r="105" spans="1:8" x14ac:dyDescent="0.3">
      <c r="A105" s="17" t="s">
        <v>85</v>
      </c>
      <c r="B105" s="17" t="s">
        <v>82</v>
      </c>
      <c r="C105" s="15" t="s">
        <v>49</v>
      </c>
      <c r="D105" s="17" t="s">
        <v>52</v>
      </c>
      <c r="E105" s="18" t="s">
        <v>58</v>
      </c>
      <c r="F105" s="15" t="s">
        <v>93</v>
      </c>
      <c r="G105" s="49" t="s">
        <v>80</v>
      </c>
      <c r="H105" s="15" t="s">
        <v>59</v>
      </c>
    </row>
    <row r="107" spans="1:8" x14ac:dyDescent="0.3">
      <c r="A107" t="s">
        <v>1767</v>
      </c>
      <c r="B107" t="s">
        <v>1674</v>
      </c>
    </row>
    <row r="109" spans="1:8" x14ac:dyDescent="0.3">
      <c r="A109" s="203" t="s">
        <v>1675</v>
      </c>
      <c r="B109" t="s">
        <v>1731</v>
      </c>
      <c r="C109" s="126">
        <f>(4961000/4500)/20</f>
        <v>55.12222222222222</v>
      </c>
      <c r="D109" t="s">
        <v>1877</v>
      </c>
      <c r="E109" t="str">
        <f>Sources!A121</f>
        <v>Ecoinvent2020</v>
      </c>
    </row>
    <row r="110" spans="1:8" x14ac:dyDescent="0.3">
      <c r="A110" s="203"/>
      <c r="B110" s="16">
        <v>2030</v>
      </c>
      <c r="C110">
        <v>37.666851851851838</v>
      </c>
      <c r="D110" t="s">
        <v>1877</v>
      </c>
      <c r="E110" t="s">
        <v>529</v>
      </c>
    </row>
    <row r="111" spans="1:8" x14ac:dyDescent="0.3">
      <c r="A111" s="203"/>
      <c r="B111" s="16">
        <v>2040</v>
      </c>
      <c r="C111">
        <v>20.211481481481449</v>
      </c>
      <c r="D111" t="s">
        <v>1877</v>
      </c>
      <c r="E111" t="s">
        <v>529</v>
      </c>
    </row>
    <row r="112" spans="1:8" x14ac:dyDescent="0.3">
      <c r="A112" s="203"/>
      <c r="B112" s="16">
        <v>2050</v>
      </c>
      <c r="C112">
        <f>C109*0.05</f>
        <v>2.7561111111111112</v>
      </c>
      <c r="D112" t="s">
        <v>1877</v>
      </c>
      <c r="E112" t="s">
        <v>529</v>
      </c>
    </row>
    <row r="114" spans="1:5" x14ac:dyDescent="0.3">
      <c r="A114" s="203" t="s">
        <v>1677</v>
      </c>
      <c r="B114" t="s">
        <v>1732</v>
      </c>
      <c r="C114">
        <f>(2141200/2000)/20</f>
        <v>53.529999999999994</v>
      </c>
      <c r="D114" t="s">
        <v>1878</v>
      </c>
      <c r="E114" t="str">
        <f>Sources!A122</f>
        <v>Ecoinvent2020</v>
      </c>
    </row>
    <row r="115" spans="1:5" x14ac:dyDescent="0.3">
      <c r="A115" s="203"/>
      <c r="B115" s="16">
        <v>2030</v>
      </c>
      <c r="C115">
        <v>36.578833333333364</v>
      </c>
      <c r="D115" t="s">
        <v>1878</v>
      </c>
      <c r="E115" t="s">
        <v>529</v>
      </c>
    </row>
    <row r="116" spans="1:5" x14ac:dyDescent="0.3">
      <c r="A116" s="203"/>
      <c r="B116" s="16">
        <v>2040</v>
      </c>
      <c r="C116">
        <v>19.627666666666698</v>
      </c>
      <c r="D116" t="s">
        <v>1878</v>
      </c>
      <c r="E116" t="s">
        <v>529</v>
      </c>
    </row>
    <row r="117" spans="1:5" x14ac:dyDescent="0.3">
      <c r="A117" s="203"/>
      <c r="B117" s="16">
        <v>2050</v>
      </c>
      <c r="C117">
        <f>C114*0.05</f>
        <v>2.6764999999999999</v>
      </c>
      <c r="D117" t="s">
        <v>1878</v>
      </c>
      <c r="E117" t="s">
        <v>529</v>
      </c>
    </row>
    <row r="119" spans="1:5" x14ac:dyDescent="0.3">
      <c r="A119" t="s">
        <v>2050</v>
      </c>
      <c r="B119" t="s">
        <v>2058</v>
      </c>
      <c r="C119">
        <f>2.5/4.2</f>
        <v>0.59523809523809523</v>
      </c>
      <c r="D119" t="s">
        <v>778</v>
      </c>
      <c r="E119" t="str">
        <f>Sources!A132</f>
        <v>DEA2022</v>
      </c>
    </row>
    <row r="120" spans="1:5" x14ac:dyDescent="0.3">
      <c r="B120" t="s">
        <v>2259</v>
      </c>
    </row>
    <row r="122" spans="1:5" x14ac:dyDescent="0.3">
      <c r="B122" t="s">
        <v>2056</v>
      </c>
    </row>
  </sheetData>
  <mergeCells count="15">
    <mergeCell ref="A109:A112"/>
    <mergeCell ref="A114:A117"/>
    <mergeCell ref="B77:B88"/>
    <mergeCell ref="B53:B64"/>
    <mergeCell ref="B65:B76"/>
    <mergeCell ref="B89:B100"/>
    <mergeCell ref="Y1:AB1"/>
    <mergeCell ref="AC1:AF1"/>
    <mergeCell ref="B17:B28"/>
    <mergeCell ref="B29:B40"/>
    <mergeCell ref="B41:B52"/>
    <mergeCell ref="H1:K1"/>
    <mergeCell ref="L1:O1"/>
    <mergeCell ref="P1:S1"/>
    <mergeCell ref="U1:X1"/>
  </mergeCell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I162"/>
  <sheetViews>
    <sheetView topLeftCell="A89" workbookViewId="0">
      <selection activeCell="G83" sqref="G83"/>
    </sheetView>
  </sheetViews>
  <sheetFormatPr defaultRowHeight="14.4" x14ac:dyDescent="0.3"/>
  <cols>
    <col min="1" max="1" width="32.21875" customWidth="1"/>
    <col min="2" max="2" width="61.21875" customWidth="1"/>
    <col min="3" max="3" width="8.88671875" customWidth="1"/>
    <col min="4" max="4" width="10.77734375" customWidth="1"/>
    <col min="5" max="5" width="9" customWidth="1"/>
    <col min="6" max="7" width="12" customWidth="1"/>
    <col min="8" max="8" width="11.77734375" customWidth="1"/>
    <col min="9" max="9" width="21.21875" customWidth="1"/>
  </cols>
  <sheetData>
    <row r="1" spans="1:9" s="29" customFormat="1" x14ac:dyDescent="0.3">
      <c r="A1" s="71" t="s">
        <v>660</v>
      </c>
    </row>
    <row r="3" spans="1:9" s="33" customFormat="1" x14ac:dyDescent="0.3">
      <c r="A3" s="33" t="s">
        <v>1505</v>
      </c>
      <c r="B3" s="32"/>
      <c r="D3" s="32"/>
      <c r="E3" s="34"/>
      <c r="F3" s="32"/>
      <c r="G3" s="48"/>
    </row>
    <row r="4" spans="1:9" x14ac:dyDescent="0.3">
      <c r="B4" s="13"/>
      <c r="D4" s="17"/>
      <c r="E4" s="8"/>
      <c r="F4" s="13"/>
      <c r="G4" s="5"/>
    </row>
    <row r="5" spans="1:9" s="17" customFormat="1" x14ac:dyDescent="0.3">
      <c r="A5" s="17" t="s">
        <v>85</v>
      </c>
      <c r="B5" s="17" t="s">
        <v>52</v>
      </c>
      <c r="C5" s="17" t="s">
        <v>184</v>
      </c>
      <c r="D5" s="18" t="s">
        <v>106</v>
      </c>
      <c r="E5" s="17" t="s">
        <v>183</v>
      </c>
      <c r="F5" s="17">
        <v>2030</v>
      </c>
      <c r="G5" s="17">
        <v>2040</v>
      </c>
      <c r="H5" s="49">
        <v>2050</v>
      </c>
      <c r="I5" s="15"/>
    </row>
    <row r="6" spans="1:9" x14ac:dyDescent="0.3">
      <c r="A6" t="s">
        <v>218</v>
      </c>
      <c r="B6" s="13" t="s">
        <v>425</v>
      </c>
      <c r="C6" s="5" t="s">
        <v>422</v>
      </c>
      <c r="D6" s="5" t="s">
        <v>422</v>
      </c>
      <c r="E6" s="5" t="s">
        <v>422</v>
      </c>
      <c r="F6" s="5" t="s">
        <v>422</v>
      </c>
      <c r="G6" s="5" t="s">
        <v>422</v>
      </c>
      <c r="H6" s="5" t="s">
        <v>422</v>
      </c>
    </row>
    <row r="7" spans="1:9" x14ac:dyDescent="0.3">
      <c r="A7" t="s">
        <v>1779</v>
      </c>
      <c r="B7" s="13" t="s">
        <v>426</v>
      </c>
      <c r="C7">
        <f>C32</f>
        <v>1607.2863648540049</v>
      </c>
      <c r="D7">
        <f>C31</f>
        <v>1315.2960085721941</v>
      </c>
      <c r="E7">
        <f>C31</f>
        <v>1315.2960085721941</v>
      </c>
      <c r="F7" s="5">
        <f>C37</f>
        <v>1084.5016000000001</v>
      </c>
      <c r="G7" s="5">
        <f>C38</f>
        <v>1021.9342000000001</v>
      </c>
      <c r="H7" s="5">
        <f>C41</f>
        <v>1001.0784000000001</v>
      </c>
    </row>
    <row r="8" spans="1:9" x14ac:dyDescent="0.3">
      <c r="A8" t="s">
        <v>1750</v>
      </c>
      <c r="B8" s="13" t="s">
        <v>427</v>
      </c>
      <c r="C8">
        <f>C47</f>
        <v>28.365303530607061</v>
      </c>
      <c r="D8">
        <f>C47</f>
        <v>28.365303530607061</v>
      </c>
      <c r="E8">
        <f>C47</f>
        <v>28.365303530607061</v>
      </c>
      <c r="F8" s="5">
        <f>C51</f>
        <v>13.139154000000001</v>
      </c>
      <c r="G8" s="5">
        <f>C52</f>
        <v>12.088021680000002</v>
      </c>
      <c r="H8" s="5">
        <f>C54</f>
        <v>11.8252386</v>
      </c>
    </row>
    <row r="9" spans="1:9" x14ac:dyDescent="0.3">
      <c r="A9" t="s">
        <v>1751</v>
      </c>
      <c r="B9" s="13" t="s">
        <v>280</v>
      </c>
      <c r="C9">
        <f>C60</f>
        <v>1.8770220000000001E-3</v>
      </c>
      <c r="D9">
        <f>C59</f>
        <v>1.5641850000000003E-3</v>
      </c>
      <c r="E9">
        <f>C58</f>
        <v>1.251348E-3</v>
      </c>
      <c r="F9" s="5">
        <f>C61</f>
        <v>1.4077665000000001E-3</v>
      </c>
      <c r="G9" s="5">
        <f>C62</f>
        <v>1.2930596E-3</v>
      </c>
      <c r="H9" s="5">
        <f>C64</f>
        <v>1.2722038E-3</v>
      </c>
    </row>
    <row r="10" spans="1:9" x14ac:dyDescent="0.3">
      <c r="A10" t="s">
        <v>110</v>
      </c>
      <c r="B10" s="13" t="s">
        <v>201</v>
      </c>
      <c r="C10">
        <f>C69</f>
        <v>25</v>
      </c>
      <c r="D10">
        <f>C70</f>
        <v>27</v>
      </c>
      <c r="E10">
        <f>C71</f>
        <v>35</v>
      </c>
      <c r="F10" s="5">
        <f>C72</f>
        <v>30</v>
      </c>
      <c r="G10" s="5">
        <f>C73</f>
        <v>30</v>
      </c>
      <c r="H10" s="5">
        <f>C75</f>
        <v>30</v>
      </c>
    </row>
    <row r="11" spans="1:9" x14ac:dyDescent="0.3">
      <c r="A11" t="s">
        <v>103</v>
      </c>
      <c r="B11" s="13" t="s">
        <v>51</v>
      </c>
      <c r="C11" s="23">
        <f>Annuities!AF26</f>
        <v>9.3678779051968114E-2</v>
      </c>
      <c r="D11" s="23">
        <f>Annuities!AG26</f>
        <v>9.1448096207564403E-2</v>
      </c>
      <c r="E11" s="23">
        <f>Annuities!AH26</f>
        <v>8.5803264560679798E-2</v>
      </c>
      <c r="F11" s="23">
        <f>Annuities!AI26</f>
        <v>8.4918639638364407E-2</v>
      </c>
      <c r="G11" s="23">
        <f>Annuities!AJ26</f>
        <v>8.8827433387272267E-2</v>
      </c>
      <c r="H11" s="23">
        <f>Annuities!AK26</f>
        <v>8.8827433387272267E-2</v>
      </c>
    </row>
    <row r="12" spans="1:9" x14ac:dyDescent="0.3">
      <c r="A12" t="s">
        <v>605</v>
      </c>
      <c r="B12" s="13" t="s">
        <v>2281</v>
      </c>
      <c r="C12" s="23"/>
      <c r="D12" s="23"/>
      <c r="E12" s="23"/>
      <c r="F12" s="5"/>
      <c r="G12" s="5"/>
      <c r="H12" s="5"/>
    </row>
    <row r="13" spans="1:9" x14ac:dyDescent="0.3">
      <c r="A13" t="s">
        <v>2050</v>
      </c>
      <c r="B13" s="13" t="s">
        <v>778</v>
      </c>
      <c r="C13" s="23">
        <f>Wind_off!C17</f>
        <v>203.96</v>
      </c>
      <c r="D13" s="23">
        <f>Wind_off!D17</f>
        <v>177.36</v>
      </c>
      <c r="E13" s="23">
        <f>Wind_off!E17</f>
        <v>150.76</v>
      </c>
      <c r="F13" s="23">
        <f>Wind_off!F17</f>
        <v>171.96</v>
      </c>
      <c r="G13" s="23">
        <f>Wind_off!G17</f>
        <v>169.84</v>
      </c>
      <c r="H13" s="23">
        <f>Wind_off!H17</f>
        <v>171.26</v>
      </c>
    </row>
    <row r="14" spans="1:9" x14ac:dyDescent="0.3">
      <c r="A14" t="s">
        <v>1039</v>
      </c>
      <c r="B14" s="13" t="s">
        <v>202</v>
      </c>
      <c r="C14">
        <v>11.5</v>
      </c>
      <c r="D14">
        <v>56.6</v>
      </c>
      <c r="E14">
        <v>42.2</v>
      </c>
      <c r="F14">
        <v>42.2</v>
      </c>
      <c r="G14">
        <v>42.2</v>
      </c>
      <c r="H14" s="5">
        <v>56.6</v>
      </c>
    </row>
    <row r="15" spans="1:9" x14ac:dyDescent="0.3">
      <c r="A15" t="s">
        <v>1038</v>
      </c>
      <c r="B15" s="13" t="s">
        <v>1068</v>
      </c>
      <c r="C15">
        <f>((C7*C11+C8)/(8760*C14/100)+C9)*1000</f>
        <v>179.49656515763988</v>
      </c>
      <c r="D15">
        <f>(((D7*D11+D8)/(8760*D14/100)+D9)*1000)</f>
        <v>31.544383191252912</v>
      </c>
      <c r="E15">
        <f>((E7*E11+E8)/(8760*E14/100)+E9)*1000</f>
        <v>39.453320269940164</v>
      </c>
      <c r="F15">
        <f t="shared" ref="F15:H15" si="0">((F7*F11+F8)/(8760*F14/100)+F9)*1000</f>
        <v>29.87450310911014</v>
      </c>
      <c r="G15">
        <f t="shared" si="0"/>
        <v>29.118757450168633</v>
      </c>
      <c r="H15">
        <f t="shared" si="0"/>
        <v>21.591931983728866</v>
      </c>
    </row>
    <row r="17" spans="1:8" s="26" customFormat="1" x14ac:dyDescent="0.3">
      <c r="A17" s="26" t="s">
        <v>112</v>
      </c>
      <c r="B17" s="27"/>
      <c r="D17" s="57"/>
      <c r="E17" s="28"/>
      <c r="F17" s="27"/>
      <c r="G17" s="50"/>
    </row>
    <row r="18" spans="1:8" x14ac:dyDescent="0.3">
      <c r="B18" s="13"/>
      <c r="D18" s="5"/>
      <c r="E18" s="8"/>
      <c r="F18" s="13"/>
      <c r="G18" s="5"/>
    </row>
    <row r="19" spans="1:8" x14ac:dyDescent="0.3">
      <c r="A19" s="17" t="s">
        <v>85</v>
      </c>
      <c r="B19" s="17" t="s">
        <v>82</v>
      </c>
      <c r="C19" s="15" t="s">
        <v>49</v>
      </c>
      <c r="D19" s="17" t="s">
        <v>52</v>
      </c>
      <c r="E19" s="18" t="s">
        <v>58</v>
      </c>
      <c r="F19" s="15" t="s">
        <v>93</v>
      </c>
      <c r="G19" s="17" t="s">
        <v>80</v>
      </c>
      <c r="H19" s="15" t="s">
        <v>59</v>
      </c>
    </row>
    <row r="20" spans="1:8" x14ac:dyDescent="0.3">
      <c r="A20" s="17"/>
      <c r="B20" s="17"/>
      <c r="C20" s="15"/>
      <c r="D20" s="17"/>
      <c r="E20" s="18"/>
      <c r="F20" s="15"/>
      <c r="G20" s="49"/>
      <c r="H20" s="15"/>
    </row>
    <row r="21" spans="1:8" x14ac:dyDescent="0.3">
      <c r="A21" s="13" t="s">
        <v>1040</v>
      </c>
      <c r="B21" s="13" t="s">
        <v>1047</v>
      </c>
      <c r="D21" s="13"/>
      <c r="E21" s="8"/>
      <c r="G21" s="5"/>
    </row>
    <row r="22" spans="1:8" x14ac:dyDescent="0.3">
      <c r="A22" s="13"/>
      <c r="B22" s="13"/>
      <c r="D22" s="13"/>
      <c r="E22" s="8"/>
      <c r="G22" s="5"/>
    </row>
    <row r="23" spans="1:8" x14ac:dyDescent="0.3">
      <c r="A23" s="203" t="s">
        <v>1039</v>
      </c>
      <c r="B23" s="13" t="s">
        <v>1054</v>
      </c>
      <c r="C23">
        <v>11.5</v>
      </c>
      <c r="D23" s="5" t="s">
        <v>202</v>
      </c>
      <c r="E23" s="14" t="str">
        <f>Sources!A80</f>
        <v>Staffell&amp;Pfenninger 2020</v>
      </c>
      <c r="G23" s="5"/>
    </row>
    <row r="24" spans="1:8" x14ac:dyDescent="0.3">
      <c r="A24" s="203"/>
      <c r="B24" s="13" t="s">
        <v>1055</v>
      </c>
      <c r="C24">
        <v>21.7</v>
      </c>
      <c r="D24" s="5" t="s">
        <v>202</v>
      </c>
      <c r="E24" s="14" t="str">
        <f>Sources!A80</f>
        <v>Staffell&amp;Pfenninger 2020</v>
      </c>
      <c r="G24" s="5"/>
    </row>
    <row r="25" spans="1:8" x14ac:dyDescent="0.3">
      <c r="A25" s="203"/>
      <c r="B25" s="13" t="s">
        <v>1049</v>
      </c>
      <c r="C25">
        <v>42.2</v>
      </c>
      <c r="D25" s="5" t="s">
        <v>202</v>
      </c>
      <c r="E25" s="14" t="str">
        <f>Sources!A80</f>
        <v>Staffell&amp;Pfenninger 2020</v>
      </c>
      <c r="G25" s="5"/>
    </row>
    <row r="26" spans="1:8" x14ac:dyDescent="0.3">
      <c r="A26" s="203"/>
      <c r="B26" s="13" t="s">
        <v>1129</v>
      </c>
      <c r="C26">
        <v>41</v>
      </c>
      <c r="D26" s="5" t="s">
        <v>202</v>
      </c>
      <c r="E26" s="14" t="str">
        <f>Sources!A80</f>
        <v>Staffell&amp;Pfenninger 2020</v>
      </c>
      <c r="G26" s="5"/>
    </row>
    <row r="27" spans="1:8" x14ac:dyDescent="0.3">
      <c r="A27" s="203"/>
      <c r="B27" s="13" t="s">
        <v>1223</v>
      </c>
      <c r="C27">
        <v>56.9</v>
      </c>
      <c r="D27" s="5" t="s">
        <v>202</v>
      </c>
      <c r="E27" s="14" t="str">
        <f>Sources!A80</f>
        <v>Staffell&amp;Pfenninger 2020</v>
      </c>
      <c r="G27" s="5"/>
    </row>
    <row r="28" spans="1:8" x14ac:dyDescent="0.3">
      <c r="A28" s="203"/>
      <c r="B28" s="13" t="s">
        <v>1053</v>
      </c>
      <c r="C28">
        <v>30.4</v>
      </c>
      <c r="D28" s="5" t="s">
        <v>202</v>
      </c>
      <c r="E28" s="14" t="str">
        <f>Sources!A80</f>
        <v>Staffell&amp;Pfenninger 2020</v>
      </c>
      <c r="G28" s="5"/>
    </row>
    <row r="29" spans="1:8" x14ac:dyDescent="0.3">
      <c r="D29" s="5"/>
    </row>
    <row r="30" spans="1:8" x14ac:dyDescent="0.3">
      <c r="A30" s="203" t="s">
        <v>1779</v>
      </c>
      <c r="B30" t="s">
        <v>530</v>
      </c>
      <c r="C30">
        <v>1070</v>
      </c>
      <c r="D30" s="5" t="s">
        <v>192</v>
      </c>
      <c r="E30" t="str">
        <f>Sources!A7</f>
        <v>Ikäheimo2018</v>
      </c>
    </row>
    <row r="31" spans="1:8" s="60" customFormat="1" x14ac:dyDescent="0.3">
      <c r="A31" s="203"/>
      <c r="B31" s="118" t="s">
        <v>1224</v>
      </c>
      <c r="C31" s="60">
        <f>1473*DE2019_*E2019_ref</f>
        <v>1315.2960085721941</v>
      </c>
      <c r="D31" s="61" t="s">
        <v>1575</v>
      </c>
      <c r="E31" s="60" t="str">
        <f>Sources!A84</f>
        <v>IRENA2020</v>
      </c>
    </row>
    <row r="32" spans="1:8" x14ac:dyDescent="0.3">
      <c r="A32" s="203"/>
      <c r="B32" s="16" t="s">
        <v>1122</v>
      </c>
      <c r="C32">
        <f>1800*DE2019_*E2019_ref</f>
        <v>1607.2863648540049</v>
      </c>
      <c r="D32" s="61" t="s">
        <v>1575</v>
      </c>
      <c r="E32" t="str">
        <f>Sources!A84</f>
        <v>IRENA2020</v>
      </c>
    </row>
    <row r="33" spans="1:5" x14ac:dyDescent="0.3">
      <c r="A33" s="203"/>
      <c r="B33" s="16" t="s">
        <v>1123</v>
      </c>
      <c r="C33">
        <f>1555*DE2019_*E2019_ref</f>
        <v>1388.5168318599876</v>
      </c>
      <c r="D33" s="61" t="s">
        <v>1575</v>
      </c>
      <c r="E33" t="str">
        <f>Sources!A84</f>
        <v>IRENA2020</v>
      </c>
    </row>
    <row r="34" spans="1:5" s="60" customFormat="1" x14ac:dyDescent="0.3">
      <c r="A34" s="203"/>
      <c r="B34" s="60" t="s">
        <v>1418</v>
      </c>
      <c r="C34" s="60">
        <f>770*E2015_ref</f>
        <v>802.94830000000013</v>
      </c>
      <c r="D34" s="61" t="s">
        <v>1575</v>
      </c>
      <c r="E34" s="60" t="str">
        <f>Sources!A53</f>
        <v>DEA2020</v>
      </c>
    </row>
    <row r="35" spans="1:5" s="60" customFormat="1" x14ac:dyDescent="0.3">
      <c r="A35" s="203"/>
      <c r="B35" s="60" t="s">
        <v>1428</v>
      </c>
      <c r="C35" s="60">
        <f>1120*E2015_ref</f>
        <v>1167.9248000000002</v>
      </c>
      <c r="D35" s="61" t="s">
        <v>1575</v>
      </c>
      <c r="E35" s="60" t="str">
        <f>Sources!A53</f>
        <v>DEA2020</v>
      </c>
    </row>
    <row r="36" spans="1:5" s="60" customFormat="1" x14ac:dyDescent="0.3">
      <c r="A36" s="203"/>
      <c r="B36" s="60" t="s">
        <v>1429</v>
      </c>
      <c r="C36" s="60">
        <f>1160*E2015_ref</f>
        <v>1209.6364000000001</v>
      </c>
      <c r="D36" s="61" t="s">
        <v>1575</v>
      </c>
      <c r="E36" s="60" t="str">
        <f>Sources!A53</f>
        <v>DEA2020</v>
      </c>
    </row>
    <row r="37" spans="1:5" x14ac:dyDescent="0.3">
      <c r="A37" s="203"/>
      <c r="B37" t="s">
        <v>1430</v>
      </c>
      <c r="C37">
        <f>1040*E2015_ref</f>
        <v>1084.5016000000001</v>
      </c>
      <c r="D37" s="61" t="s">
        <v>1575</v>
      </c>
      <c r="E37" t="str">
        <f>Sources!A53</f>
        <v>DEA2020</v>
      </c>
    </row>
    <row r="38" spans="1:5" x14ac:dyDescent="0.3">
      <c r="A38" s="203"/>
      <c r="B38" t="s">
        <v>1431</v>
      </c>
      <c r="C38">
        <f>980*E2015_ref</f>
        <v>1021.9342000000001</v>
      </c>
      <c r="D38" s="61" t="s">
        <v>1575</v>
      </c>
      <c r="E38" t="str">
        <f>Sources!A53</f>
        <v>DEA2020</v>
      </c>
    </row>
    <row r="39" spans="1:5" x14ac:dyDescent="0.3">
      <c r="A39" s="203"/>
      <c r="B39" t="s">
        <v>1432</v>
      </c>
      <c r="C39">
        <f>800*E2015_ref</f>
        <v>834.23200000000008</v>
      </c>
      <c r="D39" s="61" t="s">
        <v>1575</v>
      </c>
      <c r="E39" t="str">
        <f>Sources!A53</f>
        <v>DEA2020</v>
      </c>
    </row>
    <row r="40" spans="1:5" x14ac:dyDescent="0.3">
      <c r="A40" s="203"/>
      <c r="B40" t="s">
        <v>647</v>
      </c>
      <c r="C40">
        <v>700</v>
      </c>
      <c r="D40" s="5" t="s">
        <v>192</v>
      </c>
      <c r="E40" t="str">
        <f>Sources!A7</f>
        <v>Ikäheimo2018</v>
      </c>
    </row>
    <row r="41" spans="1:5" x14ac:dyDescent="0.3">
      <c r="A41" s="203"/>
      <c r="B41" t="s">
        <v>1433</v>
      </c>
      <c r="C41">
        <f>960*E2015_ref</f>
        <v>1001.0784000000001</v>
      </c>
      <c r="D41" s="5" t="s">
        <v>1575</v>
      </c>
      <c r="E41" t="str">
        <f>Sources!A53</f>
        <v>DEA2020</v>
      </c>
    </row>
    <row r="42" spans="1:5" x14ac:dyDescent="0.3">
      <c r="A42" s="203"/>
      <c r="B42" t="s">
        <v>1436</v>
      </c>
      <c r="C42">
        <v>830</v>
      </c>
      <c r="D42" s="5" t="s">
        <v>192</v>
      </c>
      <c r="E42" t="str">
        <f>Sources!A7</f>
        <v>Ikäheimo2018</v>
      </c>
    </row>
    <row r="43" spans="1:5" x14ac:dyDescent="0.3">
      <c r="A43" s="203"/>
      <c r="B43" t="s">
        <v>1434</v>
      </c>
      <c r="C43">
        <f>1190*E2015_ref</f>
        <v>1240.9201</v>
      </c>
      <c r="D43" s="5" t="s">
        <v>1575</v>
      </c>
      <c r="E43" t="str">
        <f>Sources!A53</f>
        <v>DEA2020</v>
      </c>
    </row>
    <row r="44" spans="1:5" x14ac:dyDescent="0.3">
      <c r="A44" s="203"/>
      <c r="B44" t="s">
        <v>1435</v>
      </c>
      <c r="C44">
        <v>1000</v>
      </c>
      <c r="D44" s="5" t="s">
        <v>192</v>
      </c>
      <c r="E44" t="str">
        <f>Sources!A7</f>
        <v>Ikäheimo2018</v>
      </c>
    </row>
    <row r="45" spans="1:5" x14ac:dyDescent="0.3">
      <c r="D45" s="5"/>
    </row>
    <row r="46" spans="1:5" x14ac:dyDescent="0.3">
      <c r="A46" s="203" t="s">
        <v>1750</v>
      </c>
      <c r="B46" t="s">
        <v>661</v>
      </c>
      <c r="C46">
        <v>22</v>
      </c>
      <c r="D46" s="5" t="s">
        <v>1574</v>
      </c>
      <c r="E46" t="str">
        <f>Sources!A7</f>
        <v>Ikäheimo2018</v>
      </c>
    </row>
    <row r="47" spans="1:5" s="45" customFormat="1" x14ac:dyDescent="0.3">
      <c r="A47" s="203"/>
      <c r="B47" s="45" t="s">
        <v>1124</v>
      </c>
      <c r="C47" s="45">
        <f>33*DE2018_*E2018_ref</f>
        <v>28.365303530607061</v>
      </c>
      <c r="D47" s="5" t="s">
        <v>1574</v>
      </c>
      <c r="E47" s="45" t="str">
        <f>Sources!A84</f>
        <v>IRENA2020</v>
      </c>
    </row>
    <row r="48" spans="1:5" x14ac:dyDescent="0.3">
      <c r="A48" s="203"/>
      <c r="B48" t="s">
        <v>1418</v>
      </c>
      <c r="C48">
        <f>11.2*E2015_ref</f>
        <v>11.679248000000001</v>
      </c>
      <c r="D48" s="5" t="s">
        <v>1574</v>
      </c>
      <c r="E48" t="str">
        <f>Sources!A53</f>
        <v>DEA2020</v>
      </c>
    </row>
    <row r="49" spans="1:5" s="60" customFormat="1" x14ac:dyDescent="0.3">
      <c r="A49" s="203"/>
      <c r="B49" s="60" t="s">
        <v>1428</v>
      </c>
      <c r="C49" s="60">
        <f>14*E2015_ref</f>
        <v>14.599060000000001</v>
      </c>
      <c r="D49" s="5" t="s">
        <v>1574</v>
      </c>
      <c r="E49" s="60" t="str">
        <f>Sources!A53</f>
        <v>DEA2020</v>
      </c>
    </row>
    <row r="50" spans="1:5" x14ac:dyDescent="0.3">
      <c r="A50" s="203"/>
      <c r="B50" t="s">
        <v>1429</v>
      </c>
      <c r="C50">
        <f>16.8*E2015_ref</f>
        <v>17.518872000000002</v>
      </c>
      <c r="D50" s="5" t="s">
        <v>1574</v>
      </c>
      <c r="E50" t="str">
        <f>Sources!A53</f>
        <v>DEA2020</v>
      </c>
    </row>
    <row r="51" spans="1:5" x14ac:dyDescent="0.3">
      <c r="A51" s="203"/>
      <c r="B51" t="s">
        <v>1430</v>
      </c>
      <c r="C51">
        <f>12.6*E2015_ref</f>
        <v>13.139154000000001</v>
      </c>
      <c r="D51" s="5" t="s">
        <v>1574</v>
      </c>
      <c r="E51" t="str">
        <f>Sources!A53</f>
        <v>DEA2020</v>
      </c>
    </row>
    <row r="52" spans="1:5" x14ac:dyDescent="0.3">
      <c r="A52" s="203"/>
      <c r="B52" t="s">
        <v>1431</v>
      </c>
      <c r="C52">
        <f>11.592*E2015_ref</f>
        <v>12.088021680000002</v>
      </c>
      <c r="D52" s="5" t="s">
        <v>1574</v>
      </c>
      <c r="E52" t="str">
        <f>Sources!A53</f>
        <v>DEA2020</v>
      </c>
    </row>
    <row r="53" spans="1:5" x14ac:dyDescent="0.3">
      <c r="A53" s="203"/>
      <c r="B53" t="s">
        <v>1432</v>
      </c>
      <c r="C53">
        <f>9.072*E2015_ref</f>
        <v>9.4601908800000007</v>
      </c>
      <c r="D53" s="5" t="s">
        <v>1574</v>
      </c>
      <c r="E53" t="str">
        <f>Sources!A53</f>
        <v>DEA2020</v>
      </c>
    </row>
    <row r="54" spans="1:5" x14ac:dyDescent="0.3">
      <c r="A54" s="203"/>
      <c r="B54" t="s">
        <v>1433</v>
      </c>
      <c r="C54">
        <f>11.34*E2015_ref</f>
        <v>11.8252386</v>
      </c>
      <c r="D54" s="5" t="s">
        <v>1574</v>
      </c>
      <c r="E54" t="str">
        <f>Sources!A53</f>
        <v>DEA2020</v>
      </c>
    </row>
    <row r="55" spans="1:5" x14ac:dyDescent="0.3">
      <c r="A55" s="203"/>
      <c r="B55" t="s">
        <v>1434</v>
      </c>
      <c r="C55">
        <f>13.608*E2015_ref</f>
        <v>14.190286320000002</v>
      </c>
      <c r="D55" s="5" t="s">
        <v>1574</v>
      </c>
      <c r="E55" t="str">
        <f>Sources!A53</f>
        <v>DEA2020</v>
      </c>
    </row>
    <row r="56" spans="1:5" x14ac:dyDescent="0.3">
      <c r="D56" s="5"/>
    </row>
    <row r="57" spans="1:5" x14ac:dyDescent="0.3">
      <c r="A57" s="203" t="s">
        <v>1762</v>
      </c>
      <c r="B57" t="s">
        <v>661</v>
      </c>
      <c r="C57">
        <v>1E-3</v>
      </c>
      <c r="D57" s="5" t="s">
        <v>280</v>
      </c>
      <c r="E57" t="str">
        <f>Sources!A7</f>
        <v>Ikäheimo2018</v>
      </c>
    </row>
    <row r="58" spans="1:5" x14ac:dyDescent="0.3">
      <c r="A58" s="203"/>
      <c r="B58" t="s">
        <v>1437</v>
      </c>
      <c r="C58">
        <f>0.0012*E2015_ref</f>
        <v>1.251348E-3</v>
      </c>
      <c r="D58" s="5" t="s">
        <v>1567</v>
      </c>
      <c r="E58" t="str">
        <f>Sources!A53</f>
        <v>DEA2020</v>
      </c>
    </row>
    <row r="59" spans="1:5" s="45" customFormat="1" x14ac:dyDescent="0.3">
      <c r="A59" s="203"/>
      <c r="B59" s="45" t="s">
        <v>1419</v>
      </c>
      <c r="C59" s="45">
        <f>0.0015*E2015_ref</f>
        <v>1.5641850000000003E-3</v>
      </c>
      <c r="D59" s="53" t="s">
        <v>1567</v>
      </c>
      <c r="E59" s="45" t="str">
        <f>Sources!A53</f>
        <v>DEA2020</v>
      </c>
    </row>
    <row r="60" spans="1:5" x14ac:dyDescent="0.3">
      <c r="A60" s="203"/>
      <c r="B60" t="s">
        <v>1420</v>
      </c>
      <c r="C60">
        <f>0.0018*E2015_ref</f>
        <v>1.8770220000000001E-3</v>
      </c>
      <c r="D60" s="5" t="s">
        <v>1567</v>
      </c>
      <c r="E60" t="str">
        <f>Sources!A53</f>
        <v>DEA2020</v>
      </c>
    </row>
    <row r="61" spans="1:5" x14ac:dyDescent="0.3">
      <c r="A61" s="203"/>
      <c r="B61" t="s">
        <v>1421</v>
      </c>
      <c r="C61">
        <f>0.00135*E2015_ref</f>
        <v>1.4077665000000001E-3</v>
      </c>
      <c r="D61" s="5" t="s">
        <v>1567</v>
      </c>
      <c r="E61" t="str">
        <f>Sources!A53</f>
        <v>DEA2020</v>
      </c>
    </row>
    <row r="62" spans="1:5" x14ac:dyDescent="0.3">
      <c r="A62" s="203"/>
      <c r="B62" t="s">
        <v>1422</v>
      </c>
      <c r="C62">
        <f>0.00124*E2015_ref</f>
        <v>1.2930596E-3</v>
      </c>
      <c r="D62" s="5" t="s">
        <v>1567</v>
      </c>
      <c r="E62" t="str">
        <f>Sources!A53</f>
        <v>DEA2020</v>
      </c>
    </row>
    <row r="63" spans="1:5" x14ac:dyDescent="0.3">
      <c r="A63" s="203"/>
      <c r="B63" t="s">
        <v>1438</v>
      </c>
      <c r="C63">
        <f>0.00097*E2015_ref</f>
        <v>1.0115063000000002E-3</v>
      </c>
      <c r="D63" s="5" t="s">
        <v>1567</v>
      </c>
      <c r="E63" t="str">
        <f>Sources!A53</f>
        <v>DEA2020</v>
      </c>
    </row>
    <row r="64" spans="1:5" x14ac:dyDescent="0.3">
      <c r="A64" s="203"/>
      <c r="B64" t="s">
        <v>1439</v>
      </c>
      <c r="C64">
        <f>0.00122*E2015_ref</f>
        <v>1.2722038E-3</v>
      </c>
      <c r="D64" s="5" t="s">
        <v>1567</v>
      </c>
      <c r="E64" t="str">
        <f>Sources!A53</f>
        <v>DEA2020</v>
      </c>
    </row>
    <row r="65" spans="1:5" x14ac:dyDescent="0.3">
      <c r="A65" s="203"/>
      <c r="B65" t="s">
        <v>1440</v>
      </c>
      <c r="C65">
        <f>0.00146*E2015_ref</f>
        <v>1.5224734E-3</v>
      </c>
      <c r="D65" s="5" t="s">
        <v>1567</v>
      </c>
      <c r="E65" t="str">
        <f>Sources!A53</f>
        <v>DEA2020</v>
      </c>
    </row>
    <row r="66" spans="1:5" x14ac:dyDescent="0.3">
      <c r="D66" s="5"/>
    </row>
    <row r="67" spans="1:5" x14ac:dyDescent="0.3">
      <c r="A67" s="203" t="s">
        <v>211</v>
      </c>
      <c r="B67" t="s">
        <v>529</v>
      </c>
      <c r="C67">
        <v>20</v>
      </c>
      <c r="D67" s="5" t="s">
        <v>132</v>
      </c>
      <c r="E67" t="str">
        <f>Sources!A49</f>
        <v>McKenna2015</v>
      </c>
    </row>
    <row r="68" spans="1:5" x14ac:dyDescent="0.3">
      <c r="A68" s="203"/>
      <c r="B68" t="s">
        <v>661</v>
      </c>
      <c r="C68">
        <v>30</v>
      </c>
      <c r="D68" s="5" t="s">
        <v>132</v>
      </c>
      <c r="E68" t="str">
        <f>Sources!A7</f>
        <v>Ikäheimo2018</v>
      </c>
    </row>
    <row r="69" spans="1:5" x14ac:dyDescent="0.3">
      <c r="A69" s="203"/>
      <c r="B69" t="s">
        <v>652</v>
      </c>
      <c r="C69">
        <v>25</v>
      </c>
      <c r="D69" s="5" t="s">
        <v>132</v>
      </c>
      <c r="E69" t="str">
        <f>Sources!A53</f>
        <v>DEA2020</v>
      </c>
    </row>
    <row r="70" spans="1:5" s="45" customFormat="1" x14ac:dyDescent="0.3">
      <c r="A70" s="203"/>
      <c r="B70" s="45" t="s">
        <v>653</v>
      </c>
      <c r="C70" s="45">
        <v>27</v>
      </c>
      <c r="D70" s="53" t="s">
        <v>132</v>
      </c>
      <c r="E70" s="45" t="str">
        <f>Sources!A53</f>
        <v>DEA2020</v>
      </c>
    </row>
    <row r="71" spans="1:5" x14ac:dyDescent="0.3">
      <c r="A71" s="203"/>
      <c r="B71" t="s">
        <v>654</v>
      </c>
      <c r="C71">
        <v>35</v>
      </c>
      <c r="D71" s="5" t="s">
        <v>132</v>
      </c>
      <c r="E71" t="str">
        <f>Sources!A53</f>
        <v>DEA2020</v>
      </c>
    </row>
    <row r="72" spans="1:5" x14ac:dyDescent="0.3">
      <c r="A72" s="203"/>
      <c r="B72" t="s">
        <v>655</v>
      </c>
      <c r="C72">
        <v>30</v>
      </c>
      <c r="D72" s="5" t="s">
        <v>132</v>
      </c>
      <c r="E72" t="str">
        <f>Sources!A53</f>
        <v>DEA2020</v>
      </c>
    </row>
    <row r="73" spans="1:5" x14ac:dyDescent="0.3">
      <c r="A73" s="203"/>
      <c r="B73" t="s">
        <v>656</v>
      </c>
      <c r="C73">
        <v>30</v>
      </c>
      <c r="D73" s="5" t="s">
        <v>132</v>
      </c>
      <c r="E73" t="str">
        <f>Sources!A53</f>
        <v>DEA2020</v>
      </c>
    </row>
    <row r="74" spans="1:5" x14ac:dyDescent="0.3">
      <c r="A74" s="203"/>
      <c r="B74" t="s">
        <v>657</v>
      </c>
      <c r="C74">
        <v>25</v>
      </c>
      <c r="D74" s="5" t="s">
        <v>132</v>
      </c>
      <c r="E74" t="str">
        <f>Sources!A53</f>
        <v>DEA2020</v>
      </c>
    </row>
    <row r="75" spans="1:5" x14ac:dyDescent="0.3">
      <c r="A75" s="203"/>
      <c r="B75" t="s">
        <v>658</v>
      </c>
      <c r="C75">
        <v>30</v>
      </c>
      <c r="D75" s="5" t="s">
        <v>132</v>
      </c>
      <c r="E75" t="str">
        <f>Sources!A53</f>
        <v>DEA2020</v>
      </c>
    </row>
    <row r="76" spans="1:5" x14ac:dyDescent="0.3">
      <c r="A76" s="203"/>
      <c r="B76" t="s">
        <v>659</v>
      </c>
      <c r="C76">
        <v>40</v>
      </c>
      <c r="D76" s="5" t="s">
        <v>132</v>
      </c>
      <c r="E76" t="str">
        <f>Sources!A53</f>
        <v>DEA2020</v>
      </c>
    </row>
    <row r="77" spans="1:5" x14ac:dyDescent="0.3">
      <c r="D77" s="5"/>
    </row>
    <row r="78" spans="1:5" x14ac:dyDescent="0.3">
      <c r="B78" t="s">
        <v>2292</v>
      </c>
      <c r="C78">
        <f>(1/5)*10^3</f>
        <v>200</v>
      </c>
      <c r="D78" s="5" t="s">
        <v>778</v>
      </c>
    </row>
    <row r="79" spans="1:5" x14ac:dyDescent="0.3">
      <c r="A79" s="203" t="s">
        <v>2050</v>
      </c>
      <c r="B79" t="s">
        <v>2264</v>
      </c>
      <c r="C79">
        <f>(130*10^6)/(1550*10^3)</f>
        <v>83.870967741935488</v>
      </c>
      <c r="D79" s="5" t="s">
        <v>778</v>
      </c>
      <c r="E79" t="s">
        <v>2263</v>
      </c>
    </row>
    <row r="80" spans="1:5" x14ac:dyDescent="0.3">
      <c r="A80" s="203"/>
      <c r="B80" t="s">
        <v>2266</v>
      </c>
      <c r="C80">
        <f>55000*4046.86/(200*10^3)</f>
        <v>1112.8865000000001</v>
      </c>
      <c r="D80" s="5" t="s">
        <v>778</v>
      </c>
      <c r="E80" t="s">
        <v>2263</v>
      </c>
    </row>
    <row r="81" spans="1:7" x14ac:dyDescent="0.3">
      <c r="A81" s="203"/>
      <c r="B81" t="s">
        <v>2265</v>
      </c>
      <c r="C81">
        <f>49600*4046.86/(200*10^3)</f>
        <v>1003.62128</v>
      </c>
      <c r="D81" s="5" t="s">
        <v>778</v>
      </c>
      <c r="E81" t="s">
        <v>2263</v>
      </c>
    </row>
    <row r="82" spans="1:7" x14ac:dyDescent="0.3">
      <c r="A82" s="203"/>
      <c r="B82" t="s">
        <v>2267</v>
      </c>
      <c r="C82">
        <f>(85*10^6)/(321.75*10^3)</f>
        <v>264.1802641802642</v>
      </c>
      <c r="D82" s="5" t="s">
        <v>778</v>
      </c>
      <c r="E82" t="s">
        <v>2263</v>
      </c>
    </row>
    <row r="83" spans="1:7" x14ac:dyDescent="0.3">
      <c r="A83" s="203"/>
      <c r="B83" t="s">
        <v>2268</v>
      </c>
      <c r="C83">
        <f>100000*4046.86/(781.5*10^3)</f>
        <v>517.83237364043509</v>
      </c>
      <c r="D83" s="5" t="s">
        <v>778</v>
      </c>
      <c r="E83" t="s">
        <v>2263</v>
      </c>
    </row>
    <row r="84" spans="1:7" x14ac:dyDescent="0.3">
      <c r="A84" s="203"/>
      <c r="B84" t="s">
        <v>2269</v>
      </c>
      <c r="C84">
        <f>(89.21*10^6)/(270*10^3)</f>
        <v>330.40740740740739</v>
      </c>
      <c r="D84" s="5" t="s">
        <v>778</v>
      </c>
      <c r="E84" t="s">
        <v>2263</v>
      </c>
    </row>
    <row r="85" spans="1:7" x14ac:dyDescent="0.3">
      <c r="A85" s="203"/>
      <c r="B85" t="s">
        <v>2270</v>
      </c>
      <c r="C85">
        <f>(78*10^6)/(845*10^3)</f>
        <v>92.307692307692307</v>
      </c>
      <c r="D85" s="5" t="s">
        <v>778</v>
      </c>
      <c r="E85" t="s">
        <v>2263</v>
      </c>
    </row>
    <row r="86" spans="1:7" x14ac:dyDescent="0.3">
      <c r="A86" s="203"/>
      <c r="B86" t="s">
        <v>2271</v>
      </c>
      <c r="C86">
        <f>20000*4046.86/(150*10^3)</f>
        <v>539.5813333333333</v>
      </c>
      <c r="D86" s="5" t="s">
        <v>778</v>
      </c>
      <c r="E86" t="s">
        <v>2263</v>
      </c>
    </row>
    <row r="87" spans="1:7" x14ac:dyDescent="0.3">
      <c r="A87" s="203"/>
      <c r="B87" t="s">
        <v>2272</v>
      </c>
      <c r="C87">
        <f>6800*4046.86/(150*10^3)</f>
        <v>183.45765333333333</v>
      </c>
      <c r="D87" s="5" t="s">
        <v>778</v>
      </c>
      <c r="E87" t="s">
        <v>2263</v>
      </c>
    </row>
    <row r="88" spans="1:7" x14ac:dyDescent="0.3">
      <c r="A88" s="203"/>
      <c r="B88" t="s">
        <v>2273</v>
      </c>
      <c r="C88">
        <f>6100*4046.86/(150*10^3)</f>
        <v>164.57230666666666</v>
      </c>
      <c r="D88" s="5" t="s">
        <v>778</v>
      </c>
      <c r="E88" t="s">
        <v>2263</v>
      </c>
    </row>
    <row r="89" spans="1:7" x14ac:dyDescent="0.3">
      <c r="A89" s="203"/>
      <c r="B89" t="s">
        <v>2274</v>
      </c>
      <c r="C89">
        <f>4600*4046.86/(102.5*10^3)</f>
        <v>181.61518048780488</v>
      </c>
      <c r="D89" s="5" t="s">
        <v>778</v>
      </c>
      <c r="E89" t="s">
        <v>2263</v>
      </c>
      <c r="G89">
        <f>AVERAGE(C79:C95)</f>
        <v>317.59479669094407</v>
      </c>
    </row>
    <row r="90" spans="1:7" x14ac:dyDescent="0.3">
      <c r="A90" s="203"/>
      <c r="B90" t="s">
        <v>2275</v>
      </c>
      <c r="C90">
        <f>70.5*4046.86/(370.8*10^3)</f>
        <v>0.76942726537216832</v>
      </c>
      <c r="D90" s="5" t="s">
        <v>778</v>
      </c>
      <c r="E90" t="s">
        <v>2263</v>
      </c>
    </row>
    <row r="91" spans="1:7" x14ac:dyDescent="0.3">
      <c r="A91" s="203"/>
      <c r="B91" t="s">
        <v>2276</v>
      </c>
      <c r="C91">
        <f>3200*4046.86/(705*10^3)</f>
        <v>18.368726241134752</v>
      </c>
      <c r="D91" s="5" t="s">
        <v>778</v>
      </c>
      <c r="E91" t="s">
        <v>2263</v>
      </c>
    </row>
    <row r="92" spans="1:7" x14ac:dyDescent="0.3">
      <c r="A92" s="203"/>
      <c r="B92" t="s">
        <v>2278</v>
      </c>
      <c r="C92">
        <f>22000*4046.86/(396*10^3)</f>
        <v>224.82555555555555</v>
      </c>
      <c r="D92" s="5" t="s">
        <v>778</v>
      </c>
      <c r="E92" t="s">
        <v>2263</v>
      </c>
    </row>
    <row r="93" spans="1:7" x14ac:dyDescent="0.3">
      <c r="A93" s="203"/>
      <c r="B93" t="s">
        <v>2277</v>
      </c>
      <c r="C93">
        <f>200*4046.86/(396*10^3)</f>
        <v>2.0438686868686871</v>
      </c>
      <c r="D93" s="5" t="s">
        <v>778</v>
      </c>
      <c r="E93" t="s">
        <v>2263</v>
      </c>
    </row>
    <row r="94" spans="1:7" x14ac:dyDescent="0.3">
      <c r="A94" s="203"/>
      <c r="B94" t="s">
        <v>2279</v>
      </c>
      <c r="C94">
        <f>(55*10^6)/(539*10^3)</f>
        <v>102.04081632653062</v>
      </c>
      <c r="D94" s="5" t="s">
        <v>778</v>
      </c>
      <c r="E94" t="s">
        <v>2263</v>
      </c>
    </row>
    <row r="95" spans="1:7" x14ac:dyDescent="0.3">
      <c r="A95" s="203"/>
      <c r="B95" t="s">
        <v>2280</v>
      </c>
      <c r="C95">
        <f>(230*10^6)/(398.8*10^3)</f>
        <v>576.73019057171518</v>
      </c>
      <c r="D95" s="5" t="s">
        <v>778</v>
      </c>
      <c r="E95" t="s">
        <v>2263</v>
      </c>
    </row>
    <row r="96" spans="1:7" x14ac:dyDescent="0.3">
      <c r="D96" s="5"/>
    </row>
    <row r="98" spans="1:8" s="66" customFormat="1" x14ac:dyDescent="0.3">
      <c r="A98" s="66" t="s">
        <v>528</v>
      </c>
    </row>
    <row r="99" spans="1:8" s="15" customFormat="1" x14ac:dyDescent="0.3"/>
    <row r="100" spans="1:8" s="15" customFormat="1" x14ac:dyDescent="0.3">
      <c r="A100" s="15" t="s">
        <v>525</v>
      </c>
      <c r="B100" t="str">
        <f>Sources!A49</f>
        <v>McKenna2015</v>
      </c>
    </row>
    <row r="102" spans="1:8" ht="45" x14ac:dyDescent="0.3">
      <c r="A102" s="83" t="s">
        <v>434</v>
      </c>
      <c r="B102" s="83" t="s">
        <v>435</v>
      </c>
      <c r="C102" s="83" t="s">
        <v>436</v>
      </c>
      <c r="D102" s="83" t="s">
        <v>437</v>
      </c>
      <c r="E102" s="83" t="s">
        <v>438</v>
      </c>
      <c r="F102" s="83" t="s">
        <v>1768</v>
      </c>
      <c r="G102" s="83" t="s">
        <v>439</v>
      </c>
      <c r="H102" s="83" t="s">
        <v>440</v>
      </c>
    </row>
    <row r="103" spans="1:8" x14ac:dyDescent="0.3">
      <c r="A103" s="36" t="s">
        <v>441</v>
      </c>
      <c r="B103" s="36">
        <v>3000</v>
      </c>
      <c r="C103" s="36">
        <v>75</v>
      </c>
      <c r="D103" s="36">
        <v>100</v>
      </c>
      <c r="E103" s="36" t="s">
        <v>442</v>
      </c>
      <c r="F103" s="36">
        <v>0.02</v>
      </c>
      <c r="G103" s="36">
        <v>12</v>
      </c>
      <c r="H103" s="36">
        <v>8.5</v>
      </c>
    </row>
    <row r="104" spans="1:8" x14ac:dyDescent="0.3">
      <c r="A104" s="36" t="s">
        <v>441</v>
      </c>
      <c r="B104" s="36">
        <v>3000</v>
      </c>
      <c r="C104" s="36">
        <v>90</v>
      </c>
      <c r="D104" s="36">
        <v>100</v>
      </c>
      <c r="E104" s="36" t="s">
        <v>443</v>
      </c>
      <c r="F104" s="36">
        <v>0.02</v>
      </c>
      <c r="G104" s="36">
        <v>12</v>
      </c>
      <c r="H104" s="36">
        <v>8.5</v>
      </c>
    </row>
    <row r="105" spans="1:8" x14ac:dyDescent="0.3">
      <c r="A105" s="36" t="s">
        <v>444</v>
      </c>
      <c r="B105" s="36">
        <v>3000</v>
      </c>
      <c r="C105" s="36">
        <v>75</v>
      </c>
      <c r="D105" s="36">
        <v>110</v>
      </c>
      <c r="E105" s="36" t="s">
        <v>445</v>
      </c>
      <c r="F105" s="36">
        <v>0.02</v>
      </c>
      <c r="G105" s="36">
        <v>9.92</v>
      </c>
      <c r="H105" s="36">
        <v>8.5</v>
      </c>
    </row>
    <row r="106" spans="1:8" x14ac:dyDescent="0.3">
      <c r="A106" s="36" t="s">
        <v>444</v>
      </c>
      <c r="B106" s="36">
        <v>3000</v>
      </c>
      <c r="C106" s="36">
        <v>90</v>
      </c>
      <c r="D106" s="36">
        <v>110</v>
      </c>
      <c r="E106" s="36" t="s">
        <v>446</v>
      </c>
      <c r="F106" s="36">
        <v>0.02</v>
      </c>
      <c r="G106" s="36">
        <v>9.92</v>
      </c>
      <c r="H106" s="36">
        <v>8.5</v>
      </c>
    </row>
    <row r="107" spans="1:8" x14ac:dyDescent="0.3">
      <c r="A107" s="36" t="s">
        <v>447</v>
      </c>
      <c r="B107" s="36">
        <v>3050</v>
      </c>
      <c r="C107" s="36">
        <v>135</v>
      </c>
      <c r="D107" s="36">
        <v>101</v>
      </c>
      <c r="E107" s="36" t="s">
        <v>448</v>
      </c>
      <c r="F107" s="36">
        <v>0.02</v>
      </c>
      <c r="G107" s="36">
        <v>11.96</v>
      </c>
      <c r="H107" s="36">
        <v>8.5</v>
      </c>
    </row>
    <row r="108" spans="1:8" x14ac:dyDescent="0.3">
      <c r="A108" s="36" t="s">
        <v>447</v>
      </c>
      <c r="B108" s="36">
        <v>3050</v>
      </c>
      <c r="C108" s="36">
        <v>149</v>
      </c>
      <c r="D108" s="36">
        <v>101</v>
      </c>
      <c r="E108" s="36" t="s">
        <v>449</v>
      </c>
      <c r="F108" s="36">
        <v>0.02</v>
      </c>
      <c r="G108" s="36">
        <v>11.96</v>
      </c>
      <c r="H108" s="36">
        <v>8.5</v>
      </c>
    </row>
    <row r="109" spans="1:8" x14ac:dyDescent="0.3">
      <c r="A109" s="36" t="s">
        <v>447</v>
      </c>
      <c r="B109" s="36">
        <v>3050</v>
      </c>
      <c r="C109" s="36">
        <v>99</v>
      </c>
      <c r="D109" s="36">
        <v>101</v>
      </c>
      <c r="E109" s="36" t="s">
        <v>450</v>
      </c>
      <c r="F109" s="36">
        <v>0.02</v>
      </c>
      <c r="G109" s="36">
        <v>11.96</v>
      </c>
      <c r="H109" s="36">
        <v>8.5</v>
      </c>
    </row>
    <row r="110" spans="1:8" ht="28.8" x14ac:dyDescent="0.3">
      <c r="A110" s="36" t="s">
        <v>451</v>
      </c>
      <c r="B110" s="36">
        <v>7500</v>
      </c>
      <c r="C110" s="36">
        <v>135</v>
      </c>
      <c r="D110" s="36">
        <v>127</v>
      </c>
      <c r="E110" s="36" t="s">
        <v>452</v>
      </c>
      <c r="F110" s="36">
        <v>0.02</v>
      </c>
      <c r="G110" s="36">
        <v>18.600000000000001</v>
      </c>
      <c r="H110" s="36">
        <v>10</v>
      </c>
    </row>
    <row r="111" spans="1:8" x14ac:dyDescent="0.3">
      <c r="A111" s="36" t="s">
        <v>453</v>
      </c>
      <c r="B111" s="36">
        <v>3000</v>
      </c>
      <c r="C111" s="36">
        <v>108</v>
      </c>
      <c r="D111" s="36">
        <v>82</v>
      </c>
      <c r="E111" s="36" t="s">
        <v>454</v>
      </c>
      <c r="F111" s="36">
        <v>0.02</v>
      </c>
      <c r="G111" s="36">
        <v>17.850000000000001</v>
      </c>
      <c r="H111" s="36">
        <v>10</v>
      </c>
    </row>
    <row r="112" spans="1:8" x14ac:dyDescent="0.3">
      <c r="A112" s="36" t="s">
        <v>453</v>
      </c>
      <c r="B112" s="36">
        <v>3000</v>
      </c>
      <c r="C112" s="36">
        <v>138</v>
      </c>
      <c r="D112" s="36">
        <v>82</v>
      </c>
      <c r="E112" s="36" t="s">
        <v>455</v>
      </c>
      <c r="F112" s="36">
        <v>0.02</v>
      </c>
      <c r="G112" s="36">
        <v>17.850000000000001</v>
      </c>
      <c r="H112" s="36">
        <v>10</v>
      </c>
    </row>
    <row r="113" spans="1:8" x14ac:dyDescent="0.3">
      <c r="A113" s="36" t="s">
        <v>453</v>
      </c>
      <c r="B113" s="36">
        <v>3000</v>
      </c>
      <c r="C113" s="36">
        <v>78</v>
      </c>
      <c r="D113" s="36">
        <v>82</v>
      </c>
      <c r="E113" s="36" t="s">
        <v>456</v>
      </c>
      <c r="F113" s="36">
        <v>0.02</v>
      </c>
      <c r="G113" s="36">
        <v>17.850000000000001</v>
      </c>
      <c r="H113" s="36">
        <v>10</v>
      </c>
    </row>
    <row r="114" spans="1:8" x14ac:dyDescent="0.3">
      <c r="A114" s="36" t="s">
        <v>457</v>
      </c>
      <c r="B114" s="36">
        <v>3000</v>
      </c>
      <c r="C114" s="36">
        <v>78</v>
      </c>
      <c r="D114" s="36">
        <v>82</v>
      </c>
      <c r="E114" s="36" t="s">
        <v>456</v>
      </c>
      <c r="F114" s="36">
        <v>0.02</v>
      </c>
      <c r="G114" s="36">
        <v>17.850000000000001</v>
      </c>
      <c r="H114" s="36">
        <v>10</v>
      </c>
    </row>
    <row r="115" spans="1:8" x14ac:dyDescent="0.3">
      <c r="A115" s="36" t="s">
        <v>457</v>
      </c>
      <c r="B115" s="36">
        <v>3000</v>
      </c>
      <c r="C115" s="36">
        <v>84</v>
      </c>
      <c r="D115" s="36">
        <v>82</v>
      </c>
      <c r="E115" s="36" t="s">
        <v>458</v>
      </c>
      <c r="F115" s="36">
        <v>0.02</v>
      </c>
      <c r="G115" s="36">
        <v>17.850000000000001</v>
      </c>
      <c r="H115" s="36">
        <v>10</v>
      </c>
    </row>
    <row r="116" spans="1:8" x14ac:dyDescent="0.3">
      <c r="A116" s="36" t="s">
        <v>453</v>
      </c>
      <c r="B116" s="36">
        <v>3000</v>
      </c>
      <c r="C116" s="36">
        <v>85</v>
      </c>
      <c r="D116" s="36">
        <v>82</v>
      </c>
      <c r="E116" s="36" t="s">
        <v>459</v>
      </c>
      <c r="F116" s="36">
        <v>0.02</v>
      </c>
      <c r="G116" s="36">
        <v>17.850000000000001</v>
      </c>
      <c r="H116" s="36">
        <v>10</v>
      </c>
    </row>
    <row r="117" spans="1:8" x14ac:dyDescent="0.3">
      <c r="A117" s="36" t="s">
        <v>453</v>
      </c>
      <c r="B117" s="36">
        <v>3000</v>
      </c>
      <c r="C117" s="36">
        <v>98</v>
      </c>
      <c r="D117" s="36">
        <v>82</v>
      </c>
      <c r="E117" s="36" t="s">
        <v>460</v>
      </c>
      <c r="F117" s="36">
        <v>0.02</v>
      </c>
      <c r="G117" s="36">
        <v>17.850000000000001</v>
      </c>
      <c r="H117" s="36">
        <v>10</v>
      </c>
    </row>
    <row r="118" spans="1:8" x14ac:dyDescent="0.3">
      <c r="A118" s="36" t="s">
        <v>461</v>
      </c>
      <c r="B118" s="36">
        <v>3500</v>
      </c>
      <c r="C118" s="36">
        <v>92</v>
      </c>
      <c r="D118" s="36">
        <v>115</v>
      </c>
      <c r="E118" s="36" t="s">
        <v>462</v>
      </c>
      <c r="F118" s="36">
        <v>0.02</v>
      </c>
      <c r="G118" s="36">
        <v>10.6</v>
      </c>
      <c r="H118" s="36">
        <v>8.5</v>
      </c>
    </row>
    <row r="119" spans="1:8" x14ac:dyDescent="0.3">
      <c r="A119" s="36" t="s">
        <v>461</v>
      </c>
      <c r="B119" s="36">
        <v>3500</v>
      </c>
      <c r="C119" s="36">
        <v>92</v>
      </c>
      <c r="D119" s="36">
        <v>115</v>
      </c>
      <c r="E119" s="36" t="s">
        <v>462</v>
      </c>
      <c r="F119" s="36">
        <v>0.02</v>
      </c>
      <c r="G119" s="36">
        <v>10.6</v>
      </c>
      <c r="H119" s="36">
        <v>8.5</v>
      </c>
    </row>
    <row r="120" spans="1:8" x14ac:dyDescent="0.3">
      <c r="A120" s="36" t="s">
        <v>461</v>
      </c>
      <c r="B120" s="36">
        <v>3500</v>
      </c>
      <c r="C120" s="36">
        <v>92</v>
      </c>
      <c r="D120" s="36">
        <v>115</v>
      </c>
      <c r="E120" s="36" t="s">
        <v>462</v>
      </c>
      <c r="F120" s="36">
        <v>0.02</v>
      </c>
      <c r="G120" s="36">
        <v>10.6</v>
      </c>
      <c r="H120" s="36">
        <v>8.5</v>
      </c>
    </row>
    <row r="121" spans="1:8" x14ac:dyDescent="0.3">
      <c r="A121" s="36" t="s">
        <v>463</v>
      </c>
      <c r="B121" s="36">
        <v>3500</v>
      </c>
      <c r="C121" s="36">
        <v>117</v>
      </c>
      <c r="D121" s="36">
        <v>126</v>
      </c>
      <c r="E121" s="36" t="s">
        <v>464</v>
      </c>
      <c r="F121" s="36">
        <v>0.02</v>
      </c>
      <c r="G121" s="36">
        <v>8.82</v>
      </c>
      <c r="H121" s="36">
        <v>7.5</v>
      </c>
    </row>
    <row r="122" spans="1:8" x14ac:dyDescent="0.3">
      <c r="A122" s="36" t="s">
        <v>463</v>
      </c>
      <c r="B122" s="36">
        <v>3500</v>
      </c>
      <c r="C122" s="36">
        <v>137</v>
      </c>
      <c r="D122" s="36">
        <v>126</v>
      </c>
      <c r="E122" s="36" t="s">
        <v>465</v>
      </c>
      <c r="F122" s="36">
        <v>0.02</v>
      </c>
      <c r="G122" s="36">
        <v>8.82</v>
      </c>
      <c r="H122" s="36">
        <v>7.5</v>
      </c>
    </row>
    <row r="123" spans="1:8" x14ac:dyDescent="0.3">
      <c r="A123" s="36" t="s">
        <v>466</v>
      </c>
      <c r="B123" s="36">
        <v>4500</v>
      </c>
      <c r="C123" s="36">
        <v>120</v>
      </c>
      <c r="D123" s="36">
        <v>128</v>
      </c>
      <c r="E123" s="36" t="s">
        <v>467</v>
      </c>
      <c r="F123" s="36">
        <v>0.02</v>
      </c>
      <c r="G123" s="36">
        <v>10.99</v>
      </c>
      <c r="H123" s="36">
        <v>8.5</v>
      </c>
    </row>
    <row r="124" spans="1:8" x14ac:dyDescent="0.3">
      <c r="A124" s="36" t="s">
        <v>466</v>
      </c>
      <c r="B124" s="36">
        <v>4500</v>
      </c>
      <c r="C124" s="36">
        <v>140</v>
      </c>
      <c r="D124" s="36">
        <v>128</v>
      </c>
      <c r="E124" s="36" t="s">
        <v>468</v>
      </c>
      <c r="F124" s="36">
        <v>0.02</v>
      </c>
      <c r="G124" s="36">
        <v>10.99</v>
      </c>
      <c r="H124" s="36">
        <v>8.5</v>
      </c>
    </row>
    <row r="125" spans="1:8" x14ac:dyDescent="0.3">
      <c r="A125" s="36" t="s">
        <v>466</v>
      </c>
      <c r="B125" s="36">
        <v>4500</v>
      </c>
      <c r="C125" s="36">
        <v>81</v>
      </c>
      <c r="D125" s="36">
        <v>128</v>
      </c>
      <c r="E125" s="36" t="s">
        <v>469</v>
      </c>
      <c r="F125" s="36">
        <v>0.02</v>
      </c>
      <c r="G125" s="36">
        <v>10.99</v>
      </c>
      <c r="H125" s="36">
        <v>8.5</v>
      </c>
    </row>
    <row r="126" spans="1:8" x14ac:dyDescent="0.3">
      <c r="A126" s="36" t="s">
        <v>470</v>
      </c>
      <c r="B126" s="36">
        <v>4500</v>
      </c>
      <c r="C126" s="36">
        <v>120</v>
      </c>
      <c r="D126" s="36">
        <v>136</v>
      </c>
      <c r="E126" s="36" t="s">
        <v>471</v>
      </c>
      <c r="F126" s="36">
        <v>0.02</v>
      </c>
      <c r="G126" s="36">
        <v>9.73</v>
      </c>
      <c r="H126" s="36">
        <v>8.5</v>
      </c>
    </row>
    <row r="127" spans="1:8" x14ac:dyDescent="0.3">
      <c r="A127" s="36" t="s">
        <v>472</v>
      </c>
      <c r="B127" s="36">
        <v>3000</v>
      </c>
      <c r="C127" s="36">
        <v>95</v>
      </c>
      <c r="D127" s="36">
        <v>101</v>
      </c>
      <c r="E127" s="36" t="s">
        <v>473</v>
      </c>
      <c r="F127" s="36">
        <v>0.02</v>
      </c>
      <c r="G127" s="36">
        <v>11.79</v>
      </c>
      <c r="H127" s="36">
        <v>8.5</v>
      </c>
    </row>
    <row r="128" spans="1:8" x14ac:dyDescent="0.3">
      <c r="A128" s="36" t="s">
        <v>474</v>
      </c>
      <c r="B128" s="36">
        <v>3000</v>
      </c>
      <c r="C128" s="36">
        <v>120</v>
      </c>
      <c r="D128" s="36">
        <v>117</v>
      </c>
      <c r="E128" s="36" t="s">
        <v>475</v>
      </c>
      <c r="F128" s="36">
        <v>0.02</v>
      </c>
      <c r="G128" s="36">
        <v>8.8000000000000007</v>
      </c>
      <c r="H128" s="36">
        <v>8.5</v>
      </c>
    </row>
    <row r="129" spans="1:8" x14ac:dyDescent="0.3">
      <c r="A129" s="36" t="s">
        <v>474</v>
      </c>
      <c r="B129" s="36">
        <v>3000</v>
      </c>
      <c r="C129" s="36">
        <v>91</v>
      </c>
      <c r="D129" s="36">
        <v>117</v>
      </c>
      <c r="E129" s="36" t="s">
        <v>476</v>
      </c>
      <c r="F129" s="36">
        <v>0.02</v>
      </c>
      <c r="G129" s="36">
        <v>8.8000000000000007</v>
      </c>
      <c r="H129" s="36">
        <v>8.5</v>
      </c>
    </row>
    <row r="130" spans="1:8" x14ac:dyDescent="0.3">
      <c r="A130" s="36" t="s">
        <v>477</v>
      </c>
      <c r="B130" s="36">
        <v>5000</v>
      </c>
      <c r="C130" s="36">
        <v>117</v>
      </c>
      <c r="D130" s="36">
        <v>126</v>
      </c>
      <c r="E130" s="36" t="s">
        <v>478</v>
      </c>
      <c r="F130" s="36">
        <v>0.02</v>
      </c>
      <c r="G130" s="36">
        <v>12.6</v>
      </c>
      <c r="H130" s="36">
        <v>10</v>
      </c>
    </row>
    <row r="131" spans="1:8" x14ac:dyDescent="0.3">
      <c r="A131" s="36" t="s">
        <v>479</v>
      </c>
      <c r="B131" s="36">
        <v>3400</v>
      </c>
      <c r="C131" s="36">
        <v>100</v>
      </c>
      <c r="D131" s="36">
        <v>104</v>
      </c>
      <c r="E131" s="36" t="s">
        <v>480</v>
      </c>
      <c r="F131" s="36">
        <v>0.02</v>
      </c>
      <c r="G131" s="36">
        <v>12.57</v>
      </c>
      <c r="H131" s="36">
        <v>7.5</v>
      </c>
    </row>
    <row r="132" spans="1:8" x14ac:dyDescent="0.3">
      <c r="A132" s="36" t="s">
        <v>479</v>
      </c>
      <c r="B132" s="36">
        <v>3400</v>
      </c>
      <c r="C132" s="36">
        <v>128</v>
      </c>
      <c r="D132" s="36">
        <v>104</v>
      </c>
      <c r="E132" s="36" t="s">
        <v>481</v>
      </c>
      <c r="F132" s="36">
        <v>0.02</v>
      </c>
      <c r="G132" s="36">
        <v>12.57</v>
      </c>
      <c r="H132" s="36">
        <v>7.5</v>
      </c>
    </row>
    <row r="133" spans="1:8" x14ac:dyDescent="0.3">
      <c r="A133" s="36" t="s">
        <v>479</v>
      </c>
      <c r="B133" s="36">
        <v>3400</v>
      </c>
      <c r="C133" s="36">
        <v>80</v>
      </c>
      <c r="D133" s="36">
        <v>104</v>
      </c>
      <c r="E133" s="36" t="s">
        <v>482</v>
      </c>
      <c r="F133" s="36">
        <v>0.02</v>
      </c>
      <c r="G133" s="36">
        <v>12.57</v>
      </c>
      <c r="H133" s="36">
        <v>7.5</v>
      </c>
    </row>
    <row r="134" spans="1:8" x14ac:dyDescent="0.3">
      <c r="A134" s="36" t="s">
        <v>483</v>
      </c>
      <c r="B134" s="36">
        <v>3170</v>
      </c>
      <c r="C134" s="36">
        <v>123</v>
      </c>
      <c r="D134" s="36">
        <v>114</v>
      </c>
      <c r="E134" s="36" t="s">
        <v>484</v>
      </c>
      <c r="F134" s="36">
        <v>0.02</v>
      </c>
      <c r="G134" s="36">
        <v>9.76</v>
      </c>
      <c r="H134" s="36">
        <v>8.5</v>
      </c>
    </row>
    <row r="135" spans="1:8" x14ac:dyDescent="0.3">
      <c r="A135" s="36" t="s">
        <v>483</v>
      </c>
      <c r="B135" s="36">
        <v>3200</v>
      </c>
      <c r="C135" s="36">
        <v>143</v>
      </c>
      <c r="D135" s="36">
        <v>114</v>
      </c>
      <c r="E135" s="36" t="s">
        <v>485</v>
      </c>
      <c r="F135" s="36">
        <v>0.02</v>
      </c>
      <c r="G135" s="36">
        <v>9.85</v>
      </c>
      <c r="H135" s="36">
        <v>8.5</v>
      </c>
    </row>
    <row r="136" spans="1:8" x14ac:dyDescent="0.3">
      <c r="A136" s="36" t="s">
        <v>483</v>
      </c>
      <c r="B136" s="36">
        <v>3170</v>
      </c>
      <c r="C136" s="36">
        <v>93</v>
      </c>
      <c r="D136" s="36">
        <v>114</v>
      </c>
      <c r="E136" s="36" t="s">
        <v>486</v>
      </c>
      <c r="F136" s="36">
        <v>0.02</v>
      </c>
      <c r="G136" s="36">
        <v>9.76</v>
      </c>
      <c r="H136" s="36">
        <v>8.5</v>
      </c>
    </row>
    <row r="137" spans="1:8" x14ac:dyDescent="0.3">
      <c r="A137" s="36" t="s">
        <v>487</v>
      </c>
      <c r="B137" s="36">
        <v>3000</v>
      </c>
      <c r="C137" s="36">
        <v>100</v>
      </c>
      <c r="D137" s="36">
        <v>101</v>
      </c>
      <c r="E137" s="36" t="s">
        <v>488</v>
      </c>
      <c r="F137" s="36">
        <v>0.02</v>
      </c>
      <c r="G137" s="36">
        <v>11.76</v>
      </c>
      <c r="H137" s="36">
        <v>10</v>
      </c>
    </row>
    <row r="138" spans="1:8" x14ac:dyDescent="0.3">
      <c r="A138" s="36" t="s">
        <v>489</v>
      </c>
      <c r="B138" s="36">
        <v>3600</v>
      </c>
      <c r="C138" s="36">
        <v>80</v>
      </c>
      <c r="D138" s="36">
        <v>107</v>
      </c>
      <c r="E138" s="36" t="s">
        <v>490</v>
      </c>
      <c r="F138" s="36">
        <v>0.02</v>
      </c>
      <c r="G138" s="36">
        <v>12.58</v>
      </c>
      <c r="H138" s="36">
        <v>10</v>
      </c>
    </row>
    <row r="139" spans="1:8" x14ac:dyDescent="0.3">
      <c r="A139" s="36" t="s">
        <v>491</v>
      </c>
      <c r="B139" s="36">
        <v>3600</v>
      </c>
      <c r="C139" s="36">
        <v>90</v>
      </c>
      <c r="D139" s="36">
        <v>120</v>
      </c>
      <c r="E139" s="36" t="s">
        <v>492</v>
      </c>
      <c r="F139" s="36">
        <v>0.02</v>
      </c>
      <c r="G139" s="36">
        <v>10</v>
      </c>
      <c r="H139" s="36">
        <v>10</v>
      </c>
    </row>
    <row r="140" spans="1:8" x14ac:dyDescent="0.3">
      <c r="A140" s="36" t="s">
        <v>493</v>
      </c>
      <c r="B140" s="36">
        <v>3000</v>
      </c>
      <c r="C140" s="36">
        <v>80</v>
      </c>
      <c r="D140" s="36">
        <v>105</v>
      </c>
      <c r="E140" s="36" t="s">
        <v>494</v>
      </c>
      <c r="F140" s="36">
        <v>0.02</v>
      </c>
      <c r="G140" s="36">
        <v>10.88</v>
      </c>
      <c r="H140" s="36">
        <v>8.5</v>
      </c>
    </row>
    <row r="141" spans="1:8" x14ac:dyDescent="0.3">
      <c r="A141" s="36" t="s">
        <v>495</v>
      </c>
      <c r="B141" s="36">
        <v>3000</v>
      </c>
      <c r="C141" s="36">
        <v>90</v>
      </c>
      <c r="D141" s="36">
        <v>113</v>
      </c>
      <c r="E141" s="36" t="s">
        <v>496</v>
      </c>
      <c r="F141" s="36">
        <v>0.02</v>
      </c>
      <c r="G141" s="36">
        <v>9.35</v>
      </c>
      <c r="H141" s="36">
        <v>7.5</v>
      </c>
    </row>
    <row r="142" spans="1:8" x14ac:dyDescent="0.3">
      <c r="A142" s="36" t="s">
        <v>497</v>
      </c>
      <c r="B142" s="36">
        <v>3000</v>
      </c>
      <c r="C142" s="36">
        <v>80</v>
      </c>
      <c r="D142" s="36">
        <v>92</v>
      </c>
      <c r="E142" s="36" t="s">
        <v>498</v>
      </c>
      <c r="F142" s="36">
        <v>0.02</v>
      </c>
      <c r="G142" s="36">
        <v>14.3</v>
      </c>
      <c r="H142" s="36">
        <v>10</v>
      </c>
    </row>
    <row r="143" spans="1:8" x14ac:dyDescent="0.3">
      <c r="A143" s="36" t="s">
        <v>499</v>
      </c>
      <c r="B143" s="36">
        <v>3075</v>
      </c>
      <c r="C143" s="36">
        <v>119</v>
      </c>
      <c r="D143" s="36">
        <v>112</v>
      </c>
      <c r="E143" s="36" t="s">
        <v>500</v>
      </c>
      <c r="F143" s="36">
        <v>0.02</v>
      </c>
      <c r="G143" s="36">
        <v>9.81</v>
      </c>
      <c r="H143" s="36">
        <v>10</v>
      </c>
    </row>
    <row r="144" spans="1:8" x14ac:dyDescent="0.3">
      <c r="A144" s="36" t="s">
        <v>499</v>
      </c>
      <c r="B144" s="36">
        <v>3075</v>
      </c>
      <c r="C144" s="36">
        <v>84</v>
      </c>
      <c r="D144" s="36">
        <v>112</v>
      </c>
      <c r="E144" s="36" t="s">
        <v>501</v>
      </c>
      <c r="F144" s="36">
        <v>0.02</v>
      </c>
      <c r="G144" s="36">
        <v>9.81</v>
      </c>
      <c r="H144" s="36">
        <v>10</v>
      </c>
    </row>
    <row r="145" spans="1:8" x14ac:dyDescent="0.3">
      <c r="A145" s="36" t="s">
        <v>499</v>
      </c>
      <c r="B145" s="36">
        <v>3075</v>
      </c>
      <c r="C145" s="36">
        <v>94</v>
      </c>
      <c r="D145" s="36">
        <v>112</v>
      </c>
      <c r="E145" s="36" t="s">
        <v>502</v>
      </c>
      <c r="F145" s="36">
        <v>0.02</v>
      </c>
      <c r="G145" s="36">
        <v>9.81</v>
      </c>
      <c r="H145" s="36">
        <v>10</v>
      </c>
    </row>
    <row r="146" spans="1:8" x14ac:dyDescent="0.3">
      <c r="A146" s="36" t="s">
        <v>503</v>
      </c>
      <c r="B146" s="36">
        <v>3000</v>
      </c>
      <c r="C146" s="36">
        <v>105</v>
      </c>
      <c r="D146" s="36">
        <v>90</v>
      </c>
      <c r="E146" s="36" t="s">
        <v>504</v>
      </c>
      <c r="F146" s="36">
        <v>0.02</v>
      </c>
      <c r="G146" s="36">
        <v>14.81</v>
      </c>
      <c r="H146" s="36">
        <v>10</v>
      </c>
    </row>
    <row r="147" spans="1:8" x14ac:dyDescent="0.3">
      <c r="A147" s="36" t="s">
        <v>503</v>
      </c>
      <c r="B147" s="36">
        <v>3000</v>
      </c>
      <c r="C147" s="36">
        <v>65</v>
      </c>
      <c r="D147" s="36">
        <v>90</v>
      </c>
      <c r="E147" s="36" t="s">
        <v>505</v>
      </c>
      <c r="F147" s="36">
        <v>0.02</v>
      </c>
      <c r="G147" s="36">
        <v>14.81</v>
      </c>
      <c r="H147" s="36">
        <v>10</v>
      </c>
    </row>
    <row r="148" spans="1:8" x14ac:dyDescent="0.3">
      <c r="A148" s="36" t="s">
        <v>503</v>
      </c>
      <c r="B148" s="36">
        <v>3000</v>
      </c>
      <c r="C148" s="36">
        <v>75</v>
      </c>
      <c r="D148" s="36">
        <v>90</v>
      </c>
      <c r="E148" s="36" t="s">
        <v>506</v>
      </c>
      <c r="F148" s="36">
        <v>0.02</v>
      </c>
      <c r="G148" s="36">
        <v>14.81</v>
      </c>
      <c r="H148" s="36">
        <v>10</v>
      </c>
    </row>
    <row r="149" spans="1:8" x14ac:dyDescent="0.3">
      <c r="A149" s="36" t="s">
        <v>503</v>
      </c>
      <c r="B149" s="36">
        <v>3000</v>
      </c>
      <c r="C149" s="36">
        <v>80</v>
      </c>
      <c r="D149" s="36">
        <v>90</v>
      </c>
      <c r="E149" s="36" t="s">
        <v>507</v>
      </c>
      <c r="F149" s="36">
        <v>0.02</v>
      </c>
      <c r="G149" s="36">
        <v>14.81</v>
      </c>
      <c r="H149" s="36">
        <v>10</v>
      </c>
    </row>
    <row r="150" spans="1:8" x14ac:dyDescent="0.3">
      <c r="A150" s="36" t="s">
        <v>503</v>
      </c>
      <c r="B150" s="36">
        <v>3000</v>
      </c>
      <c r="C150" s="36">
        <v>90</v>
      </c>
      <c r="D150" s="36">
        <v>90</v>
      </c>
      <c r="E150" s="36" t="s">
        <v>508</v>
      </c>
      <c r="F150" s="36">
        <v>0.02</v>
      </c>
      <c r="G150" s="36">
        <v>14.81</v>
      </c>
      <c r="H150" s="36">
        <v>10</v>
      </c>
    </row>
    <row r="151" spans="1:8" x14ac:dyDescent="0.3">
      <c r="A151" s="36" t="s">
        <v>509</v>
      </c>
      <c r="B151" s="36">
        <v>3000</v>
      </c>
      <c r="C151" s="36">
        <v>80</v>
      </c>
      <c r="D151" s="36">
        <v>100</v>
      </c>
      <c r="E151" s="36" t="s">
        <v>510</v>
      </c>
      <c r="F151" s="36">
        <v>0.02</v>
      </c>
      <c r="G151" s="36">
        <v>12</v>
      </c>
      <c r="H151" s="36">
        <v>8.5</v>
      </c>
    </row>
    <row r="152" spans="1:8" x14ac:dyDescent="0.3">
      <c r="A152" s="36" t="s">
        <v>509</v>
      </c>
      <c r="B152" s="36">
        <v>3000</v>
      </c>
      <c r="C152" s="36">
        <v>88</v>
      </c>
      <c r="D152" s="36">
        <v>100</v>
      </c>
      <c r="E152" s="36" t="s">
        <v>511</v>
      </c>
      <c r="F152" s="36">
        <v>0.02</v>
      </c>
      <c r="G152" s="36">
        <v>12</v>
      </c>
      <c r="H152" s="36">
        <v>8.5</v>
      </c>
    </row>
    <row r="153" spans="1:8" x14ac:dyDescent="0.3">
      <c r="A153" s="36" t="s">
        <v>512</v>
      </c>
      <c r="B153" s="36">
        <v>3000</v>
      </c>
      <c r="C153" s="36">
        <v>80</v>
      </c>
      <c r="D153" s="36">
        <v>100</v>
      </c>
      <c r="E153" s="36" t="s">
        <v>510</v>
      </c>
      <c r="F153" s="36">
        <v>0.02</v>
      </c>
      <c r="G153" s="36">
        <v>12</v>
      </c>
      <c r="H153" s="36">
        <v>7.5</v>
      </c>
    </row>
    <row r="154" spans="1:8" x14ac:dyDescent="0.3">
      <c r="A154" s="36" t="s">
        <v>512</v>
      </c>
      <c r="B154" s="36">
        <v>3000</v>
      </c>
      <c r="C154" s="36">
        <v>88</v>
      </c>
      <c r="D154" s="36">
        <v>100</v>
      </c>
      <c r="E154" s="36" t="s">
        <v>511</v>
      </c>
      <c r="F154" s="36">
        <v>0.02</v>
      </c>
      <c r="G154" s="36">
        <v>12</v>
      </c>
      <c r="H154" s="36">
        <v>7.5</v>
      </c>
    </row>
    <row r="155" spans="1:8" x14ac:dyDescent="0.3">
      <c r="A155" s="36" t="s">
        <v>513</v>
      </c>
      <c r="B155" s="36">
        <v>3000</v>
      </c>
      <c r="C155" s="36">
        <v>80</v>
      </c>
      <c r="D155" s="36">
        <v>103</v>
      </c>
      <c r="E155" s="36" t="s">
        <v>514</v>
      </c>
      <c r="F155" s="36">
        <v>0.02</v>
      </c>
      <c r="G155" s="36">
        <v>11.31</v>
      </c>
      <c r="H155" s="36">
        <v>7.5</v>
      </c>
    </row>
    <row r="156" spans="1:8" x14ac:dyDescent="0.3">
      <c r="A156" s="36" t="s">
        <v>513</v>
      </c>
      <c r="B156" s="36">
        <v>3000</v>
      </c>
      <c r="C156" s="36">
        <v>88</v>
      </c>
      <c r="D156" s="36">
        <v>103</v>
      </c>
      <c r="E156" s="36" t="s">
        <v>515</v>
      </c>
      <c r="F156" s="36">
        <v>0.02</v>
      </c>
      <c r="G156" s="36">
        <v>11.31</v>
      </c>
      <c r="H156" s="36">
        <v>7.5</v>
      </c>
    </row>
    <row r="157" spans="1:8" x14ac:dyDescent="0.3">
      <c r="A157" s="36" t="s">
        <v>516</v>
      </c>
      <c r="B157" s="36">
        <v>3000</v>
      </c>
      <c r="C157" s="36">
        <v>80</v>
      </c>
      <c r="D157" s="36">
        <v>109</v>
      </c>
      <c r="E157" s="36" t="s">
        <v>517</v>
      </c>
      <c r="F157" s="36">
        <v>0.02</v>
      </c>
      <c r="G157" s="36">
        <v>10.1</v>
      </c>
      <c r="H157" s="36">
        <v>7.5</v>
      </c>
    </row>
    <row r="158" spans="1:8" x14ac:dyDescent="0.3">
      <c r="A158" s="36" t="s">
        <v>516</v>
      </c>
      <c r="B158" s="36">
        <v>3000</v>
      </c>
      <c r="C158" s="36">
        <v>88</v>
      </c>
      <c r="D158" s="36">
        <v>109</v>
      </c>
      <c r="E158" s="36" t="s">
        <v>518</v>
      </c>
      <c r="F158" s="36">
        <v>0.02</v>
      </c>
      <c r="G158" s="36">
        <v>10.1</v>
      </c>
      <c r="H158" s="36">
        <v>7.5</v>
      </c>
    </row>
    <row r="159" spans="1:8" x14ac:dyDescent="0.3">
      <c r="A159" s="36" t="s">
        <v>519</v>
      </c>
      <c r="B159" s="36">
        <v>3000</v>
      </c>
      <c r="C159" s="36">
        <v>120</v>
      </c>
      <c r="D159" s="36">
        <v>120</v>
      </c>
      <c r="E159" s="36" t="s">
        <v>520</v>
      </c>
      <c r="F159" s="36">
        <v>0.02</v>
      </c>
      <c r="G159" s="36">
        <v>8.33</v>
      </c>
      <c r="H159" s="36">
        <v>7.5</v>
      </c>
    </row>
    <row r="160" spans="1:8" x14ac:dyDescent="0.3">
      <c r="A160" s="36" t="s">
        <v>519</v>
      </c>
      <c r="B160" s="36">
        <v>3000</v>
      </c>
      <c r="C160" s="36">
        <v>90</v>
      </c>
      <c r="D160" s="36">
        <v>120</v>
      </c>
      <c r="E160" s="36" t="s">
        <v>521</v>
      </c>
      <c r="F160" s="36">
        <v>0.02</v>
      </c>
      <c r="G160" s="36">
        <v>8.33</v>
      </c>
      <c r="H160" s="36">
        <v>7.5</v>
      </c>
    </row>
    <row r="161" spans="1:8" x14ac:dyDescent="0.3">
      <c r="A161" s="36" t="s">
        <v>522</v>
      </c>
      <c r="B161" s="36">
        <v>3000</v>
      </c>
      <c r="C161" s="36">
        <v>80</v>
      </c>
      <c r="D161" s="36">
        <v>90</v>
      </c>
      <c r="E161" s="36" t="s">
        <v>523</v>
      </c>
      <c r="F161" s="36">
        <v>0.02</v>
      </c>
      <c r="G161" s="36">
        <v>14.81</v>
      </c>
      <c r="H161" s="36">
        <v>8.5</v>
      </c>
    </row>
    <row r="162" spans="1:8" x14ac:dyDescent="0.3">
      <c r="A162" s="36" t="s">
        <v>522</v>
      </c>
      <c r="B162" s="36">
        <v>3000</v>
      </c>
      <c r="C162" s="36">
        <v>88</v>
      </c>
      <c r="D162" s="36">
        <v>90</v>
      </c>
      <c r="E162" s="36" t="s">
        <v>524</v>
      </c>
      <c r="F162" s="36">
        <v>0.02</v>
      </c>
      <c r="G162" s="36">
        <v>14.81</v>
      </c>
      <c r="H162" s="36">
        <v>8.5</v>
      </c>
    </row>
  </sheetData>
  <mergeCells count="6">
    <mergeCell ref="A23:A28"/>
    <mergeCell ref="A79:A95"/>
    <mergeCell ref="A30:A44"/>
    <mergeCell ref="A46:A55"/>
    <mergeCell ref="A57:A65"/>
    <mergeCell ref="A67:A76"/>
  </mergeCells>
  <pageMargins left="0.7" right="0.7" top="0.75" bottom="0.75" header="0.3" footer="0.3"/>
  <pageSetup paperSize="9"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I203"/>
  <sheetViews>
    <sheetView topLeftCell="B83" workbookViewId="0">
      <selection activeCell="E102" sqref="E102"/>
    </sheetView>
  </sheetViews>
  <sheetFormatPr defaultRowHeight="14.4" x14ac:dyDescent="0.3"/>
  <cols>
    <col min="1" max="1" width="34.21875" customWidth="1"/>
    <col min="2" max="2" width="61.21875" style="13" customWidth="1"/>
    <col min="3" max="3" width="10.77734375" customWidth="1"/>
    <col min="4" max="4" width="13.44140625" customWidth="1"/>
    <col min="5" max="5" width="10.77734375" customWidth="1"/>
    <col min="6" max="7" width="12" customWidth="1"/>
    <col min="8" max="8" width="11.77734375" customWidth="1"/>
    <col min="9" max="9" width="21.21875" customWidth="1"/>
  </cols>
  <sheetData>
    <row r="1" spans="1:9" s="29" customFormat="1" x14ac:dyDescent="0.3">
      <c r="A1" s="71" t="s">
        <v>664</v>
      </c>
      <c r="B1" s="31"/>
    </row>
    <row r="3" spans="1:9" s="33" customFormat="1" x14ac:dyDescent="0.3">
      <c r="A3" s="33" t="s">
        <v>785</v>
      </c>
      <c r="B3" s="32"/>
      <c r="D3" s="32"/>
      <c r="E3" s="34"/>
      <c r="F3" s="32"/>
      <c r="G3" s="48"/>
    </row>
    <row r="4" spans="1:9" x14ac:dyDescent="0.3">
      <c r="D4" s="17"/>
      <c r="E4" s="8"/>
      <c r="F4" s="13"/>
      <c r="G4" s="5"/>
    </row>
    <row r="5" spans="1:9" s="66" customFormat="1" x14ac:dyDescent="0.3">
      <c r="A5" s="66" t="s">
        <v>703</v>
      </c>
      <c r="B5" s="68"/>
      <c r="D5" s="68"/>
      <c r="E5" s="69"/>
      <c r="F5" s="68"/>
      <c r="G5" s="70"/>
    </row>
    <row r="6" spans="1:9" x14ac:dyDescent="0.3">
      <c r="D6" s="17"/>
      <c r="E6" s="8"/>
      <c r="F6" s="13"/>
      <c r="G6" s="5"/>
    </row>
    <row r="7" spans="1:9" s="17" customFormat="1" x14ac:dyDescent="0.3">
      <c r="A7" s="17" t="s">
        <v>85</v>
      </c>
      <c r="B7" s="17" t="s">
        <v>52</v>
      </c>
      <c r="C7" s="17" t="s">
        <v>184</v>
      </c>
      <c r="D7" s="18" t="s">
        <v>106</v>
      </c>
      <c r="E7" s="17" t="s">
        <v>183</v>
      </c>
      <c r="F7" s="17">
        <v>2030</v>
      </c>
      <c r="G7" s="17">
        <v>2040</v>
      </c>
      <c r="H7" s="17">
        <v>2050</v>
      </c>
      <c r="I7" s="15"/>
    </row>
    <row r="8" spans="1:9" x14ac:dyDescent="0.3">
      <c r="A8" t="s">
        <v>218</v>
      </c>
      <c r="B8" s="13" t="s">
        <v>425</v>
      </c>
      <c r="C8" s="5" t="s">
        <v>422</v>
      </c>
      <c r="D8" s="5" t="s">
        <v>422</v>
      </c>
      <c r="E8" s="5" t="s">
        <v>422</v>
      </c>
      <c r="F8" s="5" t="s">
        <v>422</v>
      </c>
      <c r="G8" s="5" t="s">
        <v>422</v>
      </c>
      <c r="H8" s="5" t="s">
        <v>422</v>
      </c>
    </row>
    <row r="9" spans="1:9" x14ac:dyDescent="0.3">
      <c r="A9" t="s">
        <v>1782</v>
      </c>
      <c r="B9" s="13" t="s">
        <v>426</v>
      </c>
      <c r="C9">
        <f>C49</f>
        <v>3393.1601035806771</v>
      </c>
      <c r="D9">
        <f>C49</f>
        <v>3393.1601035806771</v>
      </c>
      <c r="E9">
        <f>C47</f>
        <v>2614.5191534958481</v>
      </c>
      <c r="F9" s="5">
        <f>C53</f>
        <v>2012.5847000000001</v>
      </c>
      <c r="G9" s="5">
        <f>C54</f>
        <v>1887.4499000000003</v>
      </c>
      <c r="H9" s="5">
        <f>C56</f>
        <v>1856.1662000000001</v>
      </c>
    </row>
    <row r="10" spans="1:9" s="137" customFormat="1" x14ac:dyDescent="0.3">
      <c r="A10" s="137" t="s">
        <v>1783</v>
      </c>
      <c r="B10" s="138" t="s">
        <v>426</v>
      </c>
      <c r="C10" s="137">
        <v>1830</v>
      </c>
      <c r="D10" s="137">
        <v>1750</v>
      </c>
      <c r="E10" s="137">
        <v>1580</v>
      </c>
      <c r="F10" s="139"/>
      <c r="G10" s="139"/>
      <c r="H10" s="139"/>
    </row>
    <row r="11" spans="1:9" s="137" customFormat="1" x14ac:dyDescent="0.3">
      <c r="A11" s="137" t="s">
        <v>986</v>
      </c>
      <c r="B11" s="138" t="s">
        <v>932</v>
      </c>
      <c r="C11" s="137">
        <f>C186</f>
        <v>0</v>
      </c>
      <c r="D11" s="137">
        <f>D186</f>
        <v>0</v>
      </c>
      <c r="E11" s="137">
        <f>E186</f>
        <v>0</v>
      </c>
      <c r="F11" s="139"/>
      <c r="G11" s="139"/>
      <c r="H11" s="139"/>
    </row>
    <row r="12" spans="1:9" x14ac:dyDescent="0.3">
      <c r="A12" t="s">
        <v>1769</v>
      </c>
      <c r="B12" s="13" t="s">
        <v>427</v>
      </c>
      <c r="C12">
        <f>C68</f>
        <v>110.88255016510033</v>
      </c>
      <c r="D12">
        <f>C69</f>
        <v>60.168825670984674</v>
      </c>
      <c r="E12">
        <f>C70</f>
        <v>59.826770247343518</v>
      </c>
      <c r="F12" s="5">
        <f>C74</f>
        <v>37.592579499999999</v>
      </c>
      <c r="G12" s="5">
        <f>C75</f>
        <v>34.589344300000008</v>
      </c>
      <c r="H12" s="5">
        <f>C77</f>
        <v>33.838535500000006</v>
      </c>
    </row>
    <row r="13" spans="1:9" x14ac:dyDescent="0.3">
      <c r="A13" t="s">
        <v>1751</v>
      </c>
      <c r="B13" s="13" t="s">
        <v>280</v>
      </c>
      <c r="C13">
        <f>C83</f>
        <v>3.2326490000000002E-3</v>
      </c>
      <c r="D13">
        <f>C82</f>
        <v>3.1283700000000005E-3</v>
      </c>
      <c r="E13">
        <f>C81</f>
        <v>2.8155330000000003E-3</v>
      </c>
      <c r="F13" s="5">
        <f>C84</f>
        <v>2.8155330000000003E-3</v>
      </c>
      <c r="G13" s="5">
        <f>C85</f>
        <v>2.6069750000000005E-3</v>
      </c>
      <c r="H13" s="5">
        <f>C87</f>
        <v>2.502696E-3</v>
      </c>
    </row>
    <row r="14" spans="1:9" x14ac:dyDescent="0.3">
      <c r="A14" t="s">
        <v>110</v>
      </c>
      <c r="B14" s="13" t="s">
        <v>201</v>
      </c>
      <c r="C14">
        <v>20</v>
      </c>
      <c r="D14">
        <v>27</v>
      </c>
      <c r="E14">
        <v>35</v>
      </c>
      <c r="F14" s="5">
        <f>C94</f>
        <v>30</v>
      </c>
      <c r="G14" s="5">
        <f>C95</f>
        <v>30</v>
      </c>
      <c r="H14" s="5">
        <f>C97</f>
        <v>30</v>
      </c>
    </row>
    <row r="15" spans="1:9" x14ac:dyDescent="0.3">
      <c r="A15" t="s">
        <v>103</v>
      </c>
      <c r="B15" s="13" t="s">
        <v>51</v>
      </c>
      <c r="C15" s="23">
        <f>Annuities!AF27</f>
        <v>0.10185220882315059</v>
      </c>
      <c r="D15" s="23">
        <f>Annuities!AG27</f>
        <v>9.1448096207564403E-2</v>
      </c>
      <c r="E15" s="2">
        <f>Annuities!AH27</f>
        <v>8.5803264560679798E-2</v>
      </c>
      <c r="F15" s="2">
        <f>Annuities!AI27</f>
        <v>8.4918639638364407E-2</v>
      </c>
      <c r="G15" s="2">
        <f>Annuities!AJ27</f>
        <v>8.8827433387272267E-2</v>
      </c>
      <c r="H15" s="2">
        <f>Annuities!AK27</f>
        <v>8.8827433387272267E-2</v>
      </c>
    </row>
    <row r="16" spans="1:9" x14ac:dyDescent="0.3">
      <c r="A16" t="s">
        <v>1039</v>
      </c>
      <c r="B16" s="13" t="s">
        <v>202</v>
      </c>
      <c r="C16">
        <v>21.4</v>
      </c>
      <c r="D16">
        <v>47.8</v>
      </c>
      <c r="E16">
        <v>62.2</v>
      </c>
      <c r="F16">
        <v>62.2</v>
      </c>
      <c r="G16">
        <v>62.2</v>
      </c>
      <c r="H16" s="5">
        <v>47.8</v>
      </c>
    </row>
    <row r="17" spans="1:8" x14ac:dyDescent="0.3">
      <c r="A17" t="s">
        <v>2050</v>
      </c>
      <c r="B17" s="13" t="s">
        <v>778</v>
      </c>
      <c r="C17">
        <f>$C$102</f>
        <v>203.96</v>
      </c>
      <c r="D17">
        <f>$C$101</f>
        <v>177.36</v>
      </c>
      <c r="E17">
        <f>$C$100</f>
        <v>150.76</v>
      </c>
      <c r="F17">
        <f>$C$103</f>
        <v>171.96</v>
      </c>
      <c r="G17">
        <f>$C$104</f>
        <v>169.84</v>
      </c>
      <c r="H17">
        <f>$C$106</f>
        <v>171.26</v>
      </c>
    </row>
    <row r="18" spans="1:8" x14ac:dyDescent="0.3">
      <c r="A18" t="s">
        <v>1038</v>
      </c>
      <c r="B18" s="13" t="s">
        <v>1068</v>
      </c>
      <c r="C18">
        <f>((C9*C15+C12)/(8760*C16/100)+C13)*1000</f>
        <v>246.73721606641419</v>
      </c>
      <c r="D18">
        <f>(((D9*D15+D12)/(8760*D16/100)+D13)*1000)</f>
        <v>91.602715463140683</v>
      </c>
      <c r="E18">
        <f>((E9*E15+E12)/(8760*E16/100)+E13)*1000</f>
        <v>54.967423512581377</v>
      </c>
      <c r="F18">
        <f t="shared" ref="F18:G18" si="0">((F9*F15+F12)/(8760*F16/100)+F13)*1000</f>
        <v>41.081131962873066</v>
      </c>
      <c r="G18">
        <f t="shared" si="0"/>
        <v>39.725174240200211</v>
      </c>
      <c r="H18">
        <f>((H9*H15+H12)/(8760*H16/100)+H13)*1000</f>
        <v>49.959998828138154</v>
      </c>
    </row>
    <row r="20" spans="1:8" s="66" customFormat="1" x14ac:dyDescent="0.3">
      <c r="A20" s="66" t="s">
        <v>703</v>
      </c>
      <c r="B20" s="68"/>
      <c r="D20" s="68"/>
      <c r="E20" s="69"/>
      <c r="F20" s="68"/>
      <c r="G20" s="70"/>
    </row>
    <row r="21" spans="1:8" x14ac:dyDescent="0.3">
      <c r="A21" s="17" t="s">
        <v>85</v>
      </c>
      <c r="B21" s="17" t="s">
        <v>82</v>
      </c>
      <c r="C21" s="15" t="s">
        <v>49</v>
      </c>
      <c r="D21" s="17" t="s">
        <v>52</v>
      </c>
      <c r="E21" s="18" t="s">
        <v>58</v>
      </c>
      <c r="F21" s="15" t="s">
        <v>93</v>
      </c>
      <c r="G21" s="49" t="s">
        <v>80</v>
      </c>
      <c r="H21" s="15" t="s">
        <v>59</v>
      </c>
    </row>
    <row r="22" spans="1:8" x14ac:dyDescent="0.3">
      <c r="D22" s="5"/>
    </row>
    <row r="23" spans="1:8" x14ac:dyDescent="0.3">
      <c r="A23" s="203" t="s">
        <v>1039</v>
      </c>
      <c r="B23" s="13" t="s">
        <v>1048</v>
      </c>
      <c r="C23">
        <v>21.4</v>
      </c>
      <c r="D23" s="5" t="s">
        <v>202</v>
      </c>
      <c r="E23" t="str">
        <f>Sources!A80</f>
        <v>Staffell&amp;Pfenninger 2020</v>
      </c>
    </row>
    <row r="24" spans="1:8" x14ac:dyDescent="0.3">
      <c r="A24" s="203"/>
      <c r="B24" s="13" t="s">
        <v>1050</v>
      </c>
      <c r="C24">
        <v>37.6</v>
      </c>
      <c r="D24" s="5" t="s">
        <v>202</v>
      </c>
      <c r="E24" t="str">
        <f>Sources!A80</f>
        <v>Staffell&amp;Pfenninger 2020</v>
      </c>
    </row>
    <row r="25" spans="1:8" x14ac:dyDescent="0.3">
      <c r="A25" s="203"/>
      <c r="B25" s="13" t="s">
        <v>1051</v>
      </c>
      <c r="C25">
        <v>62.2</v>
      </c>
      <c r="D25" s="5" t="s">
        <v>202</v>
      </c>
      <c r="E25" t="str">
        <f>Sources!A80</f>
        <v>Staffell&amp;Pfenninger 2020</v>
      </c>
    </row>
    <row r="26" spans="1:8" x14ac:dyDescent="0.3">
      <c r="A26" s="203"/>
      <c r="B26" s="13" t="s">
        <v>1130</v>
      </c>
      <c r="C26">
        <v>44</v>
      </c>
      <c r="D26" s="5" t="s">
        <v>202</v>
      </c>
      <c r="E26" t="str">
        <f>Sources!A80</f>
        <v>Staffell&amp;Pfenninger 2020</v>
      </c>
    </row>
    <row r="27" spans="1:8" x14ac:dyDescent="0.3">
      <c r="A27" s="203"/>
      <c r="B27" s="13" t="s">
        <v>1222</v>
      </c>
      <c r="C27">
        <v>59</v>
      </c>
      <c r="D27" s="5" t="s">
        <v>202</v>
      </c>
      <c r="E27" t="str">
        <f>Sources!A80</f>
        <v>Staffell&amp;Pfenninger 2020</v>
      </c>
    </row>
    <row r="28" spans="1:8" x14ac:dyDescent="0.3">
      <c r="A28" s="203"/>
      <c r="B28" s="13" t="s">
        <v>1052</v>
      </c>
      <c r="C28">
        <v>32</v>
      </c>
      <c r="D28" s="5" t="s">
        <v>202</v>
      </c>
      <c r="E28" t="str">
        <f>Sources!A80</f>
        <v>Staffell&amp;Pfenninger 2020</v>
      </c>
    </row>
    <row r="29" spans="1:8" x14ac:dyDescent="0.3">
      <c r="D29" s="5"/>
    </row>
    <row r="30" spans="1:8" x14ac:dyDescent="0.3">
      <c r="A30" s="203" t="s">
        <v>780</v>
      </c>
      <c r="B30" s="13" t="s">
        <v>788</v>
      </c>
      <c r="C30">
        <v>115</v>
      </c>
      <c r="D30" s="5" t="s">
        <v>779</v>
      </c>
      <c r="E30" t="str">
        <f>Sources!A53</f>
        <v>DEA2020</v>
      </c>
    </row>
    <row r="31" spans="1:8" x14ac:dyDescent="0.3">
      <c r="A31" s="203"/>
      <c r="B31" s="13" t="s">
        <v>789</v>
      </c>
      <c r="C31">
        <v>135</v>
      </c>
      <c r="D31" s="5" t="s">
        <v>779</v>
      </c>
      <c r="E31" t="str">
        <f>Sources!A53</f>
        <v>DEA2020</v>
      </c>
    </row>
    <row r="32" spans="1:8" x14ac:dyDescent="0.3">
      <c r="A32" s="203"/>
      <c r="B32" s="13" t="s">
        <v>790</v>
      </c>
      <c r="C32">
        <v>150</v>
      </c>
      <c r="D32" s="5" t="s">
        <v>779</v>
      </c>
      <c r="E32" t="str">
        <f>Sources!A53</f>
        <v>DEA2020</v>
      </c>
    </row>
    <row r="33" spans="1:5" x14ac:dyDescent="0.3">
      <c r="A33" s="203"/>
      <c r="B33" s="13" t="s">
        <v>791</v>
      </c>
      <c r="C33">
        <v>160</v>
      </c>
      <c r="D33" s="5" t="s">
        <v>779</v>
      </c>
      <c r="E33" t="str">
        <f>Sources!A53</f>
        <v>DEA2020</v>
      </c>
    </row>
    <row r="34" spans="1:5" x14ac:dyDescent="0.3">
      <c r="A34" s="203"/>
      <c r="B34" s="13" t="s">
        <v>792</v>
      </c>
      <c r="C34">
        <v>190</v>
      </c>
      <c r="D34" s="5" t="s">
        <v>779</v>
      </c>
      <c r="E34" t="str">
        <f>Sources!A53</f>
        <v>DEA2020</v>
      </c>
    </row>
    <row r="35" spans="1:5" x14ac:dyDescent="0.3">
      <c r="A35" s="203"/>
      <c r="B35" s="13" t="s">
        <v>793</v>
      </c>
      <c r="C35">
        <v>235</v>
      </c>
      <c r="D35" s="5" t="s">
        <v>779</v>
      </c>
      <c r="E35" t="str">
        <f>Sources!A53</f>
        <v>DEA2020</v>
      </c>
    </row>
    <row r="36" spans="1:5" x14ac:dyDescent="0.3">
      <c r="A36" s="203"/>
      <c r="B36" s="13" t="s">
        <v>794</v>
      </c>
      <c r="C36">
        <v>260</v>
      </c>
      <c r="D36" s="5" t="s">
        <v>779</v>
      </c>
      <c r="E36" t="str">
        <f>Sources!A53</f>
        <v>DEA2020</v>
      </c>
    </row>
    <row r="37" spans="1:5" x14ac:dyDescent="0.3">
      <c r="A37" s="203"/>
      <c r="B37" s="13" t="s">
        <v>795</v>
      </c>
      <c r="C37">
        <v>280</v>
      </c>
      <c r="D37" s="5" t="s">
        <v>779</v>
      </c>
      <c r="E37" t="str">
        <f>Sources!A53</f>
        <v>DEA2020</v>
      </c>
    </row>
    <row r="38" spans="1:5" x14ac:dyDescent="0.3">
      <c r="A38" s="203"/>
      <c r="B38" s="13" t="s">
        <v>796</v>
      </c>
      <c r="C38">
        <v>10</v>
      </c>
      <c r="D38" s="5" t="s">
        <v>782</v>
      </c>
      <c r="E38" t="str">
        <f>Sources!A53</f>
        <v>DEA2020</v>
      </c>
    </row>
    <row r="39" spans="1:5" x14ac:dyDescent="0.3">
      <c r="A39" s="203"/>
      <c r="B39" s="13" t="s">
        <v>797</v>
      </c>
      <c r="C39">
        <v>15</v>
      </c>
      <c r="D39" s="5" t="s">
        <v>782</v>
      </c>
      <c r="E39" t="str">
        <f>Sources!A53</f>
        <v>DEA2020</v>
      </c>
    </row>
    <row r="40" spans="1:5" x14ac:dyDescent="0.3">
      <c r="A40" s="203"/>
      <c r="B40" s="13" t="s">
        <v>798</v>
      </c>
      <c r="C40">
        <v>18</v>
      </c>
      <c r="D40" s="5" t="s">
        <v>782</v>
      </c>
      <c r="E40" t="str">
        <f>Sources!A53</f>
        <v>DEA2020</v>
      </c>
    </row>
    <row r="41" spans="1:5" x14ac:dyDescent="0.3">
      <c r="A41" s="203"/>
      <c r="B41" s="13" t="s">
        <v>799</v>
      </c>
      <c r="C41">
        <v>20</v>
      </c>
      <c r="D41" s="5" t="s">
        <v>782</v>
      </c>
      <c r="E41" t="str">
        <f>Sources!A53</f>
        <v>DEA2020</v>
      </c>
    </row>
    <row r="42" spans="1:5" x14ac:dyDescent="0.3">
      <c r="A42" s="203"/>
      <c r="B42" s="13" t="s">
        <v>781</v>
      </c>
      <c r="C42">
        <v>400</v>
      </c>
      <c r="D42" s="5" t="s">
        <v>782</v>
      </c>
      <c r="E42" t="str">
        <f>Sources!A53</f>
        <v>DEA2020</v>
      </c>
    </row>
    <row r="43" spans="1:5" x14ac:dyDescent="0.3">
      <c r="A43" s="203"/>
      <c r="B43" s="13" t="s">
        <v>783</v>
      </c>
      <c r="D43" s="5"/>
      <c r="E43" t="str">
        <f>Sources!A53</f>
        <v>DEA2020</v>
      </c>
    </row>
    <row r="44" spans="1:5" x14ac:dyDescent="0.3">
      <c r="A44" s="203"/>
      <c r="B44" s="13" t="s">
        <v>784</v>
      </c>
      <c r="D44" s="5"/>
      <c r="E44" t="str">
        <f>Sources!A53</f>
        <v>DEA2020</v>
      </c>
    </row>
    <row r="45" spans="1:5" x14ac:dyDescent="0.3">
      <c r="D45" s="5"/>
    </row>
    <row r="46" spans="1:5" x14ac:dyDescent="0.3">
      <c r="A46" s="203" t="s">
        <v>1779</v>
      </c>
      <c r="B46" s="13" t="s">
        <v>661</v>
      </c>
      <c r="C46">
        <v>2000</v>
      </c>
      <c r="D46" s="5" t="s">
        <v>192</v>
      </c>
      <c r="E46" t="str">
        <f>Sources!A7</f>
        <v>Ikäheimo2018</v>
      </c>
    </row>
    <row r="47" spans="1:5" s="60" customFormat="1" x14ac:dyDescent="0.3">
      <c r="A47" s="203"/>
      <c r="B47" s="58" t="s">
        <v>1441</v>
      </c>
      <c r="C47" s="60">
        <f>2928*DE2019_*E2019_ref</f>
        <v>2614.5191534958481</v>
      </c>
      <c r="D47" s="61" t="s">
        <v>1575</v>
      </c>
      <c r="E47" s="60" t="str">
        <f>Sources!A84</f>
        <v>IRENA2020</v>
      </c>
    </row>
    <row r="48" spans="1:5" s="60" customFormat="1" x14ac:dyDescent="0.3">
      <c r="A48" s="203"/>
      <c r="B48" s="58" t="s">
        <v>1442</v>
      </c>
      <c r="C48" s="60">
        <f>3012*DE2019_*E2019_ref</f>
        <v>2689.5258505223683</v>
      </c>
      <c r="D48" s="61" t="s">
        <v>1575</v>
      </c>
      <c r="E48" s="60" t="str">
        <f>Sources!A84</f>
        <v>IRENA2020</v>
      </c>
    </row>
    <row r="49" spans="1:5" s="45" customFormat="1" x14ac:dyDescent="0.3">
      <c r="A49" s="203"/>
      <c r="B49" s="43" t="s">
        <v>1121</v>
      </c>
      <c r="C49" s="45">
        <f>3800*DE2019_*E2019_ref</f>
        <v>3393.1601035806771</v>
      </c>
      <c r="D49" s="61" t="s">
        <v>1575</v>
      </c>
      <c r="E49" s="45" t="str">
        <f>Sources!A84</f>
        <v>IRENA2020</v>
      </c>
    </row>
    <row r="50" spans="1:5" s="60" customFormat="1" x14ac:dyDescent="0.3">
      <c r="A50" s="203"/>
      <c r="B50" s="58" t="s">
        <v>1454</v>
      </c>
      <c r="C50" s="60">
        <f>1920*E2015_ref</f>
        <v>2002.1568000000002</v>
      </c>
      <c r="D50" s="61" t="s">
        <v>1575</v>
      </c>
      <c r="E50" s="60" t="str">
        <f>Sources!A53</f>
        <v>DEA2020</v>
      </c>
    </row>
    <row r="51" spans="1:5" s="60" customFormat="1" x14ac:dyDescent="0.3">
      <c r="A51" s="203"/>
      <c r="B51" s="58" t="s">
        <v>1455</v>
      </c>
      <c r="C51" s="60">
        <f>2130*E2015_ref</f>
        <v>2221.1427000000003</v>
      </c>
      <c r="D51" s="61" t="s">
        <v>1575</v>
      </c>
      <c r="E51" s="60" t="str">
        <f>Sources!A53</f>
        <v>DEA2020</v>
      </c>
    </row>
    <row r="52" spans="1:5" s="60" customFormat="1" x14ac:dyDescent="0.3">
      <c r="A52" s="203"/>
      <c r="B52" s="58" t="s">
        <v>1456</v>
      </c>
      <c r="C52" s="60">
        <f>2230*E2015_ref</f>
        <v>2325.4217000000003</v>
      </c>
      <c r="D52" s="61" t="s">
        <v>1575</v>
      </c>
      <c r="E52" s="60" t="str">
        <f>Sources!A53</f>
        <v>DEA2020</v>
      </c>
    </row>
    <row r="53" spans="1:5" x14ac:dyDescent="0.3">
      <c r="A53" s="203"/>
      <c r="B53" s="13" t="s">
        <v>1457</v>
      </c>
      <c r="C53">
        <f>1930*E2015_ref</f>
        <v>2012.5847000000001</v>
      </c>
      <c r="D53" s="61" t="s">
        <v>1575</v>
      </c>
      <c r="E53" t="str">
        <f>Sources!A53</f>
        <v>DEA2020</v>
      </c>
    </row>
    <row r="54" spans="1:5" x14ac:dyDescent="0.3">
      <c r="A54" s="203"/>
      <c r="B54" s="13" t="s">
        <v>1458</v>
      </c>
      <c r="C54">
        <f>1810*E2015_ref</f>
        <v>1887.4499000000003</v>
      </c>
      <c r="D54" s="61" t="s">
        <v>1575</v>
      </c>
      <c r="E54" t="str">
        <f>Sources!A53</f>
        <v>DEA2020</v>
      </c>
    </row>
    <row r="55" spans="1:5" x14ac:dyDescent="0.3">
      <c r="A55" s="203"/>
      <c r="B55" s="13" t="s">
        <v>1459</v>
      </c>
      <c r="C55">
        <f>1420*E2015_ref</f>
        <v>1480.7618000000002</v>
      </c>
      <c r="D55" s="61" t="s">
        <v>1575</v>
      </c>
      <c r="E55" t="str">
        <f>Sources!A53</f>
        <v>DEA2020</v>
      </c>
    </row>
    <row r="56" spans="1:5" x14ac:dyDescent="0.3">
      <c r="A56" s="203"/>
      <c r="B56" s="13" t="s">
        <v>1460</v>
      </c>
      <c r="C56">
        <f>1780*E2015_ref</f>
        <v>1856.1662000000001</v>
      </c>
      <c r="D56" s="61" t="s">
        <v>1575</v>
      </c>
      <c r="E56" t="str">
        <f>Sources!A53</f>
        <v>DEA2020</v>
      </c>
    </row>
    <row r="57" spans="1:5" x14ac:dyDescent="0.3">
      <c r="A57" s="203"/>
      <c r="B57" s="13" t="s">
        <v>1461</v>
      </c>
      <c r="C57">
        <f>1950*E2015_ref</f>
        <v>2033.4405000000002</v>
      </c>
      <c r="D57" s="61" t="s">
        <v>1575</v>
      </c>
      <c r="E57" t="str">
        <f>Sources!A53</f>
        <v>DEA2020</v>
      </c>
    </row>
    <row r="58" spans="1:5" x14ac:dyDescent="0.3">
      <c r="A58" s="203"/>
      <c r="B58" s="13" t="s">
        <v>1462</v>
      </c>
      <c r="C58">
        <f>1580*E2015_ref</f>
        <v>1647.6082000000001</v>
      </c>
      <c r="D58" s="61" t="s">
        <v>1575</v>
      </c>
      <c r="E58" t="str">
        <f>Sources!A53</f>
        <v>DEA2020</v>
      </c>
    </row>
    <row r="59" spans="1:5" x14ac:dyDescent="0.3">
      <c r="A59" s="203"/>
      <c r="B59" s="13" t="s">
        <v>1463</v>
      </c>
      <c r="C59">
        <f>1750*E2015_ref</f>
        <v>1824.8825000000002</v>
      </c>
      <c r="D59" s="61" t="s">
        <v>1575</v>
      </c>
      <c r="E59" t="str">
        <f>Sources!A53</f>
        <v>DEA2020</v>
      </c>
    </row>
    <row r="60" spans="1:5" x14ac:dyDescent="0.3">
      <c r="A60" s="203"/>
      <c r="B60" s="58" t="s">
        <v>1464</v>
      </c>
      <c r="C60">
        <f>1830*E2015_ref</f>
        <v>1908.3057000000001</v>
      </c>
      <c r="D60" s="61" t="s">
        <v>1575</v>
      </c>
      <c r="E60" t="str">
        <f>Sources!A53</f>
        <v>DEA2020</v>
      </c>
    </row>
    <row r="61" spans="1:5" x14ac:dyDescent="0.3">
      <c r="A61" s="203"/>
      <c r="B61" s="13" t="s">
        <v>1465</v>
      </c>
      <c r="C61">
        <f>1570*E2015_ref</f>
        <v>1637.1803000000002</v>
      </c>
      <c r="D61" s="61" t="s">
        <v>1575</v>
      </c>
      <c r="E61" t="str">
        <f>Sources!A53</f>
        <v>DEA2020</v>
      </c>
    </row>
    <row r="62" spans="1:5" x14ac:dyDescent="0.3">
      <c r="A62" s="203"/>
      <c r="B62" s="13" t="s">
        <v>1466</v>
      </c>
      <c r="C62">
        <f>1450*E2015_ref</f>
        <v>1512.0455000000002</v>
      </c>
      <c r="D62" s="61" t="s">
        <v>1575</v>
      </c>
      <c r="E62" t="str">
        <f>Sources!A53</f>
        <v>DEA2020</v>
      </c>
    </row>
    <row r="63" spans="1:5" x14ac:dyDescent="0.3">
      <c r="A63" s="203"/>
      <c r="B63" s="13" t="s">
        <v>1467</v>
      </c>
      <c r="C63">
        <f>1130*E2015_ref</f>
        <v>1178.3527000000001</v>
      </c>
      <c r="D63" s="61" t="s">
        <v>1575</v>
      </c>
      <c r="E63" t="str">
        <f>Sources!A53</f>
        <v>DEA2020</v>
      </c>
    </row>
    <row r="64" spans="1:5" x14ac:dyDescent="0.3">
      <c r="A64" s="203"/>
      <c r="B64" s="13" t="s">
        <v>1468</v>
      </c>
      <c r="C64">
        <f>1420*E2015_ref</f>
        <v>1480.7618000000002</v>
      </c>
      <c r="D64" s="61" t="s">
        <v>1575</v>
      </c>
      <c r="E64" t="str">
        <f>Sources!A53</f>
        <v>DEA2020</v>
      </c>
    </row>
    <row r="65" spans="1:5" x14ac:dyDescent="0.3">
      <c r="A65" s="203"/>
      <c r="B65" s="13" t="s">
        <v>1469</v>
      </c>
      <c r="C65">
        <f>1550*E2015_ref</f>
        <v>1616.3245000000002</v>
      </c>
      <c r="D65" s="61" t="s">
        <v>1575</v>
      </c>
      <c r="E65" t="str">
        <f>Sources!A53</f>
        <v>DEA2020</v>
      </c>
    </row>
    <row r="66" spans="1:5" x14ac:dyDescent="0.3">
      <c r="D66" s="5"/>
    </row>
    <row r="67" spans="1:5" x14ac:dyDescent="0.3">
      <c r="A67" s="203" t="s">
        <v>1750</v>
      </c>
      <c r="B67" s="13" t="s">
        <v>661</v>
      </c>
      <c r="C67">
        <v>55</v>
      </c>
      <c r="D67" s="5" t="s">
        <v>531</v>
      </c>
      <c r="E67" t="str">
        <f>Sources!A7</f>
        <v>Ikäheimo2018</v>
      </c>
    </row>
    <row r="68" spans="1:5" s="45" customFormat="1" x14ac:dyDescent="0.3">
      <c r="A68" s="203"/>
      <c r="B68" s="43" t="s">
        <v>1118</v>
      </c>
      <c r="C68" s="45">
        <f>129*DE2018_*E2018_ref</f>
        <v>110.88255016510033</v>
      </c>
      <c r="D68" s="53" t="s">
        <v>1574</v>
      </c>
      <c r="E68" s="45" t="str">
        <f>Sources!A84</f>
        <v>IRENA2020</v>
      </c>
    </row>
    <row r="69" spans="1:5" s="45" customFormat="1" x14ac:dyDescent="0.3">
      <c r="A69" s="203"/>
      <c r="B69" s="43" t="s">
        <v>1119</v>
      </c>
      <c r="C69" s="45">
        <f>70*DE2018_*E2018_ref</f>
        <v>60.168825670984674</v>
      </c>
      <c r="D69" s="53" t="s">
        <v>1574</v>
      </c>
      <c r="E69" s="45" t="str">
        <f>Sources!A84</f>
        <v>IRENA2020</v>
      </c>
    </row>
    <row r="70" spans="1:5" s="45" customFormat="1" x14ac:dyDescent="0.3">
      <c r="A70" s="203"/>
      <c r="B70" s="43" t="s">
        <v>1120</v>
      </c>
      <c r="C70" s="45">
        <f>67*DE2019_*E2019_ref</f>
        <v>59.826770247343518</v>
      </c>
      <c r="D70" s="53" t="s">
        <v>1574</v>
      </c>
      <c r="E70" s="45" t="str">
        <f>Sources!A84</f>
        <v>IRENA2020</v>
      </c>
    </row>
    <row r="71" spans="1:5" s="60" customFormat="1" x14ac:dyDescent="0.3">
      <c r="A71" s="203"/>
      <c r="B71" s="58" t="s">
        <v>1418</v>
      </c>
      <c r="C71" s="60">
        <f>36.05*E2015_ref</f>
        <v>37.592579499999999</v>
      </c>
      <c r="D71" s="61" t="s">
        <v>1574</v>
      </c>
      <c r="E71" s="60" t="str">
        <f>Sources!A53</f>
        <v>DEA2020</v>
      </c>
    </row>
    <row r="72" spans="1:5" s="60" customFormat="1" x14ac:dyDescent="0.3">
      <c r="A72" s="203"/>
      <c r="B72" s="58" t="s">
        <v>1428</v>
      </c>
      <c r="C72" s="60">
        <f>40.06*E2015_ref</f>
        <v>41.774167400000003</v>
      </c>
      <c r="D72" s="61" t="s">
        <v>1574</v>
      </c>
      <c r="E72" s="60" t="str">
        <f>Sources!A53</f>
        <v>DEA2020</v>
      </c>
    </row>
    <row r="73" spans="1:5" s="60" customFormat="1" x14ac:dyDescent="0.3">
      <c r="A73" s="203"/>
      <c r="B73" s="58" t="s">
        <v>1429</v>
      </c>
      <c r="C73" s="60">
        <f>42.06*E2015_ref</f>
        <v>43.859747400000003</v>
      </c>
      <c r="D73" s="61" t="s">
        <v>1574</v>
      </c>
      <c r="E73" s="60" t="str">
        <f>Sources!A53</f>
        <v>DEA2020</v>
      </c>
    </row>
    <row r="74" spans="1:5" x14ac:dyDescent="0.3">
      <c r="A74" s="203"/>
      <c r="B74" s="13" t="s">
        <v>1430</v>
      </c>
      <c r="C74">
        <f>36.05*E2015_ref</f>
        <v>37.592579499999999</v>
      </c>
      <c r="D74" s="61" t="s">
        <v>1574</v>
      </c>
      <c r="E74" t="str">
        <f>Sources!A53</f>
        <v>DEA2020</v>
      </c>
    </row>
    <row r="75" spans="1:5" x14ac:dyDescent="0.3">
      <c r="A75" s="203"/>
      <c r="B75" s="13" t="s">
        <v>1431</v>
      </c>
      <c r="C75">
        <f>33.17*E2015_ref</f>
        <v>34.589344300000008</v>
      </c>
      <c r="D75" s="61" t="s">
        <v>1574</v>
      </c>
      <c r="E75" t="str">
        <f>Sources!A53</f>
        <v>DEA2020</v>
      </c>
    </row>
    <row r="76" spans="1:5" x14ac:dyDescent="0.3">
      <c r="A76" s="203"/>
      <c r="B76" s="13" t="s">
        <v>1432</v>
      </c>
      <c r="C76">
        <f>25.96*E2015_ref</f>
        <v>27.070828400000003</v>
      </c>
      <c r="D76" s="61" t="s">
        <v>1574</v>
      </c>
      <c r="E76" t="str">
        <f>Sources!A53</f>
        <v>DEA2020</v>
      </c>
    </row>
    <row r="77" spans="1:5" x14ac:dyDescent="0.3">
      <c r="A77" s="203"/>
      <c r="B77" s="13" t="s">
        <v>1433</v>
      </c>
      <c r="C77">
        <f>32.45*E2015_ref</f>
        <v>33.838535500000006</v>
      </c>
      <c r="D77" s="61" t="s">
        <v>1574</v>
      </c>
      <c r="E77" t="str">
        <f>Sources!A53</f>
        <v>DEA2020</v>
      </c>
    </row>
    <row r="78" spans="1:5" x14ac:dyDescent="0.3">
      <c r="A78" s="203"/>
      <c r="B78" s="13" t="s">
        <v>1434</v>
      </c>
      <c r="C78">
        <f>35.69*E2015_ref</f>
        <v>37.217175099999999</v>
      </c>
      <c r="D78" s="61" t="s">
        <v>1574</v>
      </c>
      <c r="E78" t="str">
        <f>Sources!A53</f>
        <v>DEA2020</v>
      </c>
    </row>
    <row r="79" spans="1:5" x14ac:dyDescent="0.3">
      <c r="D79" s="5"/>
    </row>
    <row r="80" spans="1:5" x14ac:dyDescent="0.3">
      <c r="A80" s="203" t="s">
        <v>1762</v>
      </c>
      <c r="B80" s="13" t="s">
        <v>661</v>
      </c>
      <c r="C80">
        <v>1E-3</v>
      </c>
      <c r="D80" s="5" t="s">
        <v>280</v>
      </c>
      <c r="E80" t="str">
        <f>Sources!A7</f>
        <v>Ikäheimo2018</v>
      </c>
    </row>
    <row r="81" spans="1:5" s="45" customFormat="1" x14ac:dyDescent="0.3">
      <c r="A81" s="203"/>
      <c r="B81" s="43" t="s">
        <v>641</v>
      </c>
      <c r="C81" s="45">
        <f>0.0027*E2015_ref</f>
        <v>2.8155330000000003E-3</v>
      </c>
      <c r="D81" s="53" t="s">
        <v>1567</v>
      </c>
      <c r="E81" s="45" t="str">
        <f>Sources!A53</f>
        <v>DEA2020</v>
      </c>
    </row>
    <row r="82" spans="1:5" s="45" customFormat="1" x14ac:dyDescent="0.3">
      <c r="A82" s="203"/>
      <c r="B82" s="43" t="s">
        <v>642</v>
      </c>
      <c r="C82" s="45">
        <f>0.003*E2015_ref</f>
        <v>3.1283700000000005E-3</v>
      </c>
      <c r="D82" s="53" t="s">
        <v>1567</v>
      </c>
      <c r="E82" s="45" t="str">
        <f>Sources!A53</f>
        <v>DEA2020</v>
      </c>
    </row>
    <row r="83" spans="1:5" s="45" customFormat="1" x14ac:dyDescent="0.3">
      <c r="A83" s="203"/>
      <c r="B83" s="43" t="s">
        <v>643</v>
      </c>
      <c r="C83" s="45">
        <f>0.0031*E2015_ref</f>
        <v>3.2326490000000002E-3</v>
      </c>
      <c r="D83" s="53" t="s">
        <v>1567</v>
      </c>
      <c r="E83" s="45" t="str">
        <f>Sources!A53</f>
        <v>DEA2020</v>
      </c>
    </row>
    <row r="84" spans="1:5" x14ac:dyDescent="0.3">
      <c r="A84" s="203"/>
      <c r="B84" s="13" t="s">
        <v>646</v>
      </c>
      <c r="C84">
        <f>0.0027*E2015_ref</f>
        <v>2.8155330000000003E-3</v>
      </c>
      <c r="D84" s="5" t="s">
        <v>1567</v>
      </c>
      <c r="E84" t="str">
        <f>Sources!A53</f>
        <v>DEA2020</v>
      </c>
    </row>
    <row r="85" spans="1:5" x14ac:dyDescent="0.3">
      <c r="A85" s="203"/>
      <c r="B85" s="13" t="s">
        <v>648</v>
      </c>
      <c r="C85">
        <f>0.0025*E2015_ref</f>
        <v>2.6069750000000005E-3</v>
      </c>
      <c r="D85" s="5" t="s">
        <v>1567</v>
      </c>
      <c r="E85" t="str">
        <f>Sources!A53</f>
        <v>DEA2020</v>
      </c>
    </row>
    <row r="86" spans="1:5" x14ac:dyDescent="0.3">
      <c r="A86" s="203"/>
      <c r="B86" s="13" t="s">
        <v>649</v>
      </c>
      <c r="C86">
        <f>0.0019*E2015_ref</f>
        <v>1.981301E-3</v>
      </c>
      <c r="D86" s="5" t="s">
        <v>1567</v>
      </c>
      <c r="E86" t="str">
        <f>Sources!A53</f>
        <v>DEA2020</v>
      </c>
    </row>
    <row r="87" spans="1:5" x14ac:dyDescent="0.3">
      <c r="A87" s="203"/>
      <c r="B87" s="13" t="s">
        <v>650</v>
      </c>
      <c r="C87">
        <f>0.0024*E2015_ref</f>
        <v>2.502696E-3</v>
      </c>
      <c r="D87" s="5" t="s">
        <v>1567</v>
      </c>
      <c r="E87" t="str">
        <f>Sources!A53</f>
        <v>DEA2020</v>
      </c>
    </row>
    <row r="88" spans="1:5" x14ac:dyDescent="0.3">
      <c r="A88" s="203"/>
      <c r="B88" s="13" t="s">
        <v>651</v>
      </c>
      <c r="C88">
        <f>0.0026*E2015_ref</f>
        <v>2.7112540000000002E-3</v>
      </c>
      <c r="D88" s="5" t="s">
        <v>1567</v>
      </c>
      <c r="E88" t="str">
        <f>Sources!A53</f>
        <v>DEA2020</v>
      </c>
    </row>
    <row r="89" spans="1:5" x14ac:dyDescent="0.3">
      <c r="D89" s="5"/>
    </row>
    <row r="90" spans="1:5" x14ac:dyDescent="0.3">
      <c r="A90" s="203" t="s">
        <v>211</v>
      </c>
      <c r="B90" s="13" t="s">
        <v>661</v>
      </c>
      <c r="C90">
        <v>30</v>
      </c>
      <c r="D90" s="5" t="s">
        <v>132</v>
      </c>
      <c r="E90" t="str">
        <f>Sources!A7</f>
        <v>Ikäheimo2018</v>
      </c>
    </row>
    <row r="91" spans="1:5" x14ac:dyDescent="0.3">
      <c r="A91" s="203"/>
      <c r="B91" s="13" t="s">
        <v>641</v>
      </c>
      <c r="C91">
        <v>20</v>
      </c>
      <c r="D91" s="5" t="s">
        <v>132</v>
      </c>
      <c r="E91" t="str">
        <f>Sources!A53</f>
        <v>DEA2020</v>
      </c>
    </row>
    <row r="92" spans="1:5" s="45" customFormat="1" x14ac:dyDescent="0.3">
      <c r="A92" s="203"/>
      <c r="B92" s="43" t="s">
        <v>642</v>
      </c>
      <c r="C92" s="45">
        <v>27</v>
      </c>
      <c r="D92" s="53" t="s">
        <v>132</v>
      </c>
      <c r="E92" s="45" t="str">
        <f>Sources!A53</f>
        <v>DEA2020</v>
      </c>
    </row>
    <row r="93" spans="1:5" x14ac:dyDescent="0.3">
      <c r="A93" s="203"/>
      <c r="B93" s="13" t="s">
        <v>643</v>
      </c>
      <c r="C93">
        <v>35</v>
      </c>
      <c r="D93" s="5" t="s">
        <v>132</v>
      </c>
      <c r="E93" t="str">
        <f>Sources!A53</f>
        <v>DEA2020</v>
      </c>
    </row>
    <row r="94" spans="1:5" x14ac:dyDescent="0.3">
      <c r="A94" s="203"/>
      <c r="B94" s="13" t="s">
        <v>646</v>
      </c>
      <c r="C94">
        <v>30</v>
      </c>
      <c r="D94" s="5" t="s">
        <v>132</v>
      </c>
      <c r="E94" t="str">
        <f>Sources!A53</f>
        <v>DEA2020</v>
      </c>
    </row>
    <row r="95" spans="1:5" x14ac:dyDescent="0.3">
      <c r="A95" s="203"/>
      <c r="B95" s="13" t="s">
        <v>648</v>
      </c>
      <c r="C95">
        <v>30</v>
      </c>
      <c r="D95" s="5" t="s">
        <v>132</v>
      </c>
      <c r="E95" t="str">
        <f>Sources!A53</f>
        <v>DEA2020</v>
      </c>
    </row>
    <row r="96" spans="1:5" x14ac:dyDescent="0.3">
      <c r="A96" s="203"/>
      <c r="B96" s="13" t="s">
        <v>649</v>
      </c>
      <c r="C96">
        <v>20</v>
      </c>
      <c r="D96" s="5" t="s">
        <v>132</v>
      </c>
      <c r="E96" t="str">
        <f>Sources!A53</f>
        <v>DEA2020</v>
      </c>
    </row>
    <row r="97" spans="1:8" x14ac:dyDescent="0.3">
      <c r="A97" s="203"/>
      <c r="B97" s="13" t="s">
        <v>650</v>
      </c>
      <c r="C97">
        <v>30</v>
      </c>
      <c r="D97" s="5" t="s">
        <v>132</v>
      </c>
      <c r="E97" t="str">
        <f>Sources!A53</f>
        <v>DEA2020</v>
      </c>
    </row>
    <row r="98" spans="1:8" x14ac:dyDescent="0.3">
      <c r="A98" s="203"/>
      <c r="B98" s="13" t="s">
        <v>651</v>
      </c>
      <c r="C98">
        <v>35</v>
      </c>
      <c r="D98" s="5" t="s">
        <v>132</v>
      </c>
      <c r="E98" t="str">
        <f>Sources!A53</f>
        <v>DEA2020</v>
      </c>
    </row>
    <row r="100" spans="1:8" x14ac:dyDescent="0.3">
      <c r="A100" s="203" t="s">
        <v>777</v>
      </c>
      <c r="B100" s="13" t="s">
        <v>2260</v>
      </c>
      <c r="C100">
        <v>150.76</v>
      </c>
      <c r="D100" s="5" t="s">
        <v>778</v>
      </c>
      <c r="E100" t="str">
        <f>Sources!$A$132</f>
        <v>DEA2022</v>
      </c>
    </row>
    <row r="101" spans="1:8" x14ac:dyDescent="0.3">
      <c r="A101" s="203"/>
      <c r="B101" s="13" t="s">
        <v>2261</v>
      </c>
      <c r="C101">
        <v>177.36</v>
      </c>
      <c r="D101" s="5" t="s">
        <v>778</v>
      </c>
      <c r="E101" t="str">
        <f>Sources!$A$132</f>
        <v>DEA2022</v>
      </c>
    </row>
    <row r="102" spans="1:8" x14ac:dyDescent="0.3">
      <c r="A102" s="203"/>
      <c r="B102" s="13" t="s">
        <v>2262</v>
      </c>
      <c r="C102">
        <v>203.96</v>
      </c>
      <c r="D102" s="5" t="s">
        <v>778</v>
      </c>
      <c r="E102" t="str">
        <f>Sources!$A$132</f>
        <v>DEA2022</v>
      </c>
    </row>
    <row r="103" spans="1:8" x14ac:dyDescent="0.3">
      <c r="A103" s="203"/>
      <c r="B103" s="13" t="s">
        <v>646</v>
      </c>
      <c r="C103">
        <v>171.96</v>
      </c>
      <c r="D103" s="5" t="s">
        <v>778</v>
      </c>
      <c r="E103" t="str">
        <f>Sources!$A$132</f>
        <v>DEA2022</v>
      </c>
    </row>
    <row r="104" spans="1:8" x14ac:dyDescent="0.3">
      <c r="A104" s="203"/>
      <c r="B104" s="13" t="s">
        <v>648</v>
      </c>
      <c r="C104">
        <v>169.84</v>
      </c>
      <c r="D104" s="5" t="s">
        <v>778</v>
      </c>
      <c r="E104" t="str">
        <f>Sources!$A$132</f>
        <v>DEA2022</v>
      </c>
    </row>
    <row r="105" spans="1:8" x14ac:dyDescent="0.3">
      <c r="A105" s="203"/>
      <c r="B105" s="13" t="s">
        <v>649</v>
      </c>
      <c r="C105">
        <v>128.44</v>
      </c>
      <c r="D105" s="5" t="s">
        <v>778</v>
      </c>
      <c r="E105" t="str">
        <f>Sources!$A$132</f>
        <v>DEA2022</v>
      </c>
    </row>
    <row r="106" spans="1:8" x14ac:dyDescent="0.3">
      <c r="A106" s="203"/>
      <c r="B106" s="13" t="s">
        <v>650</v>
      </c>
      <c r="C106">
        <v>171.26</v>
      </c>
      <c r="D106" s="5" t="s">
        <v>778</v>
      </c>
      <c r="E106" t="str">
        <f>Sources!$A$132</f>
        <v>DEA2022</v>
      </c>
    </row>
    <row r="107" spans="1:8" x14ac:dyDescent="0.3">
      <c r="A107" s="203"/>
      <c r="B107" s="13" t="s">
        <v>651</v>
      </c>
      <c r="C107">
        <v>214.07</v>
      </c>
      <c r="D107" s="5" t="s">
        <v>778</v>
      </c>
      <c r="E107" t="str">
        <f>Sources!$A$132</f>
        <v>DEA2022</v>
      </c>
    </row>
    <row r="109" spans="1:8" s="66" customFormat="1" x14ac:dyDescent="0.3">
      <c r="A109" s="66" t="s">
        <v>786</v>
      </c>
      <c r="B109" s="68"/>
      <c r="D109" s="68"/>
      <c r="E109" s="69"/>
      <c r="F109" s="68"/>
      <c r="G109" s="70"/>
    </row>
    <row r="110" spans="1:8" x14ac:dyDescent="0.3">
      <c r="A110" s="17" t="s">
        <v>85</v>
      </c>
      <c r="B110" s="17" t="s">
        <v>82</v>
      </c>
      <c r="C110" s="15" t="s">
        <v>49</v>
      </c>
      <c r="D110" s="17" t="s">
        <v>52</v>
      </c>
      <c r="E110" s="18" t="s">
        <v>58</v>
      </c>
      <c r="F110" s="15" t="s">
        <v>93</v>
      </c>
      <c r="G110" s="49" t="s">
        <v>80</v>
      </c>
      <c r="H110" s="15" t="s">
        <v>59</v>
      </c>
    </row>
    <row r="112" spans="1:8" x14ac:dyDescent="0.3">
      <c r="A112" s="203" t="s">
        <v>780</v>
      </c>
      <c r="B112" s="13" t="s">
        <v>788</v>
      </c>
      <c r="C112">
        <v>115</v>
      </c>
      <c r="D112" s="5" t="s">
        <v>779</v>
      </c>
      <c r="E112" t="str">
        <f>Sources!A53</f>
        <v>DEA2020</v>
      </c>
    </row>
    <row r="113" spans="1:5" x14ac:dyDescent="0.3">
      <c r="A113" s="203"/>
      <c r="B113" s="13" t="s">
        <v>789</v>
      </c>
      <c r="C113">
        <v>135</v>
      </c>
      <c r="D113" s="5" t="s">
        <v>779</v>
      </c>
      <c r="E113" t="str">
        <f>Sources!A53</f>
        <v>DEA2020</v>
      </c>
    </row>
    <row r="114" spans="1:5" x14ac:dyDescent="0.3">
      <c r="A114" s="203"/>
      <c r="B114" s="13" t="s">
        <v>790</v>
      </c>
      <c r="C114">
        <v>150</v>
      </c>
      <c r="D114" s="5" t="s">
        <v>779</v>
      </c>
      <c r="E114" t="str">
        <f>Sources!A53</f>
        <v>DEA2020</v>
      </c>
    </row>
    <row r="115" spans="1:5" x14ac:dyDescent="0.3">
      <c r="A115" s="203"/>
      <c r="B115" s="13" t="s">
        <v>791</v>
      </c>
      <c r="C115">
        <v>160</v>
      </c>
      <c r="D115" s="5" t="s">
        <v>779</v>
      </c>
      <c r="E115" t="str">
        <f>Sources!A53</f>
        <v>DEA2020</v>
      </c>
    </row>
    <row r="116" spans="1:5" x14ac:dyDescent="0.3">
      <c r="A116" s="203"/>
      <c r="B116" s="13" t="s">
        <v>792</v>
      </c>
      <c r="C116">
        <v>190</v>
      </c>
      <c r="D116" s="5" t="s">
        <v>779</v>
      </c>
      <c r="E116" t="str">
        <f>Sources!A53</f>
        <v>DEA2020</v>
      </c>
    </row>
    <row r="117" spans="1:5" x14ac:dyDescent="0.3">
      <c r="A117" s="203"/>
      <c r="B117" s="13" t="s">
        <v>793</v>
      </c>
      <c r="C117">
        <v>235</v>
      </c>
      <c r="D117" s="5" t="s">
        <v>779</v>
      </c>
      <c r="E117" t="str">
        <f>Sources!A53</f>
        <v>DEA2020</v>
      </c>
    </row>
    <row r="118" spans="1:5" x14ac:dyDescent="0.3">
      <c r="A118" s="203"/>
      <c r="B118" s="13" t="s">
        <v>794</v>
      </c>
      <c r="C118">
        <v>260</v>
      </c>
      <c r="D118" s="5" t="s">
        <v>779</v>
      </c>
      <c r="E118" t="str">
        <f>Sources!A53</f>
        <v>DEA2020</v>
      </c>
    </row>
    <row r="119" spans="1:5" x14ac:dyDescent="0.3">
      <c r="A119" s="203"/>
      <c r="B119" s="13" t="s">
        <v>795</v>
      </c>
      <c r="C119">
        <v>280</v>
      </c>
      <c r="D119" s="5" t="s">
        <v>779</v>
      </c>
      <c r="E119" t="str">
        <f>Sources!A53</f>
        <v>DEA2020</v>
      </c>
    </row>
    <row r="120" spans="1:5" x14ac:dyDescent="0.3">
      <c r="A120" s="203"/>
      <c r="B120" s="13" t="s">
        <v>796</v>
      </c>
      <c r="C120">
        <v>10</v>
      </c>
      <c r="D120" s="5" t="s">
        <v>782</v>
      </c>
      <c r="E120" t="str">
        <f>Sources!A53</f>
        <v>DEA2020</v>
      </c>
    </row>
    <row r="121" spans="1:5" x14ac:dyDescent="0.3">
      <c r="A121" s="203"/>
      <c r="B121" s="13" t="s">
        <v>797</v>
      </c>
      <c r="C121">
        <v>15</v>
      </c>
      <c r="D121" s="5" t="s">
        <v>782</v>
      </c>
      <c r="E121" t="str">
        <f>Sources!A53</f>
        <v>DEA2020</v>
      </c>
    </row>
    <row r="122" spans="1:5" x14ac:dyDescent="0.3">
      <c r="A122" s="203"/>
      <c r="B122" s="13" t="s">
        <v>798</v>
      </c>
      <c r="C122">
        <v>18</v>
      </c>
      <c r="D122" s="5" t="s">
        <v>782</v>
      </c>
      <c r="E122" t="str">
        <f>Sources!A53</f>
        <v>DEA2020</v>
      </c>
    </row>
    <row r="123" spans="1:5" x14ac:dyDescent="0.3">
      <c r="A123" s="203"/>
      <c r="B123" s="13" t="s">
        <v>799</v>
      </c>
      <c r="C123">
        <v>20</v>
      </c>
      <c r="D123" s="5" t="s">
        <v>782</v>
      </c>
      <c r="E123" t="str">
        <f>Sources!A53</f>
        <v>DEA2020</v>
      </c>
    </row>
    <row r="125" spans="1:5" s="45" customFormat="1" x14ac:dyDescent="0.3">
      <c r="A125" s="203" t="s">
        <v>1779</v>
      </c>
      <c r="B125" s="43" t="s">
        <v>772</v>
      </c>
      <c r="C125" s="45">
        <v>1570</v>
      </c>
      <c r="D125" s="53" t="s">
        <v>192</v>
      </c>
      <c r="E125" s="45" t="str">
        <f>Sources!A53</f>
        <v>DEA2020</v>
      </c>
    </row>
    <row r="126" spans="1:5" s="45" customFormat="1" x14ac:dyDescent="0.3">
      <c r="A126" s="203"/>
      <c r="B126" s="43" t="s">
        <v>773</v>
      </c>
      <c r="C126" s="45">
        <v>1750</v>
      </c>
      <c r="D126" s="53" t="s">
        <v>192</v>
      </c>
      <c r="E126" s="45" t="str">
        <f>Sources!A53</f>
        <v>DEA2020</v>
      </c>
    </row>
    <row r="127" spans="1:5" s="45" customFormat="1" x14ac:dyDescent="0.3">
      <c r="A127" s="203"/>
      <c r="B127" s="43" t="s">
        <v>774</v>
      </c>
      <c r="C127" s="45">
        <v>1840</v>
      </c>
      <c r="D127" s="53" t="s">
        <v>192</v>
      </c>
      <c r="E127" s="45" t="str">
        <f>Sources!A53</f>
        <v>DEA2020</v>
      </c>
    </row>
    <row r="128" spans="1:5" s="45" customFormat="1" x14ac:dyDescent="0.3">
      <c r="A128" s="203"/>
      <c r="B128" s="13" t="s">
        <v>775</v>
      </c>
      <c r="C128" s="60">
        <v>1660</v>
      </c>
      <c r="D128" s="5" t="s">
        <v>192</v>
      </c>
      <c r="E128" t="str">
        <f>Sources!A53</f>
        <v>DEA2020</v>
      </c>
    </row>
    <row r="129" spans="1:5" x14ac:dyDescent="0.3">
      <c r="A129" s="203"/>
      <c r="B129" s="13" t="s">
        <v>776</v>
      </c>
      <c r="C129" s="60">
        <v>1600</v>
      </c>
      <c r="D129" s="5" t="s">
        <v>192</v>
      </c>
      <c r="E129" t="str">
        <f>Sources!A53</f>
        <v>DEA2020</v>
      </c>
    </row>
    <row r="130" spans="1:5" x14ac:dyDescent="0.3">
      <c r="A130" s="203"/>
      <c r="B130" s="13" t="s">
        <v>649</v>
      </c>
      <c r="C130" s="60">
        <v>1260</v>
      </c>
      <c r="D130" s="5" t="s">
        <v>192</v>
      </c>
      <c r="E130" t="str">
        <f>Sources!A53</f>
        <v>DEA2020</v>
      </c>
    </row>
    <row r="131" spans="1:5" x14ac:dyDescent="0.3">
      <c r="A131" s="203"/>
      <c r="B131" s="13" t="s">
        <v>650</v>
      </c>
      <c r="C131" s="60">
        <v>1580</v>
      </c>
      <c r="D131" s="5" t="s">
        <v>192</v>
      </c>
      <c r="E131" t="str">
        <f>Sources!A53</f>
        <v>DEA2020</v>
      </c>
    </row>
    <row r="132" spans="1:5" x14ac:dyDescent="0.3">
      <c r="A132" s="203"/>
      <c r="B132" s="13" t="s">
        <v>651</v>
      </c>
      <c r="C132" s="60">
        <v>1740</v>
      </c>
      <c r="D132" s="5" t="s">
        <v>192</v>
      </c>
      <c r="E132" t="str">
        <f>Sources!A53</f>
        <v>DEA2020</v>
      </c>
    </row>
    <row r="134" spans="1:5" s="45" customFormat="1" x14ac:dyDescent="0.3">
      <c r="A134" s="203" t="s">
        <v>1750</v>
      </c>
      <c r="B134" s="43" t="s">
        <v>772</v>
      </c>
      <c r="C134" s="45">
        <f>32.448</f>
        <v>32.448</v>
      </c>
      <c r="D134" s="53" t="s">
        <v>531</v>
      </c>
      <c r="E134" s="45" t="str">
        <f>Sources!A53</f>
        <v>DEA2020</v>
      </c>
    </row>
    <row r="135" spans="1:5" s="45" customFormat="1" x14ac:dyDescent="0.3">
      <c r="A135" s="203"/>
      <c r="B135" s="43" t="s">
        <v>773</v>
      </c>
      <c r="C135" s="45">
        <f>36.053</f>
        <v>36.052999999999997</v>
      </c>
      <c r="D135" s="53" t="s">
        <v>531</v>
      </c>
      <c r="E135" s="45" t="str">
        <f>Sources!A53</f>
        <v>DEA2020</v>
      </c>
    </row>
    <row r="136" spans="1:5" s="45" customFormat="1" x14ac:dyDescent="0.3">
      <c r="A136" s="203"/>
      <c r="B136" s="43" t="s">
        <v>774</v>
      </c>
      <c r="C136" s="45">
        <f>37.855</f>
        <v>37.854999999999997</v>
      </c>
      <c r="D136" s="53" t="s">
        <v>531</v>
      </c>
      <c r="E136" s="45" t="str">
        <f>Sources!A53</f>
        <v>DEA2020</v>
      </c>
    </row>
    <row r="137" spans="1:5" s="45" customFormat="1" x14ac:dyDescent="0.3">
      <c r="A137" s="203"/>
      <c r="B137" s="13" t="s">
        <v>775</v>
      </c>
      <c r="C137" s="60">
        <f>34.25</f>
        <v>34.25</v>
      </c>
      <c r="D137" s="61" t="s">
        <v>531</v>
      </c>
      <c r="E137" t="str">
        <f>Sources!A53</f>
        <v>DEA2020</v>
      </c>
    </row>
    <row r="138" spans="1:5" x14ac:dyDescent="0.3">
      <c r="A138" s="203"/>
      <c r="B138" s="13" t="s">
        <v>776</v>
      </c>
      <c r="C138" s="60">
        <f>32.88</f>
        <v>32.880000000000003</v>
      </c>
      <c r="D138" s="61" t="s">
        <v>531</v>
      </c>
      <c r="E138" t="str">
        <f>Sources!A53</f>
        <v>DEA2020</v>
      </c>
    </row>
    <row r="139" spans="1:5" x14ac:dyDescent="0.3">
      <c r="A139" s="203"/>
      <c r="B139" s="13" t="s">
        <v>649</v>
      </c>
      <c r="C139" s="60">
        <f>26.03</f>
        <v>26.03</v>
      </c>
      <c r="D139" s="61" t="s">
        <v>531</v>
      </c>
      <c r="E139" t="str">
        <f>Sources!A53</f>
        <v>DEA2020</v>
      </c>
    </row>
    <row r="140" spans="1:5" x14ac:dyDescent="0.3">
      <c r="A140" s="203"/>
      <c r="B140" s="13" t="s">
        <v>650</v>
      </c>
      <c r="C140" s="60">
        <f>32.538</f>
        <v>32.537999999999997</v>
      </c>
      <c r="D140" s="61" t="s">
        <v>531</v>
      </c>
      <c r="E140" t="str">
        <f>Sources!A53</f>
        <v>DEA2020</v>
      </c>
    </row>
    <row r="141" spans="1:5" x14ac:dyDescent="0.3">
      <c r="A141" s="203"/>
      <c r="B141" s="13" t="s">
        <v>651</v>
      </c>
      <c r="C141" s="60">
        <f>35.791</f>
        <v>35.790999999999997</v>
      </c>
      <c r="D141" s="61" t="s">
        <v>531</v>
      </c>
      <c r="E141" t="str">
        <f>Sources!A53</f>
        <v>DEA2020</v>
      </c>
    </row>
    <row r="143" spans="1:5" s="45" customFormat="1" x14ac:dyDescent="0.3">
      <c r="A143" s="203" t="s">
        <v>1752</v>
      </c>
      <c r="B143" s="43" t="s">
        <v>772</v>
      </c>
      <c r="C143" s="45">
        <f>2.4/1000</f>
        <v>2.3999999999999998E-3</v>
      </c>
      <c r="D143" s="53" t="s">
        <v>280</v>
      </c>
      <c r="E143" s="45" t="str">
        <f>Sources!A53</f>
        <v>DEA2020</v>
      </c>
    </row>
    <row r="144" spans="1:5" s="45" customFormat="1" x14ac:dyDescent="0.3">
      <c r="A144" s="203"/>
      <c r="B144" s="43" t="s">
        <v>773</v>
      </c>
      <c r="C144" s="45">
        <f>2.67/1000</f>
        <v>2.6700000000000001E-3</v>
      </c>
      <c r="D144" s="53" t="s">
        <v>280</v>
      </c>
      <c r="E144" s="45" t="str">
        <f>Sources!A53</f>
        <v>DEA2020</v>
      </c>
    </row>
    <row r="145" spans="1:5" s="45" customFormat="1" x14ac:dyDescent="0.3">
      <c r="A145" s="203"/>
      <c r="B145" s="43" t="s">
        <v>774</v>
      </c>
      <c r="C145" s="45">
        <f>2.8/1000</f>
        <v>2.8E-3</v>
      </c>
      <c r="D145" s="53" t="s">
        <v>280</v>
      </c>
      <c r="E145" s="45" t="str">
        <f>Sources!A53</f>
        <v>DEA2020</v>
      </c>
    </row>
    <row r="146" spans="1:5" s="45" customFormat="1" x14ac:dyDescent="0.3">
      <c r="A146" s="203"/>
      <c r="B146" s="13" t="s">
        <v>775</v>
      </c>
      <c r="C146" s="60">
        <f>3/1000</f>
        <v>3.0000000000000001E-3</v>
      </c>
      <c r="D146" s="61" t="s">
        <v>280</v>
      </c>
      <c r="E146" t="str">
        <f>Sources!A53</f>
        <v>DEA2020</v>
      </c>
    </row>
    <row r="147" spans="1:5" x14ac:dyDescent="0.3">
      <c r="A147" s="203"/>
      <c r="B147" s="13" t="s">
        <v>776</v>
      </c>
      <c r="C147" s="60">
        <f>2.4/1000</f>
        <v>2.3999999999999998E-3</v>
      </c>
      <c r="D147" s="61" t="s">
        <v>280</v>
      </c>
      <c r="E147" t="str">
        <f>Sources!A53</f>
        <v>DEA2020</v>
      </c>
    </row>
    <row r="148" spans="1:5" x14ac:dyDescent="0.3">
      <c r="A148" s="203"/>
      <c r="B148" s="13" t="s">
        <v>649</v>
      </c>
      <c r="C148" s="60">
        <f>1.8/1000</f>
        <v>1.8E-3</v>
      </c>
      <c r="D148" s="61" t="s">
        <v>280</v>
      </c>
      <c r="E148" t="str">
        <f>Sources!A53</f>
        <v>DEA2020</v>
      </c>
    </row>
    <row r="149" spans="1:5" x14ac:dyDescent="0.3">
      <c r="A149" s="203"/>
      <c r="B149" s="13" t="s">
        <v>650</v>
      </c>
      <c r="C149" s="60">
        <f>2.3/1000</f>
        <v>2.3E-3</v>
      </c>
      <c r="D149" s="61" t="s">
        <v>280</v>
      </c>
      <c r="E149" t="str">
        <f>Sources!A53</f>
        <v>DEA2020</v>
      </c>
    </row>
    <row r="150" spans="1:5" x14ac:dyDescent="0.3">
      <c r="A150" s="203"/>
      <c r="B150" s="13" t="s">
        <v>651</v>
      </c>
      <c r="C150" s="60">
        <f>2.5/1000</f>
        <v>2.5000000000000001E-3</v>
      </c>
      <c r="D150" s="61" t="s">
        <v>280</v>
      </c>
      <c r="E150" t="str">
        <f>Sources!A53</f>
        <v>DEA2020</v>
      </c>
    </row>
    <row r="152" spans="1:5" s="45" customFormat="1" x14ac:dyDescent="0.3">
      <c r="A152" s="203" t="s">
        <v>211</v>
      </c>
      <c r="B152" s="43" t="s">
        <v>800</v>
      </c>
      <c r="C152" s="45">
        <v>20</v>
      </c>
      <c r="D152" s="53" t="s">
        <v>132</v>
      </c>
      <c r="E152" s="45" t="str">
        <f>Sources!A53</f>
        <v>DEA2020</v>
      </c>
    </row>
    <row r="153" spans="1:5" s="45" customFormat="1" x14ac:dyDescent="0.3">
      <c r="A153" s="203"/>
      <c r="B153" s="43" t="s">
        <v>801</v>
      </c>
      <c r="C153" s="45">
        <v>27</v>
      </c>
      <c r="D153" s="53" t="s">
        <v>132</v>
      </c>
      <c r="E153" s="45" t="str">
        <f>Sources!A53</f>
        <v>DEA2020</v>
      </c>
    </row>
    <row r="154" spans="1:5" s="45" customFormat="1" x14ac:dyDescent="0.3">
      <c r="A154" s="203"/>
      <c r="B154" s="43" t="s">
        <v>802</v>
      </c>
      <c r="C154" s="45">
        <v>35</v>
      </c>
      <c r="D154" s="53" t="s">
        <v>132</v>
      </c>
      <c r="E154" s="45" t="str">
        <f>Sources!A53</f>
        <v>DEA2020</v>
      </c>
    </row>
    <row r="155" spans="1:5" s="45" customFormat="1" x14ac:dyDescent="0.3">
      <c r="A155" s="203"/>
      <c r="B155" s="13" t="s">
        <v>803</v>
      </c>
      <c r="C155" s="60">
        <v>30</v>
      </c>
      <c r="D155" s="61" t="s">
        <v>132</v>
      </c>
      <c r="E155" t="str">
        <f>Sources!A53</f>
        <v>DEA2020</v>
      </c>
    </row>
    <row r="156" spans="1:5" x14ac:dyDescent="0.3">
      <c r="A156" s="203"/>
      <c r="B156" s="13" t="s">
        <v>804</v>
      </c>
      <c r="C156" s="60">
        <v>30</v>
      </c>
      <c r="D156" s="61" t="s">
        <v>132</v>
      </c>
      <c r="E156" t="str">
        <f>Sources!A53</f>
        <v>DEA2020</v>
      </c>
    </row>
    <row r="157" spans="1:5" x14ac:dyDescent="0.3">
      <c r="A157" s="203"/>
      <c r="B157" s="13" t="s">
        <v>649</v>
      </c>
      <c r="C157" s="60">
        <v>20</v>
      </c>
      <c r="D157" s="61" t="s">
        <v>132</v>
      </c>
      <c r="E157" t="str">
        <f>Sources!A53</f>
        <v>DEA2020</v>
      </c>
    </row>
    <row r="158" spans="1:5" x14ac:dyDescent="0.3">
      <c r="A158" s="203"/>
      <c r="B158" s="13" t="s">
        <v>650</v>
      </c>
      <c r="C158" s="60">
        <v>30</v>
      </c>
      <c r="D158" s="61" t="s">
        <v>132</v>
      </c>
      <c r="E158" t="str">
        <f>Sources!A53</f>
        <v>DEA2020</v>
      </c>
    </row>
    <row r="159" spans="1:5" x14ac:dyDescent="0.3">
      <c r="A159" s="203"/>
      <c r="B159" s="13" t="s">
        <v>651</v>
      </c>
      <c r="C159" s="60">
        <v>35</v>
      </c>
      <c r="D159" s="61" t="s">
        <v>132</v>
      </c>
      <c r="E159" t="str">
        <f>Sources!A53</f>
        <v>DEA2020</v>
      </c>
    </row>
    <row r="161" spans="1:8" s="60" customFormat="1" x14ac:dyDescent="0.3">
      <c r="A161" s="203" t="s">
        <v>777</v>
      </c>
      <c r="B161" s="58" t="s">
        <v>800</v>
      </c>
      <c r="C161" s="60">
        <v>180</v>
      </c>
      <c r="D161" s="61" t="s">
        <v>778</v>
      </c>
      <c r="E161" t="str">
        <f>Sources!A53</f>
        <v>DEA2020</v>
      </c>
    </row>
    <row r="162" spans="1:8" s="60" customFormat="1" x14ac:dyDescent="0.3">
      <c r="A162" s="203"/>
      <c r="B162" s="58" t="s">
        <v>801</v>
      </c>
      <c r="C162" s="60">
        <v>220</v>
      </c>
      <c r="D162" s="61" t="s">
        <v>778</v>
      </c>
      <c r="E162" s="60" t="str">
        <f>Sources!A53</f>
        <v>DEA2020</v>
      </c>
    </row>
    <row r="163" spans="1:8" s="60" customFormat="1" x14ac:dyDescent="0.3">
      <c r="A163" s="203"/>
      <c r="B163" s="58" t="s">
        <v>802</v>
      </c>
      <c r="C163" s="60">
        <v>240</v>
      </c>
      <c r="D163" s="61" t="s">
        <v>778</v>
      </c>
      <c r="E163" s="60" t="str">
        <f>Sources!A53</f>
        <v>DEA2020</v>
      </c>
    </row>
    <row r="164" spans="1:8" s="45" customFormat="1" x14ac:dyDescent="0.3">
      <c r="A164" s="203"/>
      <c r="B164" s="13" t="s">
        <v>803</v>
      </c>
      <c r="C164" s="60">
        <v>220</v>
      </c>
      <c r="D164" s="61" t="s">
        <v>778</v>
      </c>
      <c r="E164" t="str">
        <f>Sources!A53</f>
        <v>DEA2020</v>
      </c>
    </row>
    <row r="165" spans="1:8" x14ac:dyDescent="0.3">
      <c r="A165" s="203"/>
      <c r="B165" s="13" t="s">
        <v>804</v>
      </c>
      <c r="C165" s="60">
        <v>220</v>
      </c>
      <c r="D165" s="61" t="s">
        <v>778</v>
      </c>
      <c r="E165" t="str">
        <f>Sources!A53</f>
        <v>DEA2020</v>
      </c>
    </row>
    <row r="166" spans="1:8" x14ac:dyDescent="0.3">
      <c r="A166" s="203"/>
      <c r="B166" s="13" t="s">
        <v>649</v>
      </c>
      <c r="C166" s="60">
        <v>180</v>
      </c>
      <c r="D166" s="61" t="s">
        <v>778</v>
      </c>
      <c r="E166" t="str">
        <f>Sources!A53</f>
        <v>DEA2020</v>
      </c>
    </row>
    <row r="167" spans="1:8" x14ac:dyDescent="0.3">
      <c r="A167" s="203"/>
      <c r="B167" s="13" t="s">
        <v>650</v>
      </c>
      <c r="C167" s="60">
        <v>220</v>
      </c>
      <c r="D167" s="61" t="s">
        <v>778</v>
      </c>
      <c r="E167" t="str">
        <f>Sources!A53</f>
        <v>DEA2020</v>
      </c>
    </row>
    <row r="168" spans="1:8" x14ac:dyDescent="0.3">
      <c r="A168" s="203"/>
      <c r="B168" s="13" t="s">
        <v>651</v>
      </c>
      <c r="C168" s="60">
        <v>240</v>
      </c>
      <c r="D168" s="61" t="s">
        <v>778</v>
      </c>
      <c r="E168" t="str">
        <f>Sources!A53</f>
        <v>DEA2020</v>
      </c>
    </row>
    <row r="170" spans="1:8" s="66" customFormat="1" x14ac:dyDescent="0.3">
      <c r="A170" s="66" t="s">
        <v>787</v>
      </c>
      <c r="B170" s="68"/>
      <c r="D170" s="68"/>
      <c r="E170" s="69"/>
      <c r="F170" s="68"/>
      <c r="G170" s="70"/>
    </row>
    <row r="171" spans="1:8" s="15" customFormat="1" x14ac:dyDescent="0.3">
      <c r="B171" s="17"/>
      <c r="D171" s="17"/>
      <c r="E171" s="18"/>
      <c r="F171" s="17"/>
      <c r="G171" s="49"/>
    </row>
    <row r="172" spans="1:8" s="17" customFormat="1" x14ac:dyDescent="0.3">
      <c r="A172" s="17" t="s">
        <v>85</v>
      </c>
      <c r="B172" s="17" t="s">
        <v>52</v>
      </c>
      <c r="C172" s="17" t="s">
        <v>184</v>
      </c>
      <c r="D172" s="18" t="s">
        <v>106</v>
      </c>
      <c r="E172" s="17" t="s">
        <v>183</v>
      </c>
      <c r="G172" s="49"/>
      <c r="H172" s="15"/>
    </row>
    <row r="173" spans="1:8" s="15" customFormat="1" x14ac:dyDescent="0.3">
      <c r="A173" t="s">
        <v>218</v>
      </c>
      <c r="B173" s="13" t="s">
        <v>425</v>
      </c>
      <c r="C173" s="5" t="s">
        <v>422</v>
      </c>
      <c r="D173" s="5" t="s">
        <v>422</v>
      </c>
      <c r="E173" s="5" t="s">
        <v>422</v>
      </c>
      <c r="F173" s="17"/>
      <c r="G173" s="49"/>
    </row>
    <row r="174" spans="1:8" s="15" customFormat="1" x14ac:dyDescent="0.3">
      <c r="A174" t="s">
        <v>1779</v>
      </c>
      <c r="B174" s="13" t="s">
        <v>426</v>
      </c>
      <c r="C174" s="14">
        <v>1840</v>
      </c>
      <c r="D174" s="5">
        <v>1750</v>
      </c>
      <c r="E174" s="5">
        <v>1570</v>
      </c>
      <c r="G174" s="49"/>
    </row>
    <row r="175" spans="1:8" s="15" customFormat="1" x14ac:dyDescent="0.3">
      <c r="A175" t="s">
        <v>1750</v>
      </c>
      <c r="B175" s="13" t="s">
        <v>427</v>
      </c>
      <c r="C175" s="14">
        <v>37.86</v>
      </c>
      <c r="D175" s="5">
        <v>36.049999999999997</v>
      </c>
      <c r="E175" s="5">
        <v>32.450000000000003</v>
      </c>
      <c r="G175" s="49"/>
    </row>
    <row r="176" spans="1:8" s="15" customFormat="1" x14ac:dyDescent="0.3">
      <c r="A176" t="s">
        <v>1751</v>
      </c>
      <c r="B176" s="13" t="s">
        <v>280</v>
      </c>
      <c r="C176" s="14">
        <v>2.8E-3</v>
      </c>
      <c r="D176" s="5">
        <v>2.6700000000000001E-3</v>
      </c>
      <c r="E176" s="5">
        <v>2.3999999999999998E-3</v>
      </c>
      <c r="G176" s="49"/>
    </row>
    <row r="177" spans="1:8" s="15" customFormat="1" x14ac:dyDescent="0.3">
      <c r="A177" t="s">
        <v>110</v>
      </c>
      <c r="B177" s="13" t="s">
        <v>201</v>
      </c>
      <c r="C177" s="5">
        <v>20</v>
      </c>
      <c r="D177" s="5">
        <v>27</v>
      </c>
      <c r="E177" s="14">
        <v>35</v>
      </c>
      <c r="F177" s="17"/>
      <c r="G177" s="49"/>
    </row>
    <row r="178" spans="1:8" s="15" customFormat="1" x14ac:dyDescent="0.3">
      <c r="A178" t="s">
        <v>103</v>
      </c>
      <c r="B178" s="13" t="s">
        <v>51</v>
      </c>
      <c r="C178" s="5" t="e">
        <f>Annuities!#REF!</f>
        <v>#REF!</v>
      </c>
      <c r="D178" s="114" t="e">
        <f>Annuities!#REF!</f>
        <v>#REF!</v>
      </c>
      <c r="E178" s="1" t="e">
        <f>Annuities!#REF!</f>
        <v>#REF!</v>
      </c>
      <c r="F178" s="17"/>
      <c r="G178" s="49"/>
    </row>
    <row r="180" spans="1:8" s="66" customFormat="1" x14ac:dyDescent="0.3">
      <c r="A180" s="66" t="s">
        <v>709</v>
      </c>
      <c r="B180" s="68"/>
      <c r="D180" s="68"/>
      <c r="E180" s="69"/>
      <c r="F180" s="68"/>
      <c r="G180" s="70"/>
    </row>
    <row r="181" spans="1:8" s="15" customFormat="1" x14ac:dyDescent="0.3">
      <c r="B181" s="17"/>
      <c r="D181" s="17"/>
      <c r="E181" s="18"/>
      <c r="F181" s="17"/>
      <c r="G181" s="49"/>
    </row>
    <row r="182" spans="1:8" s="15" customFormat="1" x14ac:dyDescent="0.3">
      <c r="A182" s="17" t="s">
        <v>85</v>
      </c>
      <c r="B182" s="17" t="s">
        <v>52</v>
      </c>
      <c r="C182" s="17" t="s">
        <v>184</v>
      </c>
      <c r="D182" s="18" t="s">
        <v>106</v>
      </c>
      <c r="E182" s="17" t="s">
        <v>183</v>
      </c>
    </row>
    <row r="183" spans="1:8" x14ac:dyDescent="0.3">
      <c r="A183" s="16" t="s">
        <v>979</v>
      </c>
      <c r="B183" s="13" t="s">
        <v>942</v>
      </c>
      <c r="C183">
        <v>0</v>
      </c>
      <c r="D183">
        <v>0</v>
      </c>
      <c r="E183">
        <v>0</v>
      </c>
    </row>
    <row r="184" spans="1:8" x14ac:dyDescent="0.3">
      <c r="A184" t="s">
        <v>981</v>
      </c>
      <c r="B184" s="13" t="s">
        <v>192</v>
      </c>
      <c r="C184">
        <v>400</v>
      </c>
      <c r="D184">
        <v>380</v>
      </c>
      <c r="E184">
        <v>340</v>
      </c>
    </row>
    <row r="185" spans="1:8" x14ac:dyDescent="0.3">
      <c r="A185" s="16" t="s">
        <v>980</v>
      </c>
      <c r="B185" s="13" t="s">
        <v>192</v>
      </c>
      <c r="C185">
        <f>2*C183</f>
        <v>0</v>
      </c>
      <c r="D185">
        <f>2*D183</f>
        <v>0</v>
      </c>
      <c r="E185">
        <f>2*E183</f>
        <v>0</v>
      </c>
    </row>
    <row r="186" spans="1:8" x14ac:dyDescent="0.3">
      <c r="A186" s="16" t="s">
        <v>985</v>
      </c>
      <c r="B186" s="13" t="s">
        <v>932</v>
      </c>
      <c r="C186">
        <f>C200*C183</f>
        <v>0</v>
      </c>
      <c r="D186">
        <f>C200*D183</f>
        <v>0</v>
      </c>
      <c r="E186">
        <f>C200*E183</f>
        <v>0</v>
      </c>
    </row>
    <row r="187" spans="1:8" x14ac:dyDescent="0.3">
      <c r="A187" s="16" t="s">
        <v>1770</v>
      </c>
      <c r="B187" s="13" t="s">
        <v>687</v>
      </c>
      <c r="C187">
        <f>0.025*C185</f>
        <v>0</v>
      </c>
      <c r="D187">
        <f t="shared" ref="D187:E187" si="1">0.025*D185</f>
        <v>0</v>
      </c>
      <c r="E187">
        <f t="shared" si="1"/>
        <v>0</v>
      </c>
    </row>
    <row r="189" spans="1:8" s="26" customFormat="1" x14ac:dyDescent="0.3">
      <c r="A189" s="26" t="s">
        <v>112</v>
      </c>
      <c r="B189" s="27"/>
      <c r="D189" s="57"/>
      <c r="E189" s="28"/>
      <c r="F189" s="27"/>
      <c r="G189" s="50"/>
    </row>
    <row r="190" spans="1:8" x14ac:dyDescent="0.3">
      <c r="D190" s="5"/>
      <c r="E190" s="8"/>
      <c r="F190" s="13"/>
      <c r="G190" s="5"/>
    </row>
    <row r="191" spans="1:8" s="66" customFormat="1" x14ac:dyDescent="0.3">
      <c r="A191" s="66" t="s">
        <v>709</v>
      </c>
      <c r="B191" s="68"/>
      <c r="D191" s="68"/>
      <c r="E191" s="69"/>
      <c r="F191" s="68"/>
      <c r="G191" s="70"/>
    </row>
    <row r="192" spans="1:8" x14ac:dyDescent="0.3">
      <c r="A192" s="17" t="s">
        <v>85</v>
      </c>
      <c r="B192" s="17" t="s">
        <v>82</v>
      </c>
      <c r="C192" s="15" t="s">
        <v>49</v>
      </c>
      <c r="D192" s="17" t="s">
        <v>52</v>
      </c>
      <c r="E192" s="18" t="s">
        <v>58</v>
      </c>
      <c r="F192" s="15" t="s">
        <v>93</v>
      </c>
      <c r="G192" s="49" t="s">
        <v>80</v>
      </c>
      <c r="H192" s="15" t="s">
        <v>59</v>
      </c>
    </row>
    <row r="193" spans="1:7" x14ac:dyDescent="0.3">
      <c r="D193" s="5"/>
      <c r="E193" s="8"/>
      <c r="F193" s="13"/>
      <c r="G193" s="5"/>
    </row>
    <row r="194" spans="1:7" x14ac:dyDescent="0.3">
      <c r="A194" s="13" t="s">
        <v>981</v>
      </c>
      <c r="B194" s="13" t="s">
        <v>982</v>
      </c>
      <c r="C194" t="s">
        <v>983</v>
      </c>
      <c r="D194" s="5" t="s">
        <v>192</v>
      </c>
      <c r="E194" s="14" t="str">
        <f>Sources!A53</f>
        <v>DEA2020</v>
      </c>
      <c r="F194" s="13"/>
      <c r="G194" s="5"/>
    </row>
    <row r="195" spans="1:7" x14ac:dyDescent="0.3">
      <c r="D195" s="5"/>
      <c r="E195" s="14"/>
      <c r="F195" s="13"/>
      <c r="G195" s="5"/>
    </row>
    <row r="196" spans="1:7" ht="15.6" x14ac:dyDescent="0.3">
      <c r="A196" s="203" t="s">
        <v>984</v>
      </c>
      <c r="B196" s="130" t="s">
        <v>987</v>
      </c>
      <c r="C196">
        <f>0.002*10^6/10^3</f>
        <v>2</v>
      </c>
      <c r="D196" s="5" t="s">
        <v>994</v>
      </c>
      <c r="E196" s="8" t="s">
        <v>996</v>
      </c>
      <c r="F196" s="13" t="str">
        <f>Sources!A75</f>
        <v>National Grid ESO2015</v>
      </c>
      <c r="G196" s="5"/>
    </row>
    <row r="197" spans="1:7" x14ac:dyDescent="0.3">
      <c r="A197" s="203"/>
      <c r="B197" s="13" t="s">
        <v>988</v>
      </c>
      <c r="C197">
        <f>1.91*10^6</f>
        <v>1910000</v>
      </c>
      <c r="D197" s="5" t="s">
        <v>933</v>
      </c>
      <c r="E197" s="14" t="str">
        <f>Sources!A74</f>
        <v>Flament2014</v>
      </c>
      <c r="F197" s="13"/>
      <c r="G197" s="5"/>
    </row>
    <row r="198" spans="1:7" x14ac:dyDescent="0.3">
      <c r="A198" s="203"/>
      <c r="B198" s="13" t="s">
        <v>989</v>
      </c>
      <c r="D198" s="5"/>
      <c r="E198" s="8"/>
      <c r="F198" s="13"/>
      <c r="G198" s="5"/>
    </row>
    <row r="199" spans="1:7" x14ac:dyDescent="0.3">
      <c r="D199" s="5"/>
      <c r="E199" s="8"/>
      <c r="F199" s="13"/>
      <c r="G199" s="5"/>
    </row>
    <row r="200" spans="1:7" x14ac:dyDescent="0.3">
      <c r="A200" s="13" t="s">
        <v>1781</v>
      </c>
      <c r="B200" s="13" t="s">
        <v>995</v>
      </c>
      <c r="C200">
        <f>(0.1188+1.91)*10^6</f>
        <v>2028800</v>
      </c>
      <c r="D200" s="5" t="s">
        <v>933</v>
      </c>
      <c r="E200" s="8"/>
      <c r="F200" s="13"/>
      <c r="G200" s="5"/>
    </row>
    <row r="201" spans="1:7" x14ac:dyDescent="0.3">
      <c r="D201" s="5"/>
      <c r="E201" s="8"/>
      <c r="F201" s="13"/>
      <c r="G201" s="5"/>
    </row>
    <row r="202" spans="1:7" x14ac:dyDescent="0.3">
      <c r="A202" s="13" t="s">
        <v>1750</v>
      </c>
      <c r="B202" s="13" t="s">
        <v>990</v>
      </c>
      <c r="C202">
        <v>2.5</v>
      </c>
      <c r="D202" s="5" t="s">
        <v>202</v>
      </c>
      <c r="E202" s="14" t="str">
        <f>Sources!A74</f>
        <v>Flament2014</v>
      </c>
      <c r="F202" s="13"/>
      <c r="G202" s="5"/>
    </row>
    <row r="203" spans="1:7" x14ac:dyDescent="0.3">
      <c r="D203" s="5"/>
      <c r="E203" s="8"/>
      <c r="F203" s="13"/>
      <c r="G203" s="5"/>
    </row>
  </sheetData>
  <mergeCells count="14">
    <mergeCell ref="A23:A28"/>
    <mergeCell ref="A196:A198"/>
    <mergeCell ref="A152:A159"/>
    <mergeCell ref="A161:A168"/>
    <mergeCell ref="A30:A44"/>
    <mergeCell ref="A112:A123"/>
    <mergeCell ref="A125:A132"/>
    <mergeCell ref="A134:A141"/>
    <mergeCell ref="A143:A150"/>
    <mergeCell ref="A90:A98"/>
    <mergeCell ref="A67:A78"/>
    <mergeCell ref="A80:A88"/>
    <mergeCell ref="A100:A107"/>
    <mergeCell ref="A46:A65"/>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139"/>
  <sheetViews>
    <sheetView workbookViewId="0">
      <selection activeCell="C22" sqref="C22"/>
    </sheetView>
  </sheetViews>
  <sheetFormatPr defaultColWidth="8.77734375" defaultRowHeight="14.4" x14ac:dyDescent="0.3"/>
  <cols>
    <col min="1" max="1" width="65" customWidth="1"/>
    <col min="2" max="2" width="18.21875" customWidth="1"/>
    <col min="3" max="3" width="9.5546875" customWidth="1"/>
    <col min="4" max="4" width="10.21875" customWidth="1"/>
    <col min="5" max="5" width="1.21875" customWidth="1"/>
    <col min="6" max="7" width="9.44140625" customWidth="1"/>
    <col min="8" max="8" width="1.77734375" customWidth="1"/>
    <col min="9" max="9" width="14.109375" customWidth="1"/>
    <col min="10" max="10" width="9.44140625" customWidth="1"/>
    <col min="11" max="11" width="1.21875" customWidth="1"/>
    <col min="14" max="14" width="11.77734375" customWidth="1"/>
  </cols>
  <sheetData>
    <row r="1" spans="1:19" s="73" customFormat="1" x14ac:dyDescent="0.3">
      <c r="A1" s="192" t="s">
        <v>1143</v>
      </c>
      <c r="B1" s="192"/>
      <c r="C1" s="192"/>
      <c r="L1" s="84"/>
      <c r="N1" s="72"/>
      <c r="P1" s="63"/>
    </row>
    <row r="2" spans="1:19" x14ac:dyDescent="0.3">
      <c r="L2" s="15" t="s">
        <v>525</v>
      </c>
      <c r="N2" t="s">
        <v>916</v>
      </c>
      <c r="O2">
        <v>22.5</v>
      </c>
      <c r="P2" t="s">
        <v>917</v>
      </c>
      <c r="R2">
        <f>O2/3.6</f>
        <v>6.25</v>
      </c>
      <c r="S2" t="s">
        <v>1090</v>
      </c>
    </row>
    <row r="3" spans="1:19" x14ac:dyDescent="0.3">
      <c r="A3" t="s">
        <v>1085</v>
      </c>
      <c r="C3">
        <v>18.600000000000001</v>
      </c>
      <c r="D3" t="s">
        <v>917</v>
      </c>
      <c r="F3">
        <f t="shared" ref="F3:F7" si="0">C3/3.6</f>
        <v>5.166666666666667</v>
      </c>
      <c r="G3" t="s">
        <v>1090</v>
      </c>
      <c r="I3" s="15" t="s">
        <v>407</v>
      </c>
      <c r="L3" t="str">
        <f>Sources!A103</f>
        <v>Giddey2017</v>
      </c>
      <c r="N3" t="s">
        <v>918</v>
      </c>
      <c r="O3">
        <v>14.3</v>
      </c>
      <c r="P3" t="s">
        <v>917</v>
      </c>
      <c r="R3">
        <f>O3/3.6</f>
        <v>3.9722222222222223</v>
      </c>
      <c r="S3" t="s">
        <v>1090</v>
      </c>
    </row>
    <row r="4" spans="1:19" x14ac:dyDescent="0.3">
      <c r="A4" t="s">
        <v>955</v>
      </c>
      <c r="C4">
        <v>19.899999999999999</v>
      </c>
      <c r="D4" t="s">
        <v>917</v>
      </c>
      <c r="F4">
        <f t="shared" si="0"/>
        <v>5.5277777777777777</v>
      </c>
      <c r="G4" t="s">
        <v>1090</v>
      </c>
    </row>
    <row r="5" spans="1:19" x14ac:dyDescent="0.3">
      <c r="A5" t="s">
        <v>1144</v>
      </c>
      <c r="D5" t="s">
        <v>917</v>
      </c>
      <c r="G5" t="s">
        <v>1090</v>
      </c>
      <c r="I5" t="s">
        <v>2062</v>
      </c>
      <c r="J5">
        <v>58.74</v>
      </c>
    </row>
    <row r="6" spans="1:19" x14ac:dyDescent="0.3">
      <c r="A6" t="s">
        <v>1089</v>
      </c>
      <c r="C6">
        <v>42.3</v>
      </c>
      <c r="D6" t="s">
        <v>917</v>
      </c>
      <c r="F6">
        <f t="shared" si="0"/>
        <v>11.749999999999998</v>
      </c>
      <c r="G6" t="s">
        <v>1090</v>
      </c>
      <c r="I6" s="16" t="s">
        <v>2063</v>
      </c>
      <c r="J6">
        <f>J5/J7</f>
        <v>2.9517587939698497</v>
      </c>
    </row>
    <row r="7" spans="1:19" x14ac:dyDescent="0.3">
      <c r="A7" t="s">
        <v>1088</v>
      </c>
      <c r="C7">
        <v>40.5</v>
      </c>
      <c r="D7" t="s">
        <v>917</v>
      </c>
      <c r="F7">
        <f t="shared" si="0"/>
        <v>11.25</v>
      </c>
      <c r="G7" t="s">
        <v>1090</v>
      </c>
      <c r="I7" t="s">
        <v>2064</v>
      </c>
      <c r="J7">
        <f>C4</f>
        <v>19.899999999999999</v>
      </c>
    </row>
    <row r="11" spans="1:19" s="73" customFormat="1" x14ac:dyDescent="0.3">
      <c r="A11" s="192" t="s">
        <v>1082</v>
      </c>
      <c r="B11" s="192"/>
      <c r="C11" s="192"/>
      <c r="L11" s="84"/>
      <c r="N11" s="72"/>
      <c r="P11" s="63"/>
    </row>
    <row r="12" spans="1:19" x14ac:dyDescent="0.3">
      <c r="C12" s="191" t="s">
        <v>1271</v>
      </c>
      <c r="D12" s="191"/>
      <c r="F12" s="191" t="s">
        <v>956</v>
      </c>
      <c r="G12" s="191"/>
      <c r="H12" s="13"/>
      <c r="I12" s="191" t="s">
        <v>1252</v>
      </c>
      <c r="J12" s="191"/>
    </row>
    <row r="13" spans="1:19" x14ac:dyDescent="0.3">
      <c r="A13" s="15" t="s">
        <v>82</v>
      </c>
      <c r="B13" s="15" t="s">
        <v>1189</v>
      </c>
      <c r="C13" s="15" t="s">
        <v>372</v>
      </c>
      <c r="D13" s="15" t="s">
        <v>373</v>
      </c>
      <c r="E13" s="15"/>
      <c r="F13" s="15" t="s">
        <v>372</v>
      </c>
      <c r="G13" s="15" t="s">
        <v>373</v>
      </c>
      <c r="H13" s="15"/>
      <c r="I13" s="15" t="s">
        <v>372</v>
      </c>
      <c r="J13" s="15" t="s">
        <v>373</v>
      </c>
      <c r="K13" s="15"/>
      <c r="L13" s="15" t="s">
        <v>58</v>
      </c>
      <c r="M13" s="15" t="s">
        <v>375</v>
      </c>
      <c r="N13" s="15" t="s">
        <v>80</v>
      </c>
    </row>
    <row r="14" spans="1:19" x14ac:dyDescent="0.3">
      <c r="A14" t="s">
        <v>1083</v>
      </c>
      <c r="B14">
        <v>2020</v>
      </c>
      <c r="C14" s="4">
        <f>F14*$C$6</f>
        <v>463.0035026269702</v>
      </c>
      <c r="D14" s="4">
        <f>G14*$C$6</f>
        <v>555.60420315236422</v>
      </c>
      <c r="E14" s="135"/>
      <c r="F14" s="135">
        <f>12.5*DE2020_</f>
        <v>10.945709281961472</v>
      </c>
      <c r="G14" s="135">
        <f>15*DE2020_</f>
        <v>13.134851138353765</v>
      </c>
      <c r="H14" s="135"/>
      <c r="I14" s="135">
        <f>C14/$F$6</f>
        <v>39.404553415061301</v>
      </c>
      <c r="J14" s="135">
        <f>D14/$F$6</f>
        <v>47.285464098073561</v>
      </c>
      <c r="L14" t="str">
        <f>Sources!A61</f>
        <v>Ammonfuel2020</v>
      </c>
    </row>
    <row r="15" spans="1:19" x14ac:dyDescent="0.3">
      <c r="A15" t="s">
        <v>1249</v>
      </c>
      <c r="B15">
        <v>2021</v>
      </c>
      <c r="C15" s="4">
        <f>281*DE2020_</f>
        <v>246.05954465849388</v>
      </c>
      <c r="D15" s="4">
        <f>462.5*DE2020_</f>
        <v>404.99124343257444</v>
      </c>
      <c r="E15" s="136"/>
      <c r="F15" s="136"/>
      <c r="G15" s="136"/>
      <c r="H15" s="136"/>
      <c r="I15" s="135">
        <f>C15/$F$6</f>
        <v>20.941237843276078</v>
      </c>
      <c r="J15" s="135">
        <f>D15/$F$6</f>
        <v>34.467339866602082</v>
      </c>
      <c r="K15" s="15"/>
      <c r="L15" t="str">
        <f>Sources!A106</f>
        <v>Ship&amp;Bunker2021</v>
      </c>
      <c r="M15" s="15"/>
      <c r="N15" s="15"/>
    </row>
    <row r="17" spans="1:16" s="73" customFormat="1" x14ac:dyDescent="0.3">
      <c r="A17" s="192" t="s">
        <v>919</v>
      </c>
      <c r="B17" s="192"/>
      <c r="C17" s="192"/>
      <c r="L17" s="84"/>
      <c r="N17" s="72"/>
      <c r="P17" s="63"/>
    </row>
    <row r="18" spans="1:16" x14ac:dyDescent="0.3">
      <c r="C18" s="191" t="s">
        <v>920</v>
      </c>
      <c r="D18" s="191"/>
      <c r="F18" s="191" t="s">
        <v>956</v>
      </c>
      <c r="G18" s="191"/>
      <c r="H18" s="13"/>
      <c r="I18" s="191" t="s">
        <v>1252</v>
      </c>
      <c r="J18" s="191"/>
    </row>
    <row r="19" spans="1:16" x14ac:dyDescent="0.3">
      <c r="A19" s="15" t="s">
        <v>82</v>
      </c>
      <c r="B19" s="15" t="s">
        <v>1189</v>
      </c>
      <c r="C19" s="15" t="s">
        <v>372</v>
      </c>
      <c r="D19" s="15" t="s">
        <v>373</v>
      </c>
      <c r="E19" s="15"/>
      <c r="F19" s="15" t="s">
        <v>372</v>
      </c>
      <c r="G19" s="15" t="s">
        <v>373</v>
      </c>
      <c r="H19" s="15"/>
      <c r="I19" s="15" t="s">
        <v>372</v>
      </c>
      <c r="J19" s="15" t="s">
        <v>373</v>
      </c>
      <c r="K19" s="15"/>
      <c r="L19" s="15" t="s">
        <v>58</v>
      </c>
      <c r="M19" s="15" t="s">
        <v>375</v>
      </c>
      <c r="N19" s="15" t="s">
        <v>80</v>
      </c>
    </row>
    <row r="20" spans="1:16" x14ac:dyDescent="0.3">
      <c r="A20" t="s">
        <v>374</v>
      </c>
      <c r="B20">
        <v>2050</v>
      </c>
      <c r="C20" s="4">
        <v>431</v>
      </c>
      <c r="D20" s="4">
        <v>528</v>
      </c>
      <c r="F20" s="126">
        <f t="shared" ref="F20:F25" si="1">C20/$C$3</f>
        <v>23.172043010752688</v>
      </c>
      <c r="G20" s="126">
        <f t="shared" ref="G20:G30" si="2">D20/$C$3</f>
        <v>28.387096774193544</v>
      </c>
      <c r="H20" s="126"/>
      <c r="I20" s="126"/>
      <c r="J20" s="126"/>
      <c r="M20" s="74"/>
      <c r="N20" s="5" t="str">
        <f>Sources!A7</f>
        <v>Ikäheimo2018</v>
      </c>
    </row>
    <row r="21" spans="1:16" x14ac:dyDescent="0.3">
      <c r="A21" t="s">
        <v>1169</v>
      </c>
      <c r="B21">
        <v>2025</v>
      </c>
      <c r="C21" s="4">
        <v>653</v>
      </c>
      <c r="D21" s="4">
        <v>653</v>
      </c>
      <c r="F21" s="126">
        <f t="shared" si="1"/>
        <v>35.107526881720425</v>
      </c>
      <c r="G21" s="126">
        <f t="shared" si="2"/>
        <v>35.107526881720425</v>
      </c>
      <c r="H21" s="126"/>
      <c r="I21" s="126"/>
      <c r="J21" s="126"/>
      <c r="M21" s="74"/>
      <c r="N21" s="5" t="str">
        <f>Sources!A39</f>
        <v>Nayak-Luke2018</v>
      </c>
    </row>
    <row r="22" spans="1:16" x14ac:dyDescent="0.3">
      <c r="A22" t="s">
        <v>379</v>
      </c>
      <c r="C22" s="4">
        <v>536</v>
      </c>
      <c r="D22" s="4">
        <v>1132</v>
      </c>
      <c r="F22" s="126">
        <f t="shared" si="1"/>
        <v>28.817204301075268</v>
      </c>
      <c r="G22" s="126">
        <f t="shared" si="2"/>
        <v>60.860215053763433</v>
      </c>
      <c r="H22" s="126"/>
      <c r="I22" s="126"/>
      <c r="J22" s="126"/>
      <c r="L22" t="str">
        <f>Sources!A39</f>
        <v>Nayak-Luke2018</v>
      </c>
      <c r="N22" t="str">
        <f>Sources!A9</f>
        <v>Morgan2013</v>
      </c>
    </row>
    <row r="23" spans="1:16" x14ac:dyDescent="0.3">
      <c r="A23" t="s">
        <v>378</v>
      </c>
      <c r="C23" s="4">
        <v>300</v>
      </c>
      <c r="D23" s="4">
        <v>600</v>
      </c>
      <c r="F23" s="126">
        <f t="shared" si="1"/>
        <v>16.129032258064516</v>
      </c>
      <c r="G23" s="126">
        <f t="shared" si="2"/>
        <v>32.258064516129032</v>
      </c>
      <c r="H23" s="126"/>
      <c r="I23" s="126"/>
      <c r="J23" s="126"/>
      <c r="L23" t="str">
        <f>Sources!A39</f>
        <v>Nayak-Luke2018</v>
      </c>
      <c r="N23" t="str">
        <f>Sources!A43</f>
        <v>Beerbühl2015</v>
      </c>
    </row>
    <row r="24" spans="1:16" x14ac:dyDescent="0.3">
      <c r="A24" t="s">
        <v>380</v>
      </c>
      <c r="C24" s="4">
        <v>606</v>
      </c>
      <c r="D24" s="4">
        <v>732</v>
      </c>
      <c r="F24" s="126">
        <f t="shared" si="1"/>
        <v>32.58064516129032</v>
      </c>
      <c r="G24" s="126">
        <f t="shared" si="2"/>
        <v>39.354838709677416</v>
      </c>
      <c r="H24" s="126"/>
      <c r="I24" s="126"/>
      <c r="J24" s="126"/>
      <c r="L24" t="str">
        <f>Sources!A39</f>
        <v>Nayak-Luke2018</v>
      </c>
      <c r="N24" t="str">
        <f>Sources!A41</f>
        <v>Banares-Alcantara2015</v>
      </c>
    </row>
    <row r="25" spans="1:16" x14ac:dyDescent="0.3">
      <c r="A25" t="s">
        <v>381</v>
      </c>
      <c r="C25" s="4">
        <v>629</v>
      </c>
      <c r="D25" s="4">
        <v>2127</v>
      </c>
      <c r="F25" s="126">
        <f t="shared" si="1"/>
        <v>33.817204301075265</v>
      </c>
      <c r="G25" s="126">
        <f t="shared" si="2"/>
        <v>114.35483870967741</v>
      </c>
      <c r="H25" s="126"/>
      <c r="I25" s="126"/>
      <c r="J25" s="126"/>
      <c r="L25" t="str">
        <f>Sources!A39</f>
        <v>Nayak-Luke2018</v>
      </c>
      <c r="N25" t="str">
        <f>Sources!A44</f>
        <v>Tuna2014</v>
      </c>
    </row>
    <row r="26" spans="1:16" x14ac:dyDescent="0.3">
      <c r="A26" t="s">
        <v>627</v>
      </c>
      <c r="B26">
        <v>2019</v>
      </c>
      <c r="C26" s="4">
        <v>715</v>
      </c>
      <c r="D26" s="4">
        <v>715</v>
      </c>
      <c r="F26" s="126">
        <f t="shared" ref="F26:F30" si="3">C26/$C$3</f>
        <v>38.44086021505376</v>
      </c>
      <c r="G26" s="126">
        <f t="shared" si="2"/>
        <v>38.44086021505376</v>
      </c>
      <c r="H26" s="126"/>
      <c r="I26" s="126"/>
      <c r="J26" s="126"/>
      <c r="N26" t="str">
        <f>Sources!A50</f>
        <v>IEA2019</v>
      </c>
      <c r="O26" t="s">
        <v>628</v>
      </c>
    </row>
    <row r="27" spans="1:16" x14ac:dyDescent="0.3">
      <c r="A27" t="s">
        <v>626</v>
      </c>
      <c r="B27">
        <v>2040</v>
      </c>
      <c r="C27" s="4">
        <v>285</v>
      </c>
      <c r="D27" s="4">
        <v>285</v>
      </c>
      <c r="F27" s="126">
        <f>C27/$C$3</f>
        <v>15.32258064516129</v>
      </c>
      <c r="G27" s="126">
        <f t="shared" si="2"/>
        <v>15.32258064516129</v>
      </c>
      <c r="H27" s="126"/>
      <c r="I27" s="126"/>
      <c r="J27" s="126"/>
      <c r="N27" t="str">
        <f>Sources!A50</f>
        <v>IEA2019</v>
      </c>
      <c r="O27" t="s">
        <v>628</v>
      </c>
    </row>
    <row r="28" spans="1:16" x14ac:dyDescent="0.3">
      <c r="A28" t="s">
        <v>1530</v>
      </c>
      <c r="B28">
        <v>2020</v>
      </c>
      <c r="C28" s="4">
        <f>500*DE2019_*E2019_ref</f>
        <v>446.46843468166804</v>
      </c>
      <c r="D28" s="4">
        <f>700*DE2019_*E2019_ref</f>
        <v>625.05580855433527</v>
      </c>
      <c r="F28" s="126">
        <f t="shared" si="3"/>
        <v>24.003679283960647</v>
      </c>
      <c r="G28" s="126">
        <f t="shared" si="2"/>
        <v>33.605150997544904</v>
      </c>
      <c r="H28" s="126"/>
      <c r="I28" s="126"/>
      <c r="J28" s="126"/>
      <c r="N28" t="str">
        <f>Sources!A50</f>
        <v>IEA2019</v>
      </c>
      <c r="O28" t="s">
        <v>625</v>
      </c>
    </row>
    <row r="29" spans="1:16" x14ac:dyDescent="0.3">
      <c r="A29" t="s">
        <v>1531</v>
      </c>
      <c r="B29">
        <v>2020</v>
      </c>
      <c r="C29" s="4">
        <f>470*DE2019_*E2019_ref</f>
        <v>419.68032860076795</v>
      </c>
      <c r="D29" s="4">
        <f>575*DE2019_*E2019_ref</f>
        <v>513.43869988391828</v>
      </c>
      <c r="F29" s="126">
        <f t="shared" si="3"/>
        <v>22.563458526923007</v>
      </c>
      <c r="G29" s="126">
        <f t="shared" si="2"/>
        <v>27.604231176554745</v>
      </c>
      <c r="H29" s="126"/>
      <c r="I29" s="126"/>
      <c r="J29" s="126"/>
      <c r="N29" t="str">
        <f>Sources!A50</f>
        <v>IEA2019</v>
      </c>
      <c r="O29" t="s">
        <v>625</v>
      </c>
    </row>
    <row r="30" spans="1:16" x14ac:dyDescent="0.3">
      <c r="A30" t="s">
        <v>1192</v>
      </c>
      <c r="B30">
        <v>2020</v>
      </c>
      <c r="C30" s="4">
        <f>MIN(C28:C29)</f>
        <v>419.68032860076795</v>
      </c>
      <c r="D30" s="4">
        <f>MAX(D26:D29)</f>
        <v>715</v>
      </c>
      <c r="F30" s="126">
        <f t="shared" si="3"/>
        <v>22.563458526923007</v>
      </c>
      <c r="G30" s="126">
        <f t="shared" si="2"/>
        <v>38.44086021505376</v>
      </c>
      <c r="H30" s="126"/>
      <c r="I30" s="126"/>
      <c r="J30" s="126"/>
      <c r="N30" t="str">
        <f>Sources!A50</f>
        <v>IEA2019</v>
      </c>
    </row>
    <row r="31" spans="1:16" x14ac:dyDescent="0.3">
      <c r="A31" t="s">
        <v>1194</v>
      </c>
      <c r="B31">
        <v>2040</v>
      </c>
      <c r="C31" s="4">
        <f t="shared" ref="C31:C33" si="4">F31*$C$3</f>
        <v>224.21644789713372</v>
      </c>
      <c r="D31" s="4">
        <f>G31*$C$3</f>
        <v>249.12938655237079</v>
      </c>
      <c r="F31" s="126">
        <f>13.5*DE2019_*E2019_ref</f>
        <v>12.054647736405038</v>
      </c>
      <c r="G31" s="126">
        <f>15*DE2019_*E2019_ref</f>
        <v>13.394053040450041</v>
      </c>
      <c r="H31" s="126"/>
      <c r="I31" s="126"/>
      <c r="J31" s="126"/>
      <c r="N31" t="str">
        <f>Sources!A61</f>
        <v>Ammonfuel2020</v>
      </c>
    </row>
    <row r="32" spans="1:16" x14ac:dyDescent="0.3">
      <c r="A32" t="s">
        <v>1087</v>
      </c>
      <c r="B32">
        <v>2025</v>
      </c>
      <c r="C32" s="4">
        <f t="shared" si="4"/>
        <v>265.73801232252885</v>
      </c>
      <c r="D32" s="4">
        <f>G32*$C$3</f>
        <v>357.08545405839817</v>
      </c>
      <c r="F32" s="126">
        <f>16*DE2019_*E2019_ref</f>
        <v>14.286989909813377</v>
      </c>
      <c r="G32" s="126">
        <f>21.5*DE2019_*E2019_ref</f>
        <v>19.198142691311727</v>
      </c>
      <c r="H32" s="126"/>
      <c r="I32" s="126"/>
      <c r="J32" s="126"/>
      <c r="N32" t="str">
        <f>Sources!A61</f>
        <v>Ammonfuel2020</v>
      </c>
    </row>
    <row r="33" spans="1:16" x14ac:dyDescent="0.3">
      <c r="A33" t="s">
        <v>1099</v>
      </c>
      <c r="B33">
        <v>2020</v>
      </c>
      <c r="C33" s="4">
        <f t="shared" si="4"/>
        <v>814.68000000000006</v>
      </c>
      <c r="D33" s="4">
        <f>G33*$C$3</f>
        <v>814.68000000000006</v>
      </c>
      <c r="F33" s="126">
        <v>43.8</v>
      </c>
      <c r="G33" s="126">
        <v>43.8</v>
      </c>
      <c r="H33" s="126"/>
      <c r="I33" s="126"/>
      <c r="J33" s="126"/>
      <c r="N33" t="str">
        <f>Sources!A83</f>
        <v>DanskEnergi2020</v>
      </c>
      <c r="O33" t="s">
        <v>1131</v>
      </c>
    </row>
    <row r="34" spans="1:16" x14ac:dyDescent="0.3">
      <c r="A34" t="s">
        <v>1165</v>
      </c>
      <c r="B34">
        <v>2015</v>
      </c>
      <c r="C34" s="4">
        <v>1010</v>
      </c>
      <c r="D34" s="4">
        <v>1010</v>
      </c>
      <c r="F34" s="126">
        <f>C34/$C$3</f>
        <v>54.3010752688172</v>
      </c>
      <c r="G34" s="126">
        <f>D34/$C$3</f>
        <v>54.3010752688172</v>
      </c>
      <c r="H34" s="126"/>
      <c r="I34" s="126"/>
      <c r="J34" s="126"/>
      <c r="N34" t="str">
        <f>Sources!A88</f>
        <v>Tremel2015</v>
      </c>
    </row>
    <row r="36" spans="1:16" s="73" customFormat="1" x14ac:dyDescent="0.3">
      <c r="A36" s="192" t="s">
        <v>1084</v>
      </c>
      <c r="B36" s="192"/>
      <c r="C36" s="192"/>
      <c r="L36" s="84"/>
      <c r="N36" s="72"/>
      <c r="P36" s="63"/>
    </row>
    <row r="37" spans="1:16" x14ac:dyDescent="0.3">
      <c r="C37" s="191" t="s">
        <v>920</v>
      </c>
      <c r="D37" s="191"/>
      <c r="F37" s="191" t="s">
        <v>956</v>
      </c>
      <c r="G37" s="191"/>
      <c r="H37" s="13"/>
      <c r="I37" s="13"/>
      <c r="J37" s="13"/>
    </row>
    <row r="38" spans="1:16" x14ac:dyDescent="0.3">
      <c r="A38" s="15" t="s">
        <v>82</v>
      </c>
      <c r="B38" s="15" t="s">
        <v>1189</v>
      </c>
      <c r="C38" s="15" t="s">
        <v>372</v>
      </c>
      <c r="D38" s="15" t="s">
        <v>373</v>
      </c>
      <c r="E38" s="15"/>
      <c r="F38" s="15" t="s">
        <v>372</v>
      </c>
      <c r="G38" s="15" t="s">
        <v>373</v>
      </c>
      <c r="H38" s="15"/>
      <c r="I38" s="15"/>
      <c r="J38" s="15"/>
      <c r="K38" s="15"/>
      <c r="L38" s="15" t="s">
        <v>58</v>
      </c>
      <c r="M38" s="15" t="s">
        <v>375</v>
      </c>
      <c r="N38" s="15" t="s">
        <v>80</v>
      </c>
    </row>
    <row r="39" spans="1:16" x14ac:dyDescent="0.3">
      <c r="A39" t="s">
        <v>1086</v>
      </c>
      <c r="B39">
        <v>2018</v>
      </c>
      <c r="C39" s="4">
        <f>F39*$C$3</f>
        <v>212.5984251968504</v>
      </c>
      <c r="D39" s="4">
        <f>G39*$C$3</f>
        <v>212.5984251968504</v>
      </c>
      <c r="F39" s="126">
        <f>13.5*DE2018_</f>
        <v>11.430022860045719</v>
      </c>
      <c r="G39" s="126">
        <f>13.5*DE2018_</f>
        <v>11.430022860045719</v>
      </c>
      <c r="H39" s="126"/>
      <c r="I39" s="126"/>
      <c r="J39" s="126"/>
      <c r="L39" s="5" t="str">
        <f>Sources!A61</f>
        <v>Ammonfuel2020</v>
      </c>
      <c r="M39" s="74"/>
    </row>
    <row r="40" spans="1:16" x14ac:dyDescent="0.3">
      <c r="A40" t="s">
        <v>1190</v>
      </c>
      <c r="B40">
        <v>2014</v>
      </c>
      <c r="C40" s="4">
        <v>150</v>
      </c>
      <c r="D40" s="4">
        <v>300</v>
      </c>
      <c r="F40" s="126"/>
      <c r="G40" s="126"/>
      <c r="H40" s="126"/>
      <c r="I40" s="126"/>
      <c r="J40" s="126"/>
      <c r="L40" s="5" t="str">
        <f>Sources!A41</f>
        <v>Banares-Alcantara2015</v>
      </c>
      <c r="M40" s="74"/>
      <c r="O40" t="s">
        <v>1191</v>
      </c>
    </row>
    <row r="41" spans="1:16" x14ac:dyDescent="0.3">
      <c r="A41" t="s">
        <v>1528</v>
      </c>
      <c r="B41">
        <v>2020</v>
      </c>
      <c r="C41" s="4">
        <v>285</v>
      </c>
      <c r="D41" s="4">
        <v>365</v>
      </c>
      <c r="F41" s="126">
        <f>C41/$C$3</f>
        <v>15.32258064516129</v>
      </c>
      <c r="G41" s="126">
        <f>D41/$C$3</f>
        <v>19.623655913978492</v>
      </c>
      <c r="H41" s="126"/>
      <c r="I41" s="126"/>
      <c r="J41" s="126"/>
      <c r="L41" s="5"/>
      <c r="M41" s="74"/>
    </row>
    <row r="42" spans="1:16" x14ac:dyDescent="0.3">
      <c r="A42" t="s">
        <v>1529</v>
      </c>
      <c r="B42">
        <v>2020</v>
      </c>
      <c r="C42" s="4">
        <f>370*DE2019_</f>
        <v>330.38664166443436</v>
      </c>
      <c r="D42" s="4">
        <f>570*DE2019_</f>
        <v>508.97401553710154</v>
      </c>
      <c r="F42" s="126">
        <f>C42/$C$3</f>
        <v>17.762722670130877</v>
      </c>
      <c r="G42" s="126">
        <f>D42/$C$3</f>
        <v>27.364194383715134</v>
      </c>
      <c r="H42" s="126"/>
      <c r="I42" s="126"/>
      <c r="J42" s="126"/>
      <c r="L42" s="5"/>
      <c r="M42" s="74"/>
    </row>
    <row r="44" spans="1:16" s="73" customFormat="1" x14ac:dyDescent="0.3">
      <c r="A44" s="192" t="s">
        <v>629</v>
      </c>
      <c r="B44" s="192"/>
      <c r="C44" s="192"/>
      <c r="L44" s="84"/>
      <c r="N44" s="72"/>
      <c r="P44" s="63"/>
    </row>
    <row r="46" spans="1:16" x14ac:dyDescent="0.3">
      <c r="A46" s="15" t="s">
        <v>82</v>
      </c>
      <c r="B46" s="15" t="s">
        <v>1189</v>
      </c>
      <c r="C46" s="15" t="s">
        <v>372</v>
      </c>
      <c r="D46" s="15" t="s">
        <v>373</v>
      </c>
      <c r="E46" s="15"/>
      <c r="F46" s="15"/>
      <c r="G46" s="15"/>
      <c r="H46" s="15"/>
      <c r="I46" s="15"/>
      <c r="J46" s="15"/>
      <c r="K46" s="15"/>
      <c r="L46" s="15" t="s">
        <v>58</v>
      </c>
      <c r="M46" s="15" t="s">
        <v>375</v>
      </c>
      <c r="N46" s="15" t="s">
        <v>80</v>
      </c>
      <c r="O46" s="15" t="s">
        <v>59</v>
      </c>
    </row>
    <row r="47" spans="1:16" x14ac:dyDescent="0.3">
      <c r="A47" t="s">
        <v>631</v>
      </c>
      <c r="C47">
        <f>2.2*DE2019_*E2019_ref</f>
        <v>1.9644611125993394</v>
      </c>
      <c r="D47">
        <f>3.8*DE2019_*E2019_ref</f>
        <v>3.3931601035806769</v>
      </c>
      <c r="L47" t="str">
        <f>Sources!A50</f>
        <v>IEA2019</v>
      </c>
      <c r="N47" t="s">
        <v>630</v>
      </c>
      <c r="O47" t="s">
        <v>640</v>
      </c>
    </row>
    <row r="48" spans="1:16" x14ac:dyDescent="0.3">
      <c r="A48" t="s">
        <v>632</v>
      </c>
      <c r="C48">
        <f>1.8*DE2019_*E2019_ref</f>
        <v>1.607286364854005</v>
      </c>
      <c r="D48">
        <f>3*DE2019_*E2019_ref</f>
        <v>2.678810608090008</v>
      </c>
      <c r="L48" t="str">
        <f>Sources!A50</f>
        <v>IEA2019</v>
      </c>
      <c r="N48" t="s">
        <v>630</v>
      </c>
    </row>
    <row r="49" spans="1:16" x14ac:dyDescent="0.3">
      <c r="A49" t="s">
        <v>633</v>
      </c>
      <c r="C49">
        <f>1.8*DE2019_*E2019_ref</f>
        <v>1.607286364854005</v>
      </c>
      <c r="D49">
        <f>2.1*DE2019_*E2019_ref</f>
        <v>1.8751674256630058</v>
      </c>
      <c r="L49" t="str">
        <f>Sources!A50</f>
        <v>IEA2019</v>
      </c>
      <c r="N49" t="s">
        <v>630</v>
      </c>
    </row>
    <row r="50" spans="1:16" x14ac:dyDescent="0.3">
      <c r="A50" t="s">
        <v>634</v>
      </c>
      <c r="C50">
        <f>3.1*DE2019_*E2019_ref</f>
        <v>2.7681042950263417</v>
      </c>
      <c r="D50">
        <f>4*DE2019_*E2019_ref</f>
        <v>3.5717474774533442</v>
      </c>
      <c r="L50" t="str">
        <f>Sources!A50</f>
        <v>IEA2019</v>
      </c>
      <c r="N50" t="s">
        <v>630</v>
      </c>
    </row>
    <row r="51" spans="1:16" x14ac:dyDescent="0.3">
      <c r="A51" t="s">
        <v>635</v>
      </c>
      <c r="C51">
        <f>1.8*DE2019_*E2019_ref</f>
        <v>1.607286364854005</v>
      </c>
      <c r="D51">
        <f>2.8*DE2019_*E2019_ref</f>
        <v>2.5002232342173407</v>
      </c>
      <c r="L51" t="str">
        <f>Sources!A50</f>
        <v>IEA2019</v>
      </c>
      <c r="N51" t="s">
        <v>630</v>
      </c>
    </row>
    <row r="52" spans="1:16" x14ac:dyDescent="0.3">
      <c r="A52" t="s">
        <v>636</v>
      </c>
      <c r="C52">
        <f>4*DE2019_*E2019_ref</f>
        <v>3.5717474774533442</v>
      </c>
      <c r="D52">
        <f>6*DE2019_*E2019_ref</f>
        <v>5.3576212161800161</v>
      </c>
      <c r="L52" t="str">
        <f>Sources!A50</f>
        <v>IEA2019</v>
      </c>
      <c r="N52" t="s">
        <v>630</v>
      </c>
    </row>
    <row r="53" spans="1:16" x14ac:dyDescent="0.3">
      <c r="A53" t="s">
        <v>637</v>
      </c>
      <c r="C53">
        <f>1.8*DE2019_*E2019_ref</f>
        <v>1.607286364854005</v>
      </c>
      <c r="D53">
        <f>4.1*DE2019_*E2019_ref</f>
        <v>3.6610411643896774</v>
      </c>
      <c r="L53" t="str">
        <f>Sources!A50</f>
        <v>IEA2019</v>
      </c>
      <c r="N53" t="s">
        <v>630</v>
      </c>
    </row>
    <row r="54" spans="1:16" x14ac:dyDescent="0.3">
      <c r="A54" t="s">
        <v>638</v>
      </c>
      <c r="C54">
        <f>1.7*DE2019_*E2019_ref</f>
        <v>1.5179926779176713</v>
      </c>
      <c r="D54">
        <f>3.1*DE2019_*E2019_ref</f>
        <v>2.7681042950263417</v>
      </c>
      <c r="L54" t="str">
        <f>Sources!A50</f>
        <v>IEA2019</v>
      </c>
      <c r="N54" t="s">
        <v>630</v>
      </c>
    </row>
    <row r="55" spans="1:16" x14ac:dyDescent="0.3">
      <c r="A55" t="s">
        <v>639</v>
      </c>
      <c r="C55">
        <f>2.2*DE2019_*E2019_ref</f>
        <v>1.9644611125993394</v>
      </c>
      <c r="D55">
        <f>3.6*DE2019_*E2019_ref</f>
        <v>3.21457272970801</v>
      </c>
      <c r="L55" t="str">
        <f>Sources!A50</f>
        <v>IEA2019</v>
      </c>
      <c r="N55" t="s">
        <v>630</v>
      </c>
    </row>
    <row r="58" spans="1:16" s="73" customFormat="1" x14ac:dyDescent="0.3">
      <c r="A58" s="192" t="s">
        <v>1525</v>
      </c>
      <c r="B58" s="192"/>
      <c r="C58" s="192"/>
      <c r="L58" s="84"/>
      <c r="N58" s="72"/>
      <c r="P58" s="63"/>
    </row>
    <row r="59" spans="1:16" x14ac:dyDescent="0.3">
      <c r="C59" s="191" t="s">
        <v>920</v>
      </c>
      <c r="D59" s="191"/>
      <c r="F59" s="191" t="s">
        <v>956</v>
      </c>
      <c r="G59" s="191"/>
      <c r="H59" s="13"/>
      <c r="I59" s="13"/>
      <c r="J59" s="13"/>
    </row>
    <row r="60" spans="1:16" x14ac:dyDescent="0.3">
      <c r="A60" s="15" t="s">
        <v>82</v>
      </c>
      <c r="B60" s="15" t="s">
        <v>1189</v>
      </c>
      <c r="C60" s="15" t="s">
        <v>372</v>
      </c>
      <c r="D60" s="15" t="s">
        <v>373</v>
      </c>
      <c r="E60" s="15"/>
      <c r="F60" s="15" t="s">
        <v>372</v>
      </c>
      <c r="G60" s="15" t="s">
        <v>373</v>
      </c>
      <c r="H60" s="15"/>
      <c r="I60" s="15"/>
      <c r="J60" s="15"/>
      <c r="K60" s="15"/>
      <c r="L60" s="15" t="s">
        <v>58</v>
      </c>
      <c r="M60" s="15" t="s">
        <v>375</v>
      </c>
      <c r="N60" s="15" t="s">
        <v>80</v>
      </c>
    </row>
    <row r="61" spans="1:16" x14ac:dyDescent="0.3">
      <c r="A61" t="s">
        <v>726</v>
      </c>
      <c r="C61">
        <v>608</v>
      </c>
      <c r="D61">
        <v>1615</v>
      </c>
      <c r="F61">
        <f t="shared" ref="F61:F79" si="5">C61/$C$4</f>
        <v>30.552763819095478</v>
      </c>
      <c r="G61">
        <f t="shared" ref="G61:G79" si="6">D61/$C$4</f>
        <v>81.155778894472363</v>
      </c>
      <c r="N61" t="str">
        <f>Sources!A55</f>
        <v>Hank2018</v>
      </c>
    </row>
    <row r="62" spans="1:16" x14ac:dyDescent="0.3">
      <c r="A62" t="s">
        <v>727</v>
      </c>
      <c r="C62">
        <v>816</v>
      </c>
      <c r="D62">
        <v>1969</v>
      </c>
      <c r="F62">
        <f t="shared" si="5"/>
        <v>41.005025125628144</v>
      </c>
      <c r="G62">
        <f t="shared" si="6"/>
        <v>98.944723618090464</v>
      </c>
      <c r="N62" t="str">
        <f>Sources!A55</f>
        <v>Hank2018</v>
      </c>
    </row>
    <row r="63" spans="1:16" x14ac:dyDescent="0.3">
      <c r="A63" t="s">
        <v>727</v>
      </c>
      <c r="C63">
        <v>1040</v>
      </c>
      <c r="D63">
        <v>1051</v>
      </c>
      <c r="F63">
        <f t="shared" si="5"/>
        <v>52.261306532663319</v>
      </c>
      <c r="G63">
        <f t="shared" si="6"/>
        <v>52.814070351758801</v>
      </c>
      <c r="N63" t="str">
        <f>Sources!A55</f>
        <v>Hank2018</v>
      </c>
    </row>
    <row r="64" spans="1:16" x14ac:dyDescent="0.3">
      <c r="A64" t="s">
        <v>727</v>
      </c>
      <c r="C64">
        <v>956</v>
      </c>
      <c r="D64">
        <v>967</v>
      </c>
      <c r="F64">
        <f t="shared" si="5"/>
        <v>48.040201005025132</v>
      </c>
      <c r="G64">
        <f t="shared" si="6"/>
        <v>48.592964824120607</v>
      </c>
      <c r="N64" t="str">
        <f>Sources!A55</f>
        <v>Hank2018</v>
      </c>
    </row>
    <row r="65" spans="1:14" x14ac:dyDescent="0.3">
      <c r="A65" t="s">
        <v>727</v>
      </c>
      <c r="C65">
        <v>258</v>
      </c>
      <c r="D65">
        <v>387</v>
      </c>
      <c r="F65">
        <f t="shared" si="5"/>
        <v>12.964824120603016</v>
      </c>
      <c r="G65">
        <f t="shared" si="6"/>
        <v>19.447236180904525</v>
      </c>
      <c r="L65" t="str">
        <f>Sources!A55</f>
        <v>Hank2018</v>
      </c>
      <c r="N65" t="str">
        <f>Sources!A92</f>
        <v>Specht1999</v>
      </c>
    </row>
    <row r="66" spans="1:14" x14ac:dyDescent="0.3">
      <c r="A66" t="s">
        <v>727</v>
      </c>
      <c r="C66">
        <v>529</v>
      </c>
      <c r="D66">
        <v>717</v>
      </c>
      <c r="F66">
        <f t="shared" si="5"/>
        <v>26.582914572864322</v>
      </c>
      <c r="G66">
        <f t="shared" si="6"/>
        <v>36.030150753768844</v>
      </c>
      <c r="L66" t="str">
        <f>Sources!A55</f>
        <v>Hank2018</v>
      </c>
      <c r="N66" t="str">
        <f>Sources!A91</f>
        <v>Specht1998</v>
      </c>
    </row>
    <row r="67" spans="1:14" x14ac:dyDescent="0.3">
      <c r="A67" t="s">
        <v>727</v>
      </c>
      <c r="C67">
        <v>498</v>
      </c>
      <c r="D67">
        <v>711</v>
      </c>
      <c r="F67">
        <f t="shared" si="5"/>
        <v>25.025125628140707</v>
      </c>
      <c r="G67">
        <f t="shared" si="6"/>
        <v>35.728643216080407</v>
      </c>
      <c r="L67" t="str">
        <f>Sources!A55</f>
        <v>Hank2018</v>
      </c>
      <c r="N67" t="str">
        <f>Sources!A89</f>
        <v>Mignard2003</v>
      </c>
    </row>
    <row r="68" spans="1:14" x14ac:dyDescent="0.3">
      <c r="A68" t="s">
        <v>727</v>
      </c>
      <c r="C68">
        <v>429</v>
      </c>
      <c r="D68">
        <v>613</v>
      </c>
      <c r="F68">
        <f t="shared" si="5"/>
        <v>21.557788944723619</v>
      </c>
      <c r="G68">
        <f t="shared" si="6"/>
        <v>30.804020100502516</v>
      </c>
      <c r="L68" t="str">
        <f>Sources!A55</f>
        <v>Hank2018</v>
      </c>
      <c r="N68" t="str">
        <f>Sources!A89</f>
        <v>Mignard2003</v>
      </c>
    </row>
    <row r="69" spans="1:14" x14ac:dyDescent="0.3">
      <c r="A69" t="s">
        <v>727</v>
      </c>
      <c r="C69">
        <v>555</v>
      </c>
      <c r="D69">
        <v>555</v>
      </c>
      <c r="F69">
        <f t="shared" si="5"/>
        <v>27.889447236180906</v>
      </c>
      <c r="G69">
        <f t="shared" si="6"/>
        <v>27.889447236180906</v>
      </c>
      <c r="L69" t="str">
        <f>Sources!A55</f>
        <v>Hank2018</v>
      </c>
      <c r="N69" t="str">
        <f>Sources!A90</f>
        <v>Clausen2010</v>
      </c>
    </row>
    <row r="70" spans="1:14" x14ac:dyDescent="0.3">
      <c r="A70" t="s">
        <v>727</v>
      </c>
      <c r="C70">
        <v>870</v>
      </c>
      <c r="D70">
        <v>913</v>
      </c>
      <c r="F70">
        <f t="shared" si="5"/>
        <v>43.718592964824126</v>
      </c>
      <c r="G70">
        <f t="shared" si="6"/>
        <v>45.879396984924625</v>
      </c>
      <c r="L70" t="str">
        <f>Sources!A55</f>
        <v>Hank2018</v>
      </c>
      <c r="N70" t="str">
        <f>Sources!A59</f>
        <v>Konstantinos2016</v>
      </c>
    </row>
    <row r="71" spans="1:14" x14ac:dyDescent="0.3">
      <c r="A71" t="s">
        <v>727</v>
      </c>
      <c r="C71">
        <v>324</v>
      </c>
      <c r="D71">
        <v>781</v>
      </c>
      <c r="F71">
        <f t="shared" si="5"/>
        <v>16.281407035175882</v>
      </c>
      <c r="G71">
        <f t="shared" si="6"/>
        <v>39.246231155778901</v>
      </c>
      <c r="L71" t="str">
        <f>Sources!A55</f>
        <v>Hank2018</v>
      </c>
      <c r="N71" t="str">
        <f>Sources!A93</f>
        <v>Matzen2015</v>
      </c>
    </row>
    <row r="72" spans="1:14" x14ac:dyDescent="0.3">
      <c r="A72" t="s">
        <v>727</v>
      </c>
      <c r="C72">
        <v>389</v>
      </c>
      <c r="D72">
        <v>938</v>
      </c>
      <c r="F72">
        <f t="shared" si="5"/>
        <v>19.547738693467338</v>
      </c>
      <c r="G72">
        <f t="shared" si="6"/>
        <v>47.1356783919598</v>
      </c>
      <c r="L72" t="str">
        <f>Sources!A55</f>
        <v>Hank2018</v>
      </c>
      <c r="N72" t="str">
        <f>Sources!A93</f>
        <v>Matzen2015</v>
      </c>
    </row>
    <row r="73" spans="1:14" x14ac:dyDescent="0.3">
      <c r="A73" t="s">
        <v>727</v>
      </c>
      <c r="C73">
        <v>724</v>
      </c>
      <c r="D73">
        <v>724</v>
      </c>
      <c r="F73">
        <f t="shared" si="5"/>
        <v>36.381909547738694</v>
      </c>
      <c r="G73">
        <f t="shared" si="6"/>
        <v>36.381909547738694</v>
      </c>
      <c r="L73" t="str">
        <f>Sources!A55</f>
        <v>Hank2018</v>
      </c>
      <c r="N73" t="str">
        <f>Sources!A57</f>
        <v>Peres-Fortes2016</v>
      </c>
    </row>
    <row r="74" spans="1:14" x14ac:dyDescent="0.3">
      <c r="A74" t="s">
        <v>1156</v>
      </c>
      <c r="B74">
        <v>2015</v>
      </c>
      <c r="C74">
        <v>980</v>
      </c>
      <c r="D74">
        <v>980</v>
      </c>
      <c r="F74">
        <f t="shared" si="5"/>
        <v>49.246231155778901</v>
      </c>
      <c r="G74">
        <f t="shared" si="6"/>
        <v>49.246231155778901</v>
      </c>
      <c r="L74" t="str">
        <f>Sources!A55</f>
        <v>Hank2018</v>
      </c>
      <c r="N74" t="str">
        <f>Sources!A88</f>
        <v>Tremel2015</v>
      </c>
    </row>
    <row r="75" spans="1:14" x14ac:dyDescent="0.3">
      <c r="A75" t="s">
        <v>727</v>
      </c>
      <c r="B75">
        <v>2050</v>
      </c>
      <c r="C75">
        <v>450</v>
      </c>
      <c r="D75">
        <v>484</v>
      </c>
      <c r="F75">
        <f t="shared" si="5"/>
        <v>22.613065326633169</v>
      </c>
      <c r="G75">
        <f t="shared" si="6"/>
        <v>24.321608040201006</v>
      </c>
      <c r="L75" t="str">
        <f>Sources!A55</f>
        <v>Hank2018</v>
      </c>
      <c r="N75" t="str">
        <f>Sources!A94</f>
        <v>Varone2015</v>
      </c>
    </row>
    <row r="76" spans="1:14" x14ac:dyDescent="0.3">
      <c r="A76" t="s">
        <v>728</v>
      </c>
      <c r="C76">
        <v>5459</v>
      </c>
      <c r="D76">
        <v>5459</v>
      </c>
      <c r="F76">
        <f t="shared" si="5"/>
        <v>274.321608040201</v>
      </c>
      <c r="G76">
        <f t="shared" si="6"/>
        <v>274.321608040201</v>
      </c>
      <c r="L76" t="str">
        <f>Sources!A55</f>
        <v>Hank2018</v>
      </c>
      <c r="N76" t="str">
        <f>Sources!A95</f>
        <v>Rivera-Tinoco2016</v>
      </c>
    </row>
    <row r="77" spans="1:14" x14ac:dyDescent="0.3">
      <c r="A77" t="s">
        <v>729</v>
      </c>
      <c r="C77">
        <v>891</v>
      </c>
      <c r="D77">
        <v>891</v>
      </c>
      <c r="F77">
        <f t="shared" si="5"/>
        <v>44.773869346733669</v>
      </c>
      <c r="G77">
        <f t="shared" si="6"/>
        <v>44.773869346733669</v>
      </c>
      <c r="L77" t="str">
        <f>Sources!A55</f>
        <v>Hank2018</v>
      </c>
      <c r="N77" t="str">
        <f>Sources!A95</f>
        <v>Rivera-Tinoco2016</v>
      </c>
    </row>
    <row r="78" spans="1:14" x14ac:dyDescent="0.3">
      <c r="A78" t="s">
        <v>727</v>
      </c>
      <c r="C78">
        <v>400</v>
      </c>
      <c r="D78">
        <v>2775</v>
      </c>
      <c r="F78">
        <f t="shared" si="5"/>
        <v>20.100502512562816</v>
      </c>
      <c r="G78">
        <f t="shared" si="6"/>
        <v>139.44723618090453</v>
      </c>
      <c r="L78" t="str">
        <f>Sources!A55</f>
        <v>Hank2018</v>
      </c>
      <c r="N78" t="str">
        <f>Sources!A96</f>
        <v>Bertau2016</v>
      </c>
    </row>
    <row r="79" spans="1:14" x14ac:dyDescent="0.3">
      <c r="A79" t="s">
        <v>1132</v>
      </c>
      <c r="B79">
        <v>2016</v>
      </c>
      <c r="C79" s="4">
        <f>170*F4</f>
        <v>939.72222222222217</v>
      </c>
      <c r="D79" s="4">
        <f>170*F4</f>
        <v>939.72222222222217</v>
      </c>
      <c r="F79">
        <f t="shared" si="5"/>
        <v>47.222222222222221</v>
      </c>
      <c r="G79">
        <f t="shared" si="6"/>
        <v>47.222222222222221</v>
      </c>
      <c r="L79" t="str">
        <f>Sources!A65</f>
        <v>Brynolf2018</v>
      </c>
      <c r="N79" t="str">
        <f>Sources!A59</f>
        <v>Konstantinos2016</v>
      </c>
    </row>
    <row r="80" spans="1:14" x14ac:dyDescent="0.3">
      <c r="A80" t="s">
        <v>1133</v>
      </c>
      <c r="B80">
        <v>2020</v>
      </c>
      <c r="C80">
        <f t="shared" ref="C80:C88" si="7">F80*$C$4</f>
        <v>378.09999999999997</v>
      </c>
      <c r="D80">
        <f t="shared" ref="D80:D88" si="8">G80*$C$4</f>
        <v>378.09999999999997</v>
      </c>
      <c r="F80">
        <v>19</v>
      </c>
      <c r="G80">
        <v>19</v>
      </c>
      <c r="N80" t="str">
        <f>Sources!A82</f>
        <v>Connolly2014</v>
      </c>
    </row>
    <row r="81" spans="1:16" x14ac:dyDescent="0.3">
      <c r="A81" t="s">
        <v>1134</v>
      </c>
      <c r="B81">
        <v>2020</v>
      </c>
      <c r="C81">
        <f t="shared" si="7"/>
        <v>656.69999999999993</v>
      </c>
      <c r="D81">
        <f t="shared" si="8"/>
        <v>656.69999999999993</v>
      </c>
      <c r="F81">
        <v>33</v>
      </c>
      <c r="G81">
        <v>33</v>
      </c>
      <c r="N81" t="str">
        <f>Sources!A82</f>
        <v>Connolly2014</v>
      </c>
    </row>
    <row r="82" spans="1:16" x14ac:dyDescent="0.3">
      <c r="A82" t="s">
        <v>1135</v>
      </c>
      <c r="B82">
        <v>2020</v>
      </c>
      <c r="C82">
        <f t="shared" si="7"/>
        <v>656.69999999999993</v>
      </c>
      <c r="D82">
        <f t="shared" si="8"/>
        <v>656.69999999999993</v>
      </c>
      <c r="F82">
        <v>33</v>
      </c>
      <c r="G82">
        <v>33</v>
      </c>
      <c r="N82" t="str">
        <f>Sources!A82</f>
        <v>Connolly2014</v>
      </c>
    </row>
    <row r="83" spans="1:16" x14ac:dyDescent="0.3">
      <c r="A83" t="s">
        <v>1136</v>
      </c>
      <c r="B83">
        <v>2050</v>
      </c>
      <c r="C83">
        <f t="shared" si="7"/>
        <v>338.29999999999995</v>
      </c>
      <c r="D83">
        <f t="shared" si="8"/>
        <v>338.29999999999995</v>
      </c>
      <c r="F83">
        <v>17</v>
      </c>
      <c r="G83">
        <v>17</v>
      </c>
      <c r="N83" t="str">
        <f>Sources!A82</f>
        <v>Connolly2014</v>
      </c>
    </row>
    <row r="84" spans="1:16" x14ac:dyDescent="0.3">
      <c r="A84" t="s">
        <v>1137</v>
      </c>
      <c r="B84">
        <v>2050</v>
      </c>
      <c r="C84">
        <f t="shared" si="7"/>
        <v>497.49999999999994</v>
      </c>
      <c r="D84">
        <f t="shared" si="8"/>
        <v>497.49999999999994</v>
      </c>
      <c r="F84">
        <v>25</v>
      </c>
      <c r="G84">
        <v>25</v>
      </c>
      <c r="N84" t="str">
        <f>Sources!A82</f>
        <v>Connolly2014</v>
      </c>
    </row>
    <row r="85" spans="1:16" x14ac:dyDescent="0.3">
      <c r="A85" t="s">
        <v>1138</v>
      </c>
      <c r="B85">
        <v>2050</v>
      </c>
      <c r="C85">
        <f t="shared" si="7"/>
        <v>497.49999999999994</v>
      </c>
      <c r="D85">
        <f t="shared" si="8"/>
        <v>497.49999999999994</v>
      </c>
      <c r="F85">
        <v>25</v>
      </c>
      <c r="G85">
        <v>25</v>
      </c>
      <c r="N85" t="str">
        <f>Sources!A82</f>
        <v>Connolly2014</v>
      </c>
    </row>
    <row r="86" spans="1:16" x14ac:dyDescent="0.3">
      <c r="A86" t="s">
        <v>1149</v>
      </c>
      <c r="B86">
        <v>2015</v>
      </c>
      <c r="C86">
        <f t="shared" si="7"/>
        <v>417.9</v>
      </c>
      <c r="D86">
        <f t="shared" si="8"/>
        <v>417.9</v>
      </c>
      <c r="F86">
        <v>21</v>
      </c>
      <c r="G86">
        <v>21</v>
      </c>
      <c r="N86" t="str">
        <f>Sources!A67</f>
        <v>Hannula2015</v>
      </c>
    </row>
    <row r="87" spans="1:16" x14ac:dyDescent="0.3">
      <c r="A87" t="s">
        <v>1150</v>
      </c>
      <c r="B87">
        <v>2015</v>
      </c>
      <c r="C87">
        <f t="shared" si="7"/>
        <v>477.59999999999997</v>
      </c>
      <c r="D87">
        <f t="shared" si="8"/>
        <v>477.59999999999997</v>
      </c>
      <c r="F87">
        <v>24</v>
      </c>
      <c r="G87">
        <v>24</v>
      </c>
      <c r="N87" t="str">
        <f>Sources!A67</f>
        <v>Hannula2015</v>
      </c>
    </row>
    <row r="88" spans="1:16" x14ac:dyDescent="0.3">
      <c r="A88" t="s">
        <v>1151</v>
      </c>
      <c r="B88">
        <v>2015</v>
      </c>
      <c r="C88">
        <f t="shared" si="7"/>
        <v>796</v>
      </c>
      <c r="D88">
        <f t="shared" si="8"/>
        <v>796</v>
      </c>
      <c r="F88">
        <v>40</v>
      </c>
      <c r="G88">
        <v>40</v>
      </c>
      <c r="N88" t="str">
        <f>Sources!A67</f>
        <v>Hannula2015</v>
      </c>
    </row>
    <row r="89" spans="1:16" x14ac:dyDescent="0.3">
      <c r="A89" t="s">
        <v>1153</v>
      </c>
      <c r="C89">
        <v>723.6</v>
      </c>
      <c r="D89">
        <v>723.6</v>
      </c>
      <c r="F89" s="135">
        <f>C89/$C$4</f>
        <v>36.361809045226131</v>
      </c>
      <c r="G89" s="135">
        <f>D89/$C$4</f>
        <v>36.361809045226131</v>
      </c>
      <c r="H89" s="135"/>
      <c r="I89" s="135"/>
      <c r="J89" s="135"/>
      <c r="N89" t="str">
        <f>Sources!A57</f>
        <v>Peres-Fortes2016</v>
      </c>
    </row>
    <row r="90" spans="1:16" x14ac:dyDescent="0.3">
      <c r="A90" t="s">
        <v>1533</v>
      </c>
      <c r="B90">
        <v>2020</v>
      </c>
      <c r="C90">
        <v>800</v>
      </c>
      <c r="D90">
        <v>800</v>
      </c>
      <c r="F90" s="135"/>
      <c r="G90" s="135"/>
      <c r="H90" s="135"/>
      <c r="I90" s="135"/>
      <c r="J90" s="135"/>
      <c r="L90" t="str">
        <f>Sources!A109</f>
        <v>Bos2020</v>
      </c>
    </row>
    <row r="92" spans="1:16" s="73" customFormat="1" x14ac:dyDescent="0.3">
      <c r="A92" s="192" t="s">
        <v>1526</v>
      </c>
      <c r="B92" s="192"/>
      <c r="C92" s="192"/>
      <c r="L92" s="84"/>
      <c r="N92" s="72"/>
      <c r="P92" s="63"/>
    </row>
    <row r="93" spans="1:16" x14ac:dyDescent="0.3">
      <c r="C93" s="191" t="s">
        <v>920</v>
      </c>
      <c r="D93" s="191"/>
      <c r="F93" s="191" t="s">
        <v>956</v>
      </c>
      <c r="G93" s="191"/>
      <c r="H93" s="13"/>
      <c r="I93" s="13"/>
      <c r="J93" s="13"/>
    </row>
    <row r="94" spans="1:16" x14ac:dyDescent="0.3">
      <c r="A94" s="15" t="s">
        <v>82</v>
      </c>
      <c r="B94" s="15" t="s">
        <v>1189</v>
      </c>
      <c r="C94" s="15" t="s">
        <v>372</v>
      </c>
      <c r="D94" s="15" t="s">
        <v>373</v>
      </c>
      <c r="E94" s="15"/>
      <c r="F94" s="15" t="s">
        <v>372</v>
      </c>
      <c r="G94" s="15" t="s">
        <v>373</v>
      </c>
      <c r="H94" s="15"/>
      <c r="I94" s="15"/>
      <c r="J94" s="15"/>
      <c r="K94" s="15"/>
      <c r="L94" s="15" t="s">
        <v>58</v>
      </c>
      <c r="M94" s="15" t="s">
        <v>375</v>
      </c>
      <c r="N94" s="15" t="s">
        <v>80</v>
      </c>
    </row>
    <row r="95" spans="1:16" x14ac:dyDescent="0.3">
      <c r="A95" t="s">
        <v>1527</v>
      </c>
      <c r="B95">
        <v>2020</v>
      </c>
      <c r="C95">
        <v>300</v>
      </c>
      <c r="D95">
        <v>300</v>
      </c>
      <c r="F95" s="126">
        <f>C95/$C$4</f>
        <v>15.075376884422111</v>
      </c>
      <c r="G95" s="126">
        <f>D95/$C$4</f>
        <v>15.075376884422111</v>
      </c>
    </row>
    <row r="96" spans="1:16" x14ac:dyDescent="0.3">
      <c r="A96" s="15"/>
      <c r="B96" s="15"/>
      <c r="C96" s="15"/>
      <c r="D96" s="15"/>
      <c r="E96" s="15"/>
      <c r="F96" s="15"/>
      <c r="G96" s="15"/>
      <c r="H96" s="15"/>
      <c r="I96" s="15"/>
      <c r="J96" s="15"/>
      <c r="K96" s="15"/>
      <c r="L96" s="15"/>
      <c r="M96" s="15"/>
      <c r="N96" s="15"/>
    </row>
    <row r="97" spans="1:16" x14ac:dyDescent="0.3">
      <c r="A97" s="15"/>
      <c r="B97" s="15"/>
      <c r="C97" s="15"/>
      <c r="D97" s="15"/>
      <c r="E97" s="15"/>
      <c r="F97" s="15"/>
      <c r="G97" s="15"/>
      <c r="H97" s="15"/>
      <c r="I97" s="15"/>
      <c r="J97" s="15"/>
      <c r="K97" s="15"/>
      <c r="L97" s="15"/>
      <c r="M97" s="15"/>
      <c r="N97" s="15"/>
    </row>
    <row r="98" spans="1:16" s="73" customFormat="1" x14ac:dyDescent="0.3">
      <c r="A98" s="192" t="s">
        <v>1159</v>
      </c>
      <c r="B98" s="192"/>
      <c r="C98" s="192"/>
      <c r="L98" s="84"/>
      <c r="N98" s="72"/>
      <c r="P98" s="63"/>
    </row>
    <row r="99" spans="1:16" x14ac:dyDescent="0.3">
      <c r="C99" s="191" t="s">
        <v>920</v>
      </c>
      <c r="D99" s="191"/>
      <c r="F99" s="191" t="s">
        <v>956</v>
      </c>
      <c r="G99" s="191"/>
      <c r="H99" s="13"/>
      <c r="I99" s="13"/>
      <c r="J99" s="13"/>
    </row>
    <row r="100" spans="1:16" x14ac:dyDescent="0.3">
      <c r="A100" s="15" t="s">
        <v>82</v>
      </c>
      <c r="B100" s="15" t="s">
        <v>1189</v>
      </c>
      <c r="C100" s="15" t="s">
        <v>372</v>
      </c>
      <c r="D100" s="15" t="s">
        <v>373</v>
      </c>
      <c r="E100" s="15"/>
      <c r="F100" s="15" t="s">
        <v>372</v>
      </c>
      <c r="G100" s="15" t="s">
        <v>373</v>
      </c>
      <c r="H100" s="15"/>
      <c r="I100" s="15"/>
      <c r="J100" s="15"/>
      <c r="K100" s="15"/>
      <c r="L100" s="15" t="s">
        <v>58</v>
      </c>
      <c r="M100" s="15" t="s">
        <v>375</v>
      </c>
      <c r="N100" s="15" t="s">
        <v>80</v>
      </c>
    </row>
    <row r="102" spans="1:16" x14ac:dyDescent="0.3">
      <c r="A102" t="s">
        <v>1139</v>
      </c>
      <c r="B102">
        <v>2020</v>
      </c>
      <c r="F102">
        <v>21</v>
      </c>
      <c r="G102">
        <v>21</v>
      </c>
      <c r="L102" t="str">
        <f>Sources!A82</f>
        <v>Connolly2014</v>
      </c>
    </row>
    <row r="103" spans="1:16" x14ac:dyDescent="0.3">
      <c r="A103" t="s">
        <v>1140</v>
      </c>
      <c r="B103">
        <v>2020</v>
      </c>
      <c r="F103">
        <v>21</v>
      </c>
      <c r="G103">
        <v>21</v>
      </c>
      <c r="L103" t="str">
        <f>Sources!A82</f>
        <v>Connolly2014</v>
      </c>
    </row>
    <row r="104" spans="1:16" x14ac:dyDescent="0.3">
      <c r="A104" t="s">
        <v>1141</v>
      </c>
      <c r="B104">
        <v>2020</v>
      </c>
      <c r="F104">
        <v>31</v>
      </c>
      <c r="G104">
        <v>31</v>
      </c>
      <c r="L104" t="str">
        <f>Sources!A82</f>
        <v>Connolly2014</v>
      </c>
    </row>
    <row r="105" spans="1:16" x14ac:dyDescent="0.3">
      <c r="A105" t="s">
        <v>1142</v>
      </c>
      <c r="B105">
        <v>2020</v>
      </c>
      <c r="F105">
        <v>31</v>
      </c>
      <c r="G105">
        <v>31</v>
      </c>
      <c r="L105" t="str">
        <f>Sources!A82</f>
        <v>Connolly2014</v>
      </c>
    </row>
    <row r="106" spans="1:16" x14ac:dyDescent="0.3">
      <c r="A106" t="s">
        <v>1145</v>
      </c>
      <c r="B106">
        <v>2050</v>
      </c>
      <c r="F106">
        <v>17</v>
      </c>
      <c r="G106">
        <v>17</v>
      </c>
      <c r="L106" t="str">
        <f>Sources!A82</f>
        <v>Connolly2014</v>
      </c>
    </row>
    <row r="107" spans="1:16" x14ac:dyDescent="0.3">
      <c r="A107" t="s">
        <v>1146</v>
      </c>
      <c r="B107">
        <v>2050</v>
      </c>
      <c r="F107">
        <v>18</v>
      </c>
      <c r="G107">
        <v>18</v>
      </c>
      <c r="L107" t="str">
        <f>Sources!A82</f>
        <v>Connolly2014</v>
      </c>
    </row>
    <row r="108" spans="1:16" x14ac:dyDescent="0.3">
      <c r="A108" t="s">
        <v>1147</v>
      </c>
      <c r="B108">
        <v>2050</v>
      </c>
      <c r="F108">
        <v>23</v>
      </c>
      <c r="G108">
        <v>23</v>
      </c>
      <c r="L108" t="str">
        <f>Sources!A82</f>
        <v>Connolly2014</v>
      </c>
    </row>
    <row r="109" spans="1:16" x14ac:dyDescent="0.3">
      <c r="A109" t="s">
        <v>1148</v>
      </c>
      <c r="B109">
        <v>2050</v>
      </c>
      <c r="F109">
        <v>23</v>
      </c>
      <c r="G109">
        <v>23</v>
      </c>
      <c r="L109" t="str">
        <f>Sources!A82</f>
        <v>Connolly2014</v>
      </c>
    </row>
    <row r="110" spans="1:16" x14ac:dyDescent="0.3">
      <c r="A110" t="s">
        <v>1149</v>
      </c>
      <c r="B110">
        <v>2015</v>
      </c>
      <c r="F110">
        <v>18</v>
      </c>
      <c r="G110">
        <v>18</v>
      </c>
      <c r="L110" t="str">
        <f>Sources!A67</f>
        <v>Hannula2015</v>
      </c>
    </row>
    <row r="111" spans="1:16" x14ac:dyDescent="0.3">
      <c r="A111" t="s">
        <v>1150</v>
      </c>
      <c r="B111">
        <v>2015</v>
      </c>
      <c r="F111">
        <v>23</v>
      </c>
      <c r="G111">
        <v>23</v>
      </c>
      <c r="L111" t="str">
        <f>Sources!A67</f>
        <v>Hannula2015</v>
      </c>
    </row>
    <row r="112" spans="1:16" x14ac:dyDescent="0.3">
      <c r="A112" t="s">
        <v>1151</v>
      </c>
      <c r="B112">
        <v>2015</v>
      </c>
      <c r="F112">
        <v>37</v>
      </c>
      <c r="G112">
        <v>37</v>
      </c>
      <c r="L112" t="str">
        <f>Sources!A67</f>
        <v>Hannula2015</v>
      </c>
    </row>
    <row r="113" spans="1:16" x14ac:dyDescent="0.3">
      <c r="A113" t="s">
        <v>1164</v>
      </c>
      <c r="B113">
        <v>2015</v>
      </c>
      <c r="C113">
        <v>2210</v>
      </c>
      <c r="D113">
        <v>2210</v>
      </c>
      <c r="L113" t="str">
        <f>Sources!A88</f>
        <v>Tremel2015</v>
      </c>
    </row>
    <row r="115" spans="1:16" s="73" customFormat="1" x14ac:dyDescent="0.3">
      <c r="A115" s="192" t="s">
        <v>1152</v>
      </c>
      <c r="B115" s="192"/>
      <c r="C115" s="192"/>
      <c r="L115" s="84"/>
      <c r="N115" s="72"/>
      <c r="P115" s="63"/>
    </row>
    <row r="116" spans="1:16" x14ac:dyDescent="0.3">
      <c r="C116" s="191" t="s">
        <v>920</v>
      </c>
      <c r="D116" s="191"/>
      <c r="F116" s="191" t="s">
        <v>956</v>
      </c>
      <c r="G116" s="191"/>
      <c r="H116" s="13"/>
      <c r="I116" s="13"/>
      <c r="J116" s="13"/>
    </row>
    <row r="117" spans="1:16" x14ac:dyDescent="0.3">
      <c r="A117" s="15" t="s">
        <v>82</v>
      </c>
      <c r="B117" s="15" t="s">
        <v>1189</v>
      </c>
      <c r="C117" s="15" t="s">
        <v>372</v>
      </c>
      <c r="D117" s="15" t="s">
        <v>373</v>
      </c>
      <c r="E117" s="15"/>
      <c r="F117" s="15" t="s">
        <v>372</v>
      </c>
      <c r="G117" s="15" t="s">
        <v>373</v>
      </c>
      <c r="H117" s="15"/>
      <c r="I117" s="15"/>
      <c r="J117" s="15"/>
      <c r="K117" s="15"/>
      <c r="L117" s="15" t="s">
        <v>58</v>
      </c>
      <c r="M117" s="15" t="s">
        <v>375</v>
      </c>
      <c r="N117" s="15" t="s">
        <v>80</v>
      </c>
    </row>
    <row r="119" spans="1:16" x14ac:dyDescent="0.3">
      <c r="A119" t="s">
        <v>1149</v>
      </c>
      <c r="B119">
        <v>2015</v>
      </c>
      <c r="F119">
        <v>23</v>
      </c>
      <c r="G119">
        <v>23</v>
      </c>
      <c r="L119" t="str">
        <f>Sources!A67</f>
        <v>Hannula2015</v>
      </c>
    </row>
    <row r="120" spans="1:16" x14ac:dyDescent="0.3">
      <c r="A120" t="s">
        <v>1150</v>
      </c>
      <c r="B120">
        <v>2015</v>
      </c>
      <c r="F120">
        <v>28</v>
      </c>
      <c r="G120">
        <v>28</v>
      </c>
      <c r="L120" t="str">
        <f>Sources!A67</f>
        <v>Hannula2015</v>
      </c>
    </row>
    <row r="121" spans="1:16" x14ac:dyDescent="0.3">
      <c r="A121" t="s">
        <v>1151</v>
      </c>
      <c r="B121">
        <v>2015</v>
      </c>
      <c r="F121">
        <v>48</v>
      </c>
      <c r="G121">
        <v>48</v>
      </c>
      <c r="L121" t="str">
        <f>Sources!A67</f>
        <v>Hannula2015</v>
      </c>
    </row>
    <row r="123" spans="1:16" s="73" customFormat="1" x14ac:dyDescent="0.3">
      <c r="A123" s="192" t="s">
        <v>1157</v>
      </c>
      <c r="B123" s="192"/>
      <c r="C123" s="192"/>
      <c r="L123" s="84"/>
      <c r="N123" s="72"/>
      <c r="P123" s="63"/>
    </row>
    <row r="124" spans="1:16" x14ac:dyDescent="0.3">
      <c r="C124" s="191" t="s">
        <v>920</v>
      </c>
      <c r="D124" s="191"/>
      <c r="F124" s="191" t="s">
        <v>956</v>
      </c>
      <c r="G124" s="191"/>
      <c r="H124" s="13"/>
      <c r="I124" s="13"/>
      <c r="J124" s="13"/>
    </row>
    <row r="125" spans="1:16" x14ac:dyDescent="0.3">
      <c r="A125" s="15" t="s">
        <v>82</v>
      </c>
      <c r="B125" s="15" t="s">
        <v>1189</v>
      </c>
      <c r="C125" s="15" t="s">
        <v>372</v>
      </c>
      <c r="D125" s="15" t="s">
        <v>373</v>
      </c>
      <c r="E125" s="15"/>
      <c r="F125" s="15" t="s">
        <v>372</v>
      </c>
      <c r="G125" s="15" t="s">
        <v>373</v>
      </c>
      <c r="H125" s="15"/>
      <c r="I125" s="15"/>
      <c r="J125" s="15"/>
      <c r="K125" s="15"/>
      <c r="L125" s="15" t="s">
        <v>58</v>
      </c>
      <c r="M125" s="15" t="s">
        <v>375</v>
      </c>
      <c r="N125" s="15" t="s">
        <v>80</v>
      </c>
    </row>
    <row r="126" spans="1:16" x14ac:dyDescent="0.3">
      <c r="A126" t="s">
        <v>1161</v>
      </c>
      <c r="B126">
        <v>2015</v>
      </c>
      <c r="C126">
        <v>2340</v>
      </c>
      <c r="D126">
        <v>2340</v>
      </c>
      <c r="L126" t="str">
        <f>Sources!A88</f>
        <v>Tremel2015</v>
      </c>
    </row>
    <row r="127" spans="1:16" x14ac:dyDescent="0.3">
      <c r="A127" t="s">
        <v>1201</v>
      </c>
      <c r="B127">
        <v>2016</v>
      </c>
      <c r="F127">
        <v>39</v>
      </c>
      <c r="G127">
        <v>58</v>
      </c>
      <c r="L127" t="str">
        <f>Sources!A97</f>
        <v>Hailey2016</v>
      </c>
    </row>
    <row r="130" spans="1:16" s="73" customFormat="1" x14ac:dyDescent="0.3">
      <c r="A130" s="192" t="s">
        <v>1158</v>
      </c>
      <c r="B130" s="192"/>
      <c r="C130" s="192"/>
      <c r="L130" s="84"/>
      <c r="N130" s="72"/>
      <c r="P130" s="63"/>
    </row>
    <row r="131" spans="1:16" x14ac:dyDescent="0.3">
      <c r="C131" s="191" t="s">
        <v>920</v>
      </c>
      <c r="D131" s="191"/>
      <c r="F131" s="191" t="s">
        <v>956</v>
      </c>
      <c r="G131" s="191"/>
      <c r="H131" s="13"/>
      <c r="I131" s="13"/>
      <c r="J131" s="13"/>
    </row>
    <row r="132" spans="1:16" x14ac:dyDescent="0.3">
      <c r="A132" s="15" t="s">
        <v>82</v>
      </c>
      <c r="B132" s="15" t="s">
        <v>1189</v>
      </c>
      <c r="C132" s="15" t="s">
        <v>372</v>
      </c>
      <c r="D132" s="15" t="s">
        <v>373</v>
      </c>
      <c r="E132" s="15"/>
      <c r="F132" s="15" t="s">
        <v>372</v>
      </c>
      <c r="G132" s="15" t="s">
        <v>373</v>
      </c>
      <c r="H132" s="15"/>
      <c r="I132" s="15"/>
      <c r="J132" s="15"/>
      <c r="K132" s="15"/>
      <c r="L132" s="15" t="s">
        <v>58</v>
      </c>
      <c r="M132" s="15" t="s">
        <v>375</v>
      </c>
      <c r="N132" s="15" t="s">
        <v>80</v>
      </c>
    </row>
    <row r="133" spans="1:16" x14ac:dyDescent="0.3">
      <c r="A133" t="s">
        <v>1162</v>
      </c>
      <c r="B133">
        <v>2015</v>
      </c>
      <c r="C133">
        <v>2010</v>
      </c>
      <c r="D133">
        <v>2010</v>
      </c>
      <c r="L133" t="str">
        <f>Sources!A88</f>
        <v>Tremel2015</v>
      </c>
    </row>
    <row r="136" spans="1:16" s="73" customFormat="1" x14ac:dyDescent="0.3">
      <c r="A136" s="192" t="s">
        <v>1160</v>
      </c>
      <c r="B136" s="192"/>
      <c r="C136" s="192"/>
      <c r="L136" s="84"/>
      <c r="N136" s="72"/>
      <c r="P136" s="63"/>
    </row>
    <row r="137" spans="1:16" x14ac:dyDescent="0.3">
      <c r="C137" s="191" t="s">
        <v>920</v>
      </c>
      <c r="D137" s="191"/>
      <c r="F137" s="191" t="s">
        <v>956</v>
      </c>
      <c r="G137" s="191"/>
      <c r="H137" s="13"/>
      <c r="I137" s="13"/>
      <c r="J137" s="13"/>
    </row>
    <row r="138" spans="1:16" x14ac:dyDescent="0.3">
      <c r="A138" s="15" t="s">
        <v>82</v>
      </c>
      <c r="B138" s="15" t="s">
        <v>1189</v>
      </c>
      <c r="C138" s="15" t="s">
        <v>372</v>
      </c>
      <c r="D138" s="15" t="s">
        <v>373</v>
      </c>
      <c r="E138" s="15"/>
      <c r="F138" s="15" t="s">
        <v>372</v>
      </c>
      <c r="G138" s="15" t="s">
        <v>373</v>
      </c>
      <c r="H138" s="15"/>
      <c r="I138" s="15"/>
      <c r="J138" s="15"/>
      <c r="K138" s="15"/>
      <c r="L138" s="15" t="s">
        <v>58</v>
      </c>
      <c r="M138" s="15" t="s">
        <v>375</v>
      </c>
      <c r="N138" s="15" t="s">
        <v>80</v>
      </c>
    </row>
    <row r="139" spans="1:16" x14ac:dyDescent="0.3">
      <c r="A139" t="s">
        <v>1163</v>
      </c>
      <c r="B139">
        <v>2015</v>
      </c>
      <c r="C139">
        <v>1390</v>
      </c>
      <c r="D139">
        <v>1390</v>
      </c>
      <c r="L139" t="str">
        <f>Sources!A88</f>
        <v>Tremel2015</v>
      </c>
    </row>
  </sheetData>
  <mergeCells count="34">
    <mergeCell ref="A1:C1"/>
    <mergeCell ref="A115:C115"/>
    <mergeCell ref="A11:C11"/>
    <mergeCell ref="C12:D12"/>
    <mergeCell ref="F12:G12"/>
    <mergeCell ref="A36:C36"/>
    <mergeCell ref="C37:D37"/>
    <mergeCell ref="F37:G37"/>
    <mergeCell ref="C59:D59"/>
    <mergeCell ref="F59:G59"/>
    <mergeCell ref="A17:C17"/>
    <mergeCell ref="A44:C44"/>
    <mergeCell ref="A58:C58"/>
    <mergeCell ref="C18:D18"/>
    <mergeCell ref="C116:D116"/>
    <mergeCell ref="F116:G116"/>
    <mergeCell ref="A123:C123"/>
    <mergeCell ref="C99:D99"/>
    <mergeCell ref="F99:G99"/>
    <mergeCell ref="A136:C136"/>
    <mergeCell ref="C137:D137"/>
    <mergeCell ref="F137:G137"/>
    <mergeCell ref="C124:D124"/>
    <mergeCell ref="F124:G124"/>
    <mergeCell ref="A130:C130"/>
    <mergeCell ref="C131:D131"/>
    <mergeCell ref="F131:G131"/>
    <mergeCell ref="I18:J18"/>
    <mergeCell ref="A92:C92"/>
    <mergeCell ref="F18:G18"/>
    <mergeCell ref="A98:C98"/>
    <mergeCell ref="I12:J12"/>
    <mergeCell ref="C93:D93"/>
    <mergeCell ref="F93:G93"/>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49"/>
  <sheetViews>
    <sheetView workbookViewId="0">
      <selection activeCell="E20" sqref="E20"/>
    </sheetView>
  </sheetViews>
  <sheetFormatPr defaultColWidth="8.77734375" defaultRowHeight="14.4" x14ac:dyDescent="0.3"/>
  <cols>
    <col min="1" max="1" width="25.21875" customWidth="1"/>
    <col min="2" max="2" width="11.77734375" style="17" customWidth="1"/>
    <col min="3" max="3" width="10.21875" style="13" customWidth="1"/>
    <col min="4" max="4" width="8.6640625" style="175" customWidth="1"/>
    <col min="5" max="5" width="9.5546875" style="175" customWidth="1"/>
    <col min="6" max="6" width="8.88671875" style="175" customWidth="1"/>
    <col min="7" max="7" width="7.21875" style="13" customWidth="1"/>
    <col min="8" max="8" width="8.77734375" style="13"/>
    <col min="9" max="9" width="9.21875" style="13" customWidth="1"/>
    <col min="10" max="10" width="6.6640625" style="13" customWidth="1"/>
    <col min="11" max="11" width="12" style="13" customWidth="1"/>
    <col min="12" max="12" width="7.77734375" style="13" customWidth="1"/>
    <col min="13" max="13" width="10.33203125" style="13" customWidth="1"/>
    <col min="14" max="14" width="11.77734375" style="13" customWidth="1"/>
    <col min="15" max="15" width="10.44140625" style="13" customWidth="1"/>
    <col min="16" max="17" width="10.77734375" style="13" customWidth="1"/>
    <col min="18" max="21" width="8.77734375" style="13" customWidth="1"/>
    <col min="22" max="22" width="6.6640625" style="13" customWidth="1"/>
    <col min="23" max="23" width="15.21875" style="13" customWidth="1"/>
    <col min="24" max="24" width="8.77734375" style="13" customWidth="1"/>
    <col min="25" max="25" width="6.6640625" style="13" customWidth="1"/>
    <col min="26" max="26" width="8.77734375" style="13"/>
    <col min="27" max="27" width="8.77734375" style="13" customWidth="1"/>
    <col min="28" max="30" width="7.5546875" style="13" customWidth="1"/>
    <col min="31" max="31" width="19.21875" style="13" customWidth="1"/>
    <col min="32" max="32" width="11.21875" customWidth="1"/>
  </cols>
  <sheetData>
    <row r="1" spans="1:34" s="15" customFormat="1" ht="15" customHeight="1" x14ac:dyDescent="0.3">
      <c r="B1" s="17" t="s">
        <v>1951</v>
      </c>
      <c r="C1" s="17" t="s">
        <v>1960</v>
      </c>
      <c r="D1" s="207" t="s">
        <v>1962</v>
      </c>
      <c r="E1" s="207"/>
      <c r="F1" s="207"/>
      <c r="G1" s="208" t="s">
        <v>1964</v>
      </c>
      <c r="H1" s="208"/>
      <c r="I1" s="208"/>
      <c r="J1" s="208" t="s">
        <v>1966</v>
      </c>
      <c r="K1" s="208"/>
      <c r="L1" s="208"/>
      <c r="M1" s="208" t="s">
        <v>1967</v>
      </c>
      <c r="N1" s="208"/>
      <c r="O1" s="208"/>
      <c r="P1" s="208" t="s">
        <v>1757</v>
      </c>
      <c r="Q1" s="208"/>
      <c r="R1" s="208"/>
      <c r="S1" s="17" t="s">
        <v>1752</v>
      </c>
      <c r="T1" s="17"/>
      <c r="U1" s="17"/>
      <c r="V1" s="208" t="s">
        <v>113</v>
      </c>
      <c r="W1" s="208"/>
      <c r="X1" s="208"/>
      <c r="Y1" s="208" t="s">
        <v>41</v>
      </c>
      <c r="Z1" s="208"/>
      <c r="AA1" s="208"/>
      <c r="AE1" s="15" t="s">
        <v>700</v>
      </c>
    </row>
    <row r="2" spans="1:34" s="15" customFormat="1" ht="15" customHeight="1" x14ac:dyDescent="0.3">
      <c r="B2" s="17"/>
      <c r="C2" s="17" t="s">
        <v>1961</v>
      </c>
      <c r="D2" s="180" t="s">
        <v>1963</v>
      </c>
      <c r="E2" s="180"/>
      <c r="F2" s="180"/>
      <c r="G2" s="17" t="s">
        <v>1965</v>
      </c>
      <c r="H2" s="17"/>
      <c r="I2" s="17"/>
      <c r="J2" s="17" t="s">
        <v>1963</v>
      </c>
      <c r="K2" s="17"/>
      <c r="L2" s="17"/>
      <c r="M2" s="17" t="s">
        <v>1968</v>
      </c>
      <c r="N2" s="17"/>
      <c r="O2" s="17"/>
      <c r="P2" s="17" t="s">
        <v>1969</v>
      </c>
      <c r="Q2" s="17"/>
      <c r="R2" s="17"/>
      <c r="S2" s="17" t="s">
        <v>1971</v>
      </c>
      <c r="T2" s="17"/>
      <c r="U2" s="17"/>
      <c r="V2" s="17" t="s">
        <v>1970</v>
      </c>
      <c r="W2" s="17"/>
      <c r="X2" s="17"/>
      <c r="Y2" s="17" t="s">
        <v>201</v>
      </c>
      <c r="Z2" s="17"/>
      <c r="AA2" s="17"/>
    </row>
    <row r="3" spans="1:34" s="88" customFormat="1" x14ac:dyDescent="0.3">
      <c r="B3" s="178"/>
      <c r="C3" s="17" t="s">
        <v>1954</v>
      </c>
      <c r="D3" s="179">
        <v>2020</v>
      </c>
      <c r="E3" s="179">
        <v>2030</v>
      </c>
      <c r="F3" s="179">
        <v>2050</v>
      </c>
      <c r="G3" s="17">
        <v>2020</v>
      </c>
      <c r="H3" s="17">
        <v>2030</v>
      </c>
      <c r="I3" s="17">
        <v>2050</v>
      </c>
      <c r="J3" s="17">
        <v>2020</v>
      </c>
      <c r="K3" s="17">
        <v>2030</v>
      </c>
      <c r="L3" s="17">
        <v>2050</v>
      </c>
      <c r="M3" s="17">
        <v>2020</v>
      </c>
      <c r="N3" s="17">
        <v>2030</v>
      </c>
      <c r="O3" s="17">
        <v>2050</v>
      </c>
      <c r="P3" s="17">
        <v>2020</v>
      </c>
      <c r="Q3" s="17">
        <v>2030</v>
      </c>
      <c r="R3" s="17">
        <v>2050</v>
      </c>
      <c r="S3" t="s">
        <v>1902</v>
      </c>
      <c r="T3">
        <v>2030</v>
      </c>
      <c r="U3">
        <v>2050</v>
      </c>
      <c r="V3" s="17">
        <v>2020</v>
      </c>
      <c r="W3" s="17">
        <v>2030</v>
      </c>
      <c r="X3" s="17">
        <v>2050</v>
      </c>
      <c r="Y3" s="17">
        <v>2020</v>
      </c>
      <c r="Z3" s="17">
        <v>2030</v>
      </c>
      <c r="AA3" s="17">
        <v>2050</v>
      </c>
      <c r="AF3" s="88" t="s">
        <v>699</v>
      </c>
      <c r="AG3" s="88">
        <v>2030</v>
      </c>
      <c r="AH3" s="88">
        <v>2050</v>
      </c>
    </row>
    <row r="4" spans="1:34" ht="14.55" customHeight="1" x14ac:dyDescent="0.3">
      <c r="A4" s="17" t="s">
        <v>1915</v>
      </c>
      <c r="B4" s="17" t="s">
        <v>1952</v>
      </c>
      <c r="C4" s="177">
        <v>1.46</v>
      </c>
      <c r="D4" s="175" t="s">
        <v>51</v>
      </c>
      <c r="E4" s="175" t="s">
        <v>51</v>
      </c>
      <c r="F4" s="175" t="s">
        <v>51</v>
      </c>
      <c r="G4" s="174">
        <v>0</v>
      </c>
      <c r="H4" s="174">
        <v>0</v>
      </c>
      <c r="I4" s="174">
        <v>0</v>
      </c>
      <c r="J4" s="173">
        <v>1.625</v>
      </c>
      <c r="K4" s="173">
        <v>1.0611111111111111</v>
      </c>
      <c r="L4" s="173">
        <v>0.18333333333333335</v>
      </c>
      <c r="M4" s="176">
        <v>0</v>
      </c>
      <c r="N4" s="176">
        <v>0</v>
      </c>
      <c r="O4" s="176">
        <v>0</v>
      </c>
      <c r="P4" s="176">
        <v>0</v>
      </c>
      <c r="Q4" s="176">
        <v>0</v>
      </c>
      <c r="R4" s="176">
        <v>0</v>
      </c>
      <c r="S4">
        <v>0</v>
      </c>
      <c r="T4">
        <v>0</v>
      </c>
      <c r="U4">
        <v>0</v>
      </c>
      <c r="V4" s="172">
        <v>0.49299999999999999</v>
      </c>
      <c r="W4" s="172">
        <v>0.36562329836470869</v>
      </c>
      <c r="X4" s="172">
        <v>0.11086989509412611</v>
      </c>
      <c r="Y4">
        <v>20</v>
      </c>
      <c r="Z4">
        <v>20</v>
      </c>
      <c r="AA4">
        <v>20</v>
      </c>
      <c r="AB4"/>
      <c r="AC4"/>
      <c r="AD4"/>
      <c r="AE4" t="s">
        <v>1623</v>
      </c>
      <c r="AF4">
        <v>0</v>
      </c>
      <c r="AG4">
        <v>0</v>
      </c>
      <c r="AH4">
        <v>0</v>
      </c>
    </row>
    <row r="5" spans="1:34" x14ac:dyDescent="0.3">
      <c r="A5" s="17" t="s">
        <v>1938</v>
      </c>
      <c r="B5" s="17" t="s">
        <v>1952</v>
      </c>
      <c r="C5" s="177">
        <v>1.46</v>
      </c>
      <c r="D5" s="175" t="s">
        <v>51</v>
      </c>
      <c r="E5" s="175" t="s">
        <v>51</v>
      </c>
      <c r="F5" s="175" t="s">
        <v>51</v>
      </c>
      <c r="G5" s="174">
        <v>0</v>
      </c>
      <c r="H5" s="174">
        <v>0</v>
      </c>
      <c r="I5" s="174">
        <v>0</v>
      </c>
      <c r="J5" s="173">
        <v>0.05</v>
      </c>
      <c r="K5" s="173">
        <v>0.05</v>
      </c>
      <c r="L5" s="173">
        <v>0.05</v>
      </c>
      <c r="M5" s="176">
        <v>0</v>
      </c>
      <c r="N5" s="176">
        <v>0</v>
      </c>
      <c r="O5" s="176">
        <v>0</v>
      </c>
      <c r="P5" s="176">
        <v>0</v>
      </c>
      <c r="Q5" s="176">
        <v>0</v>
      </c>
      <c r="R5" s="176">
        <v>0</v>
      </c>
      <c r="S5">
        <v>0</v>
      </c>
      <c r="T5">
        <v>0</v>
      </c>
      <c r="U5">
        <v>0</v>
      </c>
      <c r="V5" s="172">
        <v>2.0145912783949595E-2</v>
      </c>
      <c r="W5" s="172">
        <v>1.7858737387266722E-2</v>
      </c>
      <c r="X5" s="172">
        <v>1.7858737387266722E-2</v>
      </c>
      <c r="Y5">
        <v>20</v>
      </c>
      <c r="Z5">
        <v>20</v>
      </c>
      <c r="AA5">
        <v>20</v>
      </c>
      <c r="AB5"/>
      <c r="AC5"/>
      <c r="AD5"/>
      <c r="AE5" t="s">
        <v>1590</v>
      </c>
      <c r="AF5">
        <v>25</v>
      </c>
      <c r="AG5">
        <v>25</v>
      </c>
      <c r="AH5">
        <v>25</v>
      </c>
    </row>
    <row r="6" spans="1:34" x14ac:dyDescent="0.3">
      <c r="A6" s="17" t="s">
        <v>1934</v>
      </c>
      <c r="B6" s="17" t="s">
        <v>629</v>
      </c>
      <c r="C6" s="177">
        <v>5.0251256281407031</v>
      </c>
      <c r="D6" s="177">
        <v>0.68</v>
      </c>
      <c r="E6" s="177">
        <v>0.68</v>
      </c>
      <c r="F6" s="177">
        <v>0.68</v>
      </c>
      <c r="G6" s="174">
        <v>40</v>
      </c>
      <c r="H6" s="174">
        <v>10</v>
      </c>
      <c r="I6" s="174">
        <v>10</v>
      </c>
      <c r="J6" s="173">
        <v>0.316</v>
      </c>
      <c r="K6" s="173">
        <v>0.316</v>
      </c>
      <c r="L6" s="173">
        <v>0.316</v>
      </c>
      <c r="M6" s="176">
        <v>4167.5719007116822</v>
      </c>
      <c r="N6" s="176">
        <v>4167.5719007116822</v>
      </c>
      <c r="O6" s="176">
        <v>4167.5719007116822</v>
      </c>
      <c r="P6" s="176">
        <v>617.88115461308803</v>
      </c>
      <c r="Q6" s="176">
        <v>617.88115461308803</v>
      </c>
      <c r="R6" s="176">
        <v>617.88115461308803</v>
      </c>
      <c r="S6" s="23">
        <v>2.7037493490713421E-2</v>
      </c>
      <c r="T6" s="23">
        <v>2.7037493490713421E-2</v>
      </c>
      <c r="U6" s="23">
        <v>2.7037493490713421E-2</v>
      </c>
      <c r="V6" s="172" t="s">
        <v>51</v>
      </c>
      <c r="W6" s="172" t="s">
        <v>51</v>
      </c>
      <c r="X6" s="172" t="s">
        <v>51</v>
      </c>
      <c r="Y6">
        <v>25</v>
      </c>
      <c r="Z6">
        <v>25</v>
      </c>
      <c r="AA6">
        <v>25</v>
      </c>
      <c r="AB6"/>
      <c r="AC6"/>
      <c r="AD6"/>
      <c r="AE6" t="s">
        <v>1926</v>
      </c>
      <c r="AF6">
        <v>20</v>
      </c>
      <c r="AG6">
        <v>20</v>
      </c>
      <c r="AH6">
        <v>20</v>
      </c>
    </row>
    <row r="7" spans="1:34" x14ac:dyDescent="0.3">
      <c r="A7" s="17" t="s">
        <v>1937</v>
      </c>
      <c r="B7" s="17" t="s">
        <v>629</v>
      </c>
      <c r="C7" s="177">
        <v>5.0251256281407031</v>
      </c>
      <c r="D7" s="177">
        <v>0.68</v>
      </c>
      <c r="E7" s="177">
        <v>0.68</v>
      </c>
      <c r="F7" s="177">
        <v>0.68</v>
      </c>
      <c r="G7" s="174">
        <v>40</v>
      </c>
      <c r="H7" s="174">
        <v>10</v>
      </c>
      <c r="I7" s="174">
        <v>10</v>
      </c>
      <c r="J7" s="173">
        <v>0.316</v>
      </c>
      <c r="K7" s="173">
        <v>0.316</v>
      </c>
      <c r="L7" s="173">
        <v>0.316</v>
      </c>
      <c r="M7" s="176">
        <v>4167.5719007116822</v>
      </c>
      <c r="N7" s="176">
        <v>4167.5719007116822</v>
      </c>
      <c r="O7" s="176">
        <v>4167.5719007116822</v>
      </c>
      <c r="P7" s="176">
        <v>617.88115461308803</v>
      </c>
      <c r="Q7" s="176">
        <v>617.88115461308803</v>
      </c>
      <c r="R7" s="176">
        <v>617.88115461308803</v>
      </c>
      <c r="S7" s="23">
        <v>2.7037493490713421E-2</v>
      </c>
      <c r="T7" s="23">
        <v>2.7037493490713421E-2</v>
      </c>
      <c r="U7" s="23">
        <v>2.7037493490713421E-2</v>
      </c>
      <c r="V7" s="172" t="s">
        <v>51</v>
      </c>
      <c r="W7" s="172" t="s">
        <v>51</v>
      </c>
      <c r="X7" s="172" t="s">
        <v>51</v>
      </c>
      <c r="Y7">
        <v>25</v>
      </c>
      <c r="Z7">
        <v>25</v>
      </c>
      <c r="AA7">
        <v>25</v>
      </c>
      <c r="AB7"/>
      <c r="AC7"/>
      <c r="AD7"/>
      <c r="AE7" t="s">
        <v>1927</v>
      </c>
      <c r="AF7">
        <v>20</v>
      </c>
      <c r="AG7">
        <v>20</v>
      </c>
      <c r="AH7">
        <v>20</v>
      </c>
    </row>
    <row r="8" spans="1:34" x14ac:dyDescent="0.3">
      <c r="A8" s="17" t="s">
        <v>1958</v>
      </c>
      <c r="B8" s="17" t="s">
        <v>1953</v>
      </c>
      <c r="C8" s="177">
        <v>0.79985805535841015</v>
      </c>
      <c r="D8" s="177" t="s">
        <v>51</v>
      </c>
      <c r="E8" s="177" t="s">
        <v>51</v>
      </c>
      <c r="F8" s="177" t="s">
        <v>51</v>
      </c>
      <c r="G8" s="174">
        <v>0</v>
      </c>
      <c r="H8" s="174">
        <v>0</v>
      </c>
      <c r="I8" s="174">
        <v>0</v>
      </c>
      <c r="J8" s="173">
        <v>0</v>
      </c>
      <c r="K8" s="173">
        <v>0</v>
      </c>
      <c r="L8" s="173">
        <v>0</v>
      </c>
      <c r="M8" s="176">
        <v>0</v>
      </c>
      <c r="N8" s="176">
        <v>0</v>
      </c>
      <c r="O8" s="176">
        <v>0</v>
      </c>
      <c r="P8" s="176">
        <v>0</v>
      </c>
      <c r="Q8" s="176">
        <v>0</v>
      </c>
      <c r="R8" s="176">
        <v>0</v>
      </c>
      <c r="S8">
        <v>0</v>
      </c>
      <c r="T8">
        <v>0</v>
      </c>
      <c r="U8">
        <v>0</v>
      </c>
      <c r="V8" s="172">
        <v>0.12474198880000002</v>
      </c>
      <c r="W8" s="172">
        <v>0.13625663392000001</v>
      </c>
      <c r="X8" s="172">
        <v>0.15736681664000002</v>
      </c>
      <c r="Y8" s="172" t="s">
        <v>51</v>
      </c>
      <c r="Z8" s="172" t="s">
        <v>51</v>
      </c>
      <c r="AA8" s="172" t="s">
        <v>51</v>
      </c>
      <c r="AB8"/>
      <c r="AC8"/>
      <c r="AD8"/>
      <c r="AE8" t="s">
        <v>1244</v>
      </c>
      <c r="AF8">
        <v>25</v>
      </c>
      <c r="AG8">
        <v>25</v>
      </c>
      <c r="AH8">
        <v>25</v>
      </c>
    </row>
    <row r="9" spans="1:34" x14ac:dyDescent="0.3">
      <c r="A9" s="17" t="s">
        <v>1932</v>
      </c>
      <c r="B9" s="17" t="s">
        <v>629</v>
      </c>
      <c r="C9" s="177">
        <v>9.6506849315068486</v>
      </c>
      <c r="D9" s="177">
        <v>0.57947400000000004</v>
      </c>
      <c r="E9" s="177">
        <v>0.57947400000000004</v>
      </c>
      <c r="F9" s="177">
        <v>0.57947400000000004</v>
      </c>
      <c r="G9" s="174">
        <v>40</v>
      </c>
      <c r="H9" s="174">
        <v>10</v>
      </c>
      <c r="I9" s="174">
        <v>10</v>
      </c>
      <c r="J9" s="173">
        <v>0.32718600000000003</v>
      </c>
      <c r="K9" s="173">
        <v>0.32718600000000003</v>
      </c>
      <c r="L9" s="173">
        <v>0.32718600000000003</v>
      </c>
      <c r="M9" s="176">
        <v>4085</v>
      </c>
      <c r="N9" s="176">
        <v>4085</v>
      </c>
      <c r="O9" s="176">
        <v>4085</v>
      </c>
      <c r="P9" s="176">
        <v>578.09675328395804</v>
      </c>
      <c r="Q9" s="176">
        <v>578.09675328395804</v>
      </c>
      <c r="R9" s="176">
        <v>578.09675328395804</v>
      </c>
      <c r="S9">
        <v>0</v>
      </c>
      <c r="T9">
        <v>0</v>
      </c>
      <c r="U9">
        <v>0</v>
      </c>
      <c r="V9" s="172" t="s">
        <v>51</v>
      </c>
      <c r="W9" s="172" t="s">
        <v>51</v>
      </c>
      <c r="X9" s="172" t="s">
        <v>51</v>
      </c>
      <c r="Y9">
        <v>25</v>
      </c>
      <c r="Z9">
        <v>25</v>
      </c>
      <c r="AA9">
        <v>25</v>
      </c>
      <c r="AB9"/>
      <c r="AC9"/>
      <c r="AD9"/>
      <c r="AE9" t="s">
        <v>46</v>
      </c>
      <c r="AF9">
        <v>25</v>
      </c>
      <c r="AG9">
        <v>25</v>
      </c>
      <c r="AH9">
        <v>25</v>
      </c>
    </row>
    <row r="10" spans="1:34" x14ac:dyDescent="0.3">
      <c r="A10" s="17" t="s">
        <v>1957</v>
      </c>
      <c r="B10" s="17" t="s">
        <v>629</v>
      </c>
      <c r="C10" s="177">
        <v>9.6506849315068486</v>
      </c>
      <c r="D10" s="177">
        <v>0.16950600000000002</v>
      </c>
      <c r="E10" s="177">
        <v>0.16950600000000002</v>
      </c>
      <c r="F10" s="177">
        <v>0.16950600000000002</v>
      </c>
      <c r="G10" s="174">
        <v>40</v>
      </c>
      <c r="H10" s="174">
        <v>10</v>
      </c>
      <c r="I10" s="174">
        <v>10</v>
      </c>
      <c r="J10" s="173">
        <v>0.33112800000000009</v>
      </c>
      <c r="K10" s="173">
        <v>0.33112800000000009</v>
      </c>
      <c r="L10" s="173">
        <v>0.33112800000000009</v>
      </c>
      <c r="M10" s="176">
        <v>4085</v>
      </c>
      <c r="N10" s="176">
        <v>4085</v>
      </c>
      <c r="O10" s="176">
        <v>4085</v>
      </c>
      <c r="P10" s="176">
        <v>578.09675328395804</v>
      </c>
      <c r="Q10" s="176">
        <v>578.09675328395804</v>
      </c>
      <c r="R10" s="176">
        <v>578.09675328395804</v>
      </c>
      <c r="S10">
        <v>0</v>
      </c>
      <c r="T10">
        <v>0</v>
      </c>
      <c r="U10">
        <v>0</v>
      </c>
      <c r="V10" s="172" t="s">
        <v>51</v>
      </c>
      <c r="W10" s="172" t="s">
        <v>51</v>
      </c>
      <c r="X10" s="172" t="s">
        <v>51</v>
      </c>
      <c r="Y10">
        <v>25</v>
      </c>
      <c r="Z10">
        <v>25</v>
      </c>
      <c r="AA10">
        <v>25</v>
      </c>
      <c r="AB10"/>
      <c r="AC10"/>
      <c r="AD10"/>
      <c r="AE10" t="s">
        <v>0</v>
      </c>
      <c r="AF10">
        <v>20</v>
      </c>
      <c r="AG10">
        <v>20</v>
      </c>
      <c r="AH10">
        <v>20</v>
      </c>
    </row>
    <row r="11" spans="1:34" x14ac:dyDescent="0.3">
      <c r="A11" s="17" t="s">
        <v>1935</v>
      </c>
      <c r="B11" s="17" t="s">
        <v>629</v>
      </c>
      <c r="C11" s="177">
        <v>5.2910052910052912</v>
      </c>
      <c r="D11" s="177">
        <v>0.9992511627906977</v>
      </c>
      <c r="E11" s="177">
        <v>0.9992511627906977</v>
      </c>
      <c r="F11" s="177">
        <v>0.9992511627906977</v>
      </c>
      <c r="G11" s="174">
        <v>40</v>
      </c>
      <c r="H11" s="174">
        <v>10</v>
      </c>
      <c r="I11" s="174">
        <v>10</v>
      </c>
      <c r="J11" s="172">
        <v>0.64</v>
      </c>
      <c r="K11" s="172">
        <v>0.64</v>
      </c>
      <c r="L11" s="172">
        <v>0.64</v>
      </c>
      <c r="M11" s="176">
        <v>4285</v>
      </c>
      <c r="N11" s="176">
        <v>4285</v>
      </c>
      <c r="O11" s="176">
        <v>4285</v>
      </c>
      <c r="P11" s="176">
        <v>601.20242165949537</v>
      </c>
      <c r="Q11" s="176">
        <v>601.20242165949537</v>
      </c>
      <c r="R11" s="176">
        <v>601.20242165949537</v>
      </c>
      <c r="S11">
        <v>0</v>
      </c>
      <c r="T11">
        <v>0</v>
      </c>
      <c r="U11">
        <v>0</v>
      </c>
      <c r="V11" s="172" t="s">
        <v>51</v>
      </c>
      <c r="W11" s="172" t="s">
        <v>51</v>
      </c>
      <c r="X11" s="172" t="s">
        <v>51</v>
      </c>
      <c r="Y11">
        <v>25</v>
      </c>
      <c r="Z11">
        <v>25</v>
      </c>
      <c r="AA11">
        <v>25</v>
      </c>
      <c r="AB11"/>
      <c r="AC11"/>
      <c r="AD11"/>
      <c r="AE11" t="s">
        <v>1929</v>
      </c>
      <c r="AF11">
        <v>25</v>
      </c>
      <c r="AG11">
        <v>25</v>
      </c>
      <c r="AH11">
        <v>25</v>
      </c>
    </row>
    <row r="12" spans="1:34" x14ac:dyDescent="0.3">
      <c r="A12" s="17" t="s">
        <v>1956</v>
      </c>
      <c r="B12" s="17" t="s">
        <v>629</v>
      </c>
      <c r="C12" s="177">
        <v>5.2910052910052912</v>
      </c>
      <c r="D12" s="177">
        <v>0.55004651162790696</v>
      </c>
      <c r="E12" s="177">
        <v>0.55004651162790696</v>
      </c>
      <c r="F12" s="177">
        <v>0.55004651162790696</v>
      </c>
      <c r="G12" s="174">
        <v>40</v>
      </c>
      <c r="H12" s="174">
        <v>10</v>
      </c>
      <c r="I12" s="174">
        <v>10</v>
      </c>
      <c r="J12" s="172">
        <v>0.64</v>
      </c>
      <c r="K12" s="172">
        <v>0.64</v>
      </c>
      <c r="L12" s="172">
        <v>0.64</v>
      </c>
      <c r="M12" s="176">
        <v>4285</v>
      </c>
      <c r="N12" s="176">
        <v>4285</v>
      </c>
      <c r="O12" s="176">
        <v>4285</v>
      </c>
      <c r="P12" s="176">
        <v>601.20242165949537</v>
      </c>
      <c r="Q12" s="176">
        <v>601.20242165949537</v>
      </c>
      <c r="R12" s="176">
        <v>601.20242165949537</v>
      </c>
      <c r="S12">
        <v>0</v>
      </c>
      <c r="T12">
        <v>0</v>
      </c>
      <c r="U12">
        <v>0</v>
      </c>
      <c r="V12" s="172" t="s">
        <v>51</v>
      </c>
      <c r="W12" s="172" t="s">
        <v>51</v>
      </c>
      <c r="X12" s="172" t="s">
        <v>51</v>
      </c>
      <c r="Y12">
        <v>25</v>
      </c>
      <c r="Z12">
        <v>25</v>
      </c>
      <c r="AA12">
        <v>25</v>
      </c>
      <c r="AB12"/>
      <c r="AC12"/>
      <c r="AD12"/>
      <c r="AE12" t="s">
        <v>1916</v>
      </c>
      <c r="AF12">
        <v>25</v>
      </c>
      <c r="AG12">
        <v>25</v>
      </c>
      <c r="AH12">
        <v>25</v>
      </c>
    </row>
    <row r="13" spans="1:34" x14ac:dyDescent="0.3">
      <c r="A13" s="17" t="s">
        <v>0</v>
      </c>
      <c r="B13" s="17" t="s">
        <v>51</v>
      </c>
      <c r="C13" s="177" t="s">
        <v>51</v>
      </c>
      <c r="D13" s="177">
        <v>0</v>
      </c>
      <c r="E13" s="177">
        <v>0</v>
      </c>
      <c r="F13" s="177">
        <v>0</v>
      </c>
      <c r="G13" s="174">
        <v>0</v>
      </c>
      <c r="H13" s="174">
        <v>0</v>
      </c>
      <c r="I13" s="174">
        <v>0</v>
      </c>
      <c r="J13" s="172">
        <v>4.0000000000000001E-3</v>
      </c>
      <c r="K13" s="172">
        <v>4.0000000000000001E-3</v>
      </c>
      <c r="L13" s="172">
        <v>4.0000000000000001E-3</v>
      </c>
      <c r="M13" s="176">
        <v>26.145191534958482</v>
      </c>
      <c r="N13" s="176">
        <v>26.145191534958482</v>
      </c>
      <c r="O13" s="176">
        <v>26.145191534958482</v>
      </c>
      <c r="P13" s="176">
        <v>0</v>
      </c>
      <c r="Q13" s="176">
        <v>0</v>
      </c>
      <c r="R13" s="176">
        <v>0</v>
      </c>
      <c r="S13" s="23">
        <v>2.5895169211536745E-4</v>
      </c>
      <c r="T13" s="23">
        <v>2.5895169211536745E-4</v>
      </c>
      <c r="U13" s="23">
        <v>2.5895169211536745E-4</v>
      </c>
      <c r="V13" s="172" t="s">
        <v>51</v>
      </c>
      <c r="W13" s="172" t="s">
        <v>51</v>
      </c>
      <c r="X13" s="172" t="s">
        <v>51</v>
      </c>
      <c r="Y13">
        <v>20</v>
      </c>
      <c r="Z13">
        <v>20</v>
      </c>
      <c r="AA13">
        <v>20</v>
      </c>
      <c r="AB13"/>
      <c r="AC13"/>
      <c r="AD13"/>
      <c r="AE13"/>
    </row>
    <row r="14" spans="1:34" x14ac:dyDescent="0.3">
      <c r="A14" s="17" t="s">
        <v>1929</v>
      </c>
      <c r="B14" s="17" t="s">
        <v>538</v>
      </c>
      <c r="C14" s="177">
        <v>6.7000000000000004E-2</v>
      </c>
      <c r="D14" s="177">
        <v>7.07</v>
      </c>
      <c r="E14" s="177">
        <v>5.6759999999999993</v>
      </c>
      <c r="F14" s="177">
        <v>3.6</v>
      </c>
      <c r="G14" s="174">
        <v>0</v>
      </c>
      <c r="H14" s="174">
        <v>0</v>
      </c>
      <c r="I14" s="174">
        <v>0</v>
      </c>
      <c r="J14" s="172">
        <v>50.5</v>
      </c>
      <c r="K14" s="172">
        <v>47.3</v>
      </c>
      <c r="L14" s="172">
        <v>45</v>
      </c>
      <c r="M14" s="176">
        <v>55370.764957610249</v>
      </c>
      <c r="N14" s="176">
        <v>41435.03860818065</v>
      </c>
      <c r="O14" s="176">
        <v>17525.785671203121</v>
      </c>
      <c r="P14" s="176">
        <v>1107.4152991522051</v>
      </c>
      <c r="Q14" s="176">
        <v>828.70077216361301</v>
      </c>
      <c r="R14" s="176">
        <v>350.51571342406243</v>
      </c>
      <c r="S14">
        <v>0</v>
      </c>
      <c r="T14">
        <v>0</v>
      </c>
      <c r="U14">
        <v>0</v>
      </c>
      <c r="V14" s="172" t="s">
        <v>51</v>
      </c>
      <c r="W14" s="172" t="s">
        <v>51</v>
      </c>
      <c r="X14" s="172" t="s">
        <v>51</v>
      </c>
      <c r="Y14" s="5" t="s">
        <v>1959</v>
      </c>
      <c r="Z14">
        <v>25</v>
      </c>
      <c r="AA14">
        <v>25</v>
      </c>
      <c r="AB14"/>
      <c r="AC14"/>
      <c r="AD14"/>
      <c r="AE14"/>
    </row>
    <row r="15" spans="1:34" x14ac:dyDescent="0.3">
      <c r="A15" s="17" t="s">
        <v>1916</v>
      </c>
      <c r="B15" s="17" t="s">
        <v>538</v>
      </c>
      <c r="C15" s="177">
        <v>6.7000000000000004E-2</v>
      </c>
      <c r="D15" s="177" t="s">
        <v>1955</v>
      </c>
      <c r="E15" s="177" t="s">
        <v>1955</v>
      </c>
      <c r="F15" s="177" t="s">
        <v>1955</v>
      </c>
      <c r="G15" s="174">
        <v>0</v>
      </c>
      <c r="H15" s="174">
        <v>0</v>
      </c>
      <c r="I15" s="174">
        <v>0</v>
      </c>
      <c r="J15" s="172">
        <v>44.2</v>
      </c>
      <c r="K15" s="172">
        <v>42.5</v>
      </c>
      <c r="L15" s="172">
        <v>42.5</v>
      </c>
      <c r="M15" s="176">
        <v>153350.69935129798</v>
      </c>
      <c r="N15" s="176">
        <v>57743.805429488253</v>
      </c>
      <c r="O15" s="176">
        <v>19702.81005494374</v>
      </c>
      <c r="P15" s="176">
        <v>3182.8286637931042</v>
      </c>
      <c r="Q15" s="176">
        <v>834.65786637931035</v>
      </c>
      <c r="R15" s="176">
        <v>556.43857758620686</v>
      </c>
      <c r="S15">
        <v>0</v>
      </c>
      <c r="T15">
        <v>0</v>
      </c>
      <c r="U15">
        <v>0</v>
      </c>
      <c r="V15" s="172" t="s">
        <v>51</v>
      </c>
      <c r="W15" s="172" t="s">
        <v>51</v>
      </c>
      <c r="X15" s="172" t="s">
        <v>51</v>
      </c>
      <c r="Y15">
        <v>25</v>
      </c>
      <c r="Z15">
        <v>25</v>
      </c>
      <c r="AA15">
        <v>25</v>
      </c>
      <c r="AB15"/>
      <c r="AC15"/>
      <c r="AD15"/>
      <c r="AE15"/>
    </row>
    <row r="16" spans="1:34" x14ac:dyDescent="0.3">
      <c r="S16"/>
      <c r="T16"/>
      <c r="U16"/>
    </row>
    <row r="17" spans="19:38" x14ac:dyDescent="0.3">
      <c r="S17"/>
      <c r="T17"/>
      <c r="U17"/>
    </row>
    <row r="18" spans="19:38" x14ac:dyDescent="0.3">
      <c r="S18"/>
      <c r="T18"/>
      <c r="U18"/>
    </row>
    <row r="25" spans="19:38" x14ac:dyDescent="0.3">
      <c r="AJ25">
        <v>0</v>
      </c>
      <c r="AK25">
        <v>0</v>
      </c>
      <c r="AL25">
        <v>0</v>
      </c>
    </row>
    <row r="26" spans="19:38" x14ac:dyDescent="0.3">
      <c r="AJ26">
        <v>0</v>
      </c>
      <c r="AK26">
        <v>0</v>
      </c>
      <c r="AL26">
        <v>0</v>
      </c>
    </row>
    <row r="27" spans="19:38" x14ac:dyDescent="0.3">
      <c r="AJ27">
        <v>0</v>
      </c>
      <c r="AK27">
        <v>0</v>
      </c>
      <c r="AL27">
        <v>0</v>
      </c>
    </row>
    <row r="28" spans="19:38" x14ac:dyDescent="0.3">
      <c r="AJ28">
        <v>0</v>
      </c>
      <c r="AK28">
        <v>0</v>
      </c>
      <c r="AL28">
        <v>0</v>
      </c>
    </row>
    <row r="29" spans="19:38" x14ac:dyDescent="0.3">
      <c r="AJ29">
        <v>0</v>
      </c>
      <c r="AK29">
        <v>0</v>
      </c>
      <c r="AL29">
        <v>0</v>
      </c>
    </row>
    <row r="30" spans="19:38" x14ac:dyDescent="0.3">
      <c r="AJ30">
        <v>0</v>
      </c>
      <c r="AK30">
        <v>0</v>
      </c>
      <c r="AL30">
        <v>0</v>
      </c>
    </row>
    <row r="31" spans="19:38" x14ac:dyDescent="0.3">
      <c r="AJ31">
        <v>0</v>
      </c>
      <c r="AK31">
        <v>0</v>
      </c>
      <c r="AL31">
        <v>0</v>
      </c>
    </row>
    <row r="32" spans="19:38" x14ac:dyDescent="0.3">
      <c r="AJ32">
        <v>0</v>
      </c>
      <c r="AK32">
        <v>0</v>
      </c>
      <c r="AL32">
        <v>0</v>
      </c>
    </row>
    <row r="33" spans="36:38" x14ac:dyDescent="0.3">
      <c r="AJ33">
        <v>1.5641850000000001E-3</v>
      </c>
      <c r="AK33">
        <v>1.4077665000000001E-3</v>
      </c>
      <c r="AL33">
        <v>1.2722038E-3</v>
      </c>
    </row>
    <row r="34" spans="36:38" x14ac:dyDescent="0.3">
      <c r="AJ34">
        <v>1.5641850000000001E-3</v>
      </c>
      <c r="AK34">
        <v>1.4077665000000001E-3</v>
      </c>
      <c r="AL34">
        <v>1.2722038E-3</v>
      </c>
    </row>
    <row r="35" spans="36:38" x14ac:dyDescent="0.3">
      <c r="AJ35">
        <v>1.5641850000000001E-3</v>
      </c>
      <c r="AK35">
        <v>1.4077665000000001E-3</v>
      </c>
      <c r="AL35">
        <v>1.2722038E-3</v>
      </c>
    </row>
    <row r="36" spans="36:38" x14ac:dyDescent="0.3">
      <c r="AJ36">
        <v>1.5641850000000001E-3</v>
      </c>
      <c r="AK36">
        <v>1.4077665000000001E-3</v>
      </c>
      <c r="AL36">
        <v>1.2722038E-3</v>
      </c>
    </row>
    <row r="37" spans="36:38" x14ac:dyDescent="0.3">
      <c r="AJ37">
        <v>1.5641850000000001E-3</v>
      </c>
      <c r="AK37">
        <v>1.4077665000000001E-3</v>
      </c>
      <c r="AL37">
        <v>1.2722038E-3</v>
      </c>
    </row>
    <row r="38" spans="36:38" x14ac:dyDescent="0.3">
      <c r="AJ38">
        <v>1.5641850000000001E-3</v>
      </c>
      <c r="AK38">
        <v>1.4077665000000001E-3</v>
      </c>
      <c r="AL38">
        <v>1.2722038E-3</v>
      </c>
    </row>
    <row r="39" spans="36:38" x14ac:dyDescent="0.3">
      <c r="AJ39">
        <v>1.5641850000000001E-3</v>
      </c>
      <c r="AK39">
        <v>1.4077665000000001E-3</v>
      </c>
      <c r="AL39">
        <v>1.2722038E-3</v>
      </c>
    </row>
    <row r="40" spans="36:38" x14ac:dyDescent="0.3">
      <c r="AJ40">
        <v>1.5641850000000001E-3</v>
      </c>
      <c r="AK40">
        <v>1.4077665000000001E-3</v>
      </c>
      <c r="AL40">
        <v>1.2722038E-3</v>
      </c>
    </row>
    <row r="41" spans="36:38" x14ac:dyDescent="0.3">
      <c r="AJ41">
        <v>3.1283700000000001E-3</v>
      </c>
      <c r="AK41">
        <v>2.8155330000000003E-3</v>
      </c>
      <c r="AL41">
        <v>2.5026960000000004E-3</v>
      </c>
    </row>
    <row r="42" spans="36:38" x14ac:dyDescent="0.3">
      <c r="AJ42">
        <v>3.1283700000000001E-3</v>
      </c>
      <c r="AK42">
        <v>2.8155330000000003E-3</v>
      </c>
      <c r="AL42">
        <v>2.5026960000000004E-3</v>
      </c>
    </row>
    <row r="43" spans="36:38" x14ac:dyDescent="0.3">
      <c r="AJ43">
        <v>3.1283700000000001E-3</v>
      </c>
      <c r="AK43">
        <v>2.8155330000000003E-3</v>
      </c>
      <c r="AL43">
        <v>2.5026960000000004E-3</v>
      </c>
    </row>
    <row r="44" spans="36:38" x14ac:dyDescent="0.3">
      <c r="AJ44">
        <v>3.1283700000000001E-3</v>
      </c>
      <c r="AK44">
        <v>2.8155330000000003E-3</v>
      </c>
      <c r="AL44">
        <v>2.5026960000000004E-3</v>
      </c>
    </row>
    <row r="45" spans="36:38" x14ac:dyDescent="0.3">
      <c r="AJ45">
        <v>0</v>
      </c>
      <c r="AK45">
        <v>0</v>
      </c>
      <c r="AL45">
        <v>0</v>
      </c>
    </row>
    <row r="46" spans="36:38" x14ac:dyDescent="0.3">
      <c r="AJ46">
        <v>0</v>
      </c>
      <c r="AK46">
        <v>0</v>
      </c>
      <c r="AL46">
        <v>0</v>
      </c>
    </row>
    <row r="47" spans="36:38" x14ac:dyDescent="0.3">
      <c r="AJ47">
        <v>2.0855800000000001E-3</v>
      </c>
      <c r="AK47">
        <v>1.8770220000000001E-3</v>
      </c>
      <c r="AL47">
        <v>1.6684640000000001E-3</v>
      </c>
    </row>
    <row r="48" spans="36:38" x14ac:dyDescent="0.3">
      <c r="AJ48">
        <v>0</v>
      </c>
      <c r="AK48">
        <v>0</v>
      </c>
      <c r="AL48">
        <v>0</v>
      </c>
    </row>
    <row r="49" spans="36:38" x14ac:dyDescent="0.3">
      <c r="AJ49">
        <v>0</v>
      </c>
      <c r="AK49">
        <v>0</v>
      </c>
      <c r="AL49">
        <v>0</v>
      </c>
    </row>
  </sheetData>
  <mergeCells count="7">
    <mergeCell ref="D1:F1"/>
    <mergeCell ref="G1:I1"/>
    <mergeCell ref="V1:X1"/>
    <mergeCell ref="Y1:AA1"/>
    <mergeCell ref="J1:L1"/>
    <mergeCell ref="M1:O1"/>
    <mergeCell ref="P1:R1"/>
  </mergeCells>
  <pageMargins left="0.7" right="0.7" top="0.75" bottom="0.75" header="0.3" footer="0.3"/>
  <pageSetup paperSize="9" orientation="portrait" horizontalDpi="4294967293"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2"/>
  <sheetViews>
    <sheetView workbookViewId="0">
      <selection activeCell="J11" sqref="J11"/>
    </sheetView>
  </sheetViews>
  <sheetFormatPr defaultRowHeight="14.4" x14ac:dyDescent="0.3"/>
  <cols>
    <col min="1" max="1" width="10.44140625" customWidth="1"/>
    <col min="2" max="3" width="15.77734375" customWidth="1"/>
    <col min="4" max="4" width="25.77734375" customWidth="1"/>
    <col min="5" max="5" width="18.5546875" customWidth="1"/>
    <col min="6" max="6" width="17.44140625" customWidth="1"/>
    <col min="7" max="8" width="12.5546875" customWidth="1"/>
    <col min="9" max="9" width="11.77734375" customWidth="1"/>
    <col min="10" max="12" width="11.44140625" customWidth="1"/>
    <col min="13" max="13" width="9.77734375" customWidth="1"/>
    <col min="14" max="14" width="19.44140625" customWidth="1"/>
    <col min="20" max="21" width="10.44140625" bestFit="1" customWidth="1"/>
  </cols>
  <sheetData>
    <row r="1" spans="1:21" x14ac:dyDescent="0.3">
      <c r="B1" t="s">
        <v>1168</v>
      </c>
    </row>
    <row r="2" spans="1:21" x14ac:dyDescent="0.3">
      <c r="I2" t="s">
        <v>956</v>
      </c>
      <c r="K2" t="s">
        <v>1195</v>
      </c>
    </row>
    <row r="3" spans="1:21" x14ac:dyDescent="0.3">
      <c r="A3" t="s">
        <v>1186</v>
      </c>
      <c r="B3" t="s">
        <v>525</v>
      </c>
      <c r="C3" t="s">
        <v>61</v>
      </c>
      <c r="D3" t="s">
        <v>1167</v>
      </c>
      <c r="E3" t="s">
        <v>1243</v>
      </c>
      <c r="F3" t="s">
        <v>1242</v>
      </c>
      <c r="G3" t="s">
        <v>1008</v>
      </c>
      <c r="H3" t="s">
        <v>1007</v>
      </c>
      <c r="I3" t="s">
        <v>372</v>
      </c>
      <c r="J3" t="s">
        <v>373</v>
      </c>
      <c r="K3" t="s">
        <v>372</v>
      </c>
      <c r="L3" t="s">
        <v>373</v>
      </c>
      <c r="M3" t="s">
        <v>1166</v>
      </c>
      <c r="N3" t="s">
        <v>1245</v>
      </c>
    </row>
    <row r="4" spans="1:21" x14ac:dyDescent="0.3">
      <c r="A4" t="s">
        <v>1187</v>
      </c>
      <c r="B4" t="str">
        <f>'Fuel production cost'!N22</f>
        <v>Morgan2013</v>
      </c>
      <c r="C4">
        <f>IF('Fuel production cost'!B22="",VLOOKUP(B4,Sources!$A$2:$D$1000,4),'Fuel production cost'!B22)</f>
        <v>0</v>
      </c>
      <c r="D4" t="str">
        <f>VLOOKUP(B4,Sources!$A$2:$D$1000,3)&amp;"_"&amp;C4</f>
        <v>_0</v>
      </c>
      <c r="I4" s="135">
        <v>28.817204301075268</v>
      </c>
      <c r="J4" s="135">
        <v>60.860215053763433</v>
      </c>
      <c r="K4" s="135" t="e">
        <f t="shared" ref="K4:K15" si="0">(I4/EuroDolar)*3.6</f>
        <v>#NAME?</v>
      </c>
      <c r="L4" s="135" t="e">
        <f t="shared" ref="L4:L15" si="1">(J4/EuroDolar)*3.6</f>
        <v>#NAME?</v>
      </c>
      <c r="M4" t="e">
        <f t="shared" ref="M4:M15" si="2">IF(L4-K4 &lt;&gt; 0, L4-K4, 2)</f>
        <v>#NAME?</v>
      </c>
      <c r="N4" s="4">
        <v>38</v>
      </c>
      <c r="O4" s="4"/>
      <c r="P4" s="4"/>
      <c r="Q4" s="4"/>
      <c r="R4" s="4"/>
      <c r="S4" s="4"/>
      <c r="T4" s="4"/>
      <c r="U4" s="4"/>
    </row>
    <row r="5" spans="1:21" x14ac:dyDescent="0.3">
      <c r="A5" t="s">
        <v>1187</v>
      </c>
      <c r="B5" t="str">
        <f>'Fuel production cost'!N25</f>
        <v>Tuna2014</v>
      </c>
      <c r="C5">
        <f>IF('Fuel production cost'!B25="",VLOOKUP(B5,Sources!$A$2:$D$1000,4),'Fuel production cost'!B25)</f>
        <v>0</v>
      </c>
      <c r="D5" t="str">
        <f>VLOOKUP(B5,Sources!$A$2:$D$1000,3)&amp;"_"&amp;C5</f>
        <v>_0</v>
      </c>
      <c r="I5" s="135">
        <v>33.817204301075265</v>
      </c>
      <c r="J5" s="135">
        <v>114.35483870967741</v>
      </c>
      <c r="K5" s="135" t="e">
        <f t="shared" si="0"/>
        <v>#NAME?</v>
      </c>
      <c r="L5" s="135" t="e">
        <f t="shared" si="1"/>
        <v>#NAME?</v>
      </c>
      <c r="M5" t="e">
        <f t="shared" si="2"/>
        <v>#NAME?</v>
      </c>
      <c r="N5" s="4">
        <v>38</v>
      </c>
    </row>
    <row r="6" spans="1:21" x14ac:dyDescent="0.3">
      <c r="A6" t="s">
        <v>1187</v>
      </c>
      <c r="B6" t="str">
        <f>'Fuel production cost'!N23</f>
        <v>Beerbühl2015</v>
      </c>
      <c r="C6">
        <f>IF('Fuel production cost'!B23="",VLOOKUP(B6,Sources!$A$2:$D$1000,4),'Fuel production cost'!B23)</f>
        <v>2020</v>
      </c>
      <c r="D6" t="str">
        <f>VLOOKUP(B6,Sources!$A$2:$D$1000,3)&amp;"_"&amp;C6</f>
        <v>Armijo_2020</v>
      </c>
      <c r="I6" s="135">
        <v>16.129032258064516</v>
      </c>
      <c r="J6" s="135">
        <v>32.258064516129032</v>
      </c>
      <c r="K6" s="135" t="e">
        <f t="shared" si="0"/>
        <v>#NAME?</v>
      </c>
      <c r="L6" s="135" t="e">
        <f t="shared" si="1"/>
        <v>#NAME?</v>
      </c>
      <c r="M6" t="e">
        <f t="shared" si="2"/>
        <v>#NAME?</v>
      </c>
      <c r="N6" s="4">
        <v>38</v>
      </c>
    </row>
    <row r="7" spans="1:21" x14ac:dyDescent="0.3">
      <c r="A7" t="s">
        <v>1187</v>
      </c>
      <c r="B7" t="str">
        <f>'Fuel production cost'!N24</f>
        <v>Banares-Alcantara2015</v>
      </c>
      <c r="C7">
        <f>IF('Fuel production cost'!B24="",VLOOKUP(B7,Sources!$A$2:$D$1000,4),'Fuel production cost'!B24)</f>
        <v>2020</v>
      </c>
      <c r="D7" t="str">
        <f>VLOOKUP(B7,Sources!$A$2:$D$1000,3)&amp;"_"&amp;C7</f>
        <v>Armijo_2020</v>
      </c>
      <c r="I7" s="135">
        <v>32.58064516129032</v>
      </c>
      <c r="J7" s="135">
        <v>39.354838709677416</v>
      </c>
      <c r="K7" s="135" t="e">
        <f t="shared" si="0"/>
        <v>#NAME?</v>
      </c>
      <c r="L7" s="135" t="e">
        <f t="shared" si="1"/>
        <v>#NAME?</v>
      </c>
      <c r="M7" t="e">
        <f t="shared" si="2"/>
        <v>#NAME?</v>
      </c>
      <c r="N7" s="4">
        <v>38</v>
      </c>
    </row>
    <row r="8" spans="1:21" x14ac:dyDescent="0.3">
      <c r="A8" t="s">
        <v>1187</v>
      </c>
      <c r="B8" t="str">
        <f>'Fuel production cost'!N34</f>
        <v>Tremel2015</v>
      </c>
      <c r="C8">
        <f>IF('Fuel production cost'!B34="",VLOOKUP(B8,Sources!$A$2:$D$1000,4),'Fuel production cost'!B34)</f>
        <v>2015</v>
      </c>
      <c r="D8" t="str">
        <f>VLOOKUP(B8,Sources!$A$2:$D$1000,3)&amp;"_"&amp;C8</f>
        <v>_2015</v>
      </c>
      <c r="I8" s="135">
        <v>54.3010752688172</v>
      </c>
      <c r="J8" s="135">
        <v>54.3010752688172</v>
      </c>
      <c r="K8" s="135" t="e">
        <f t="shared" si="0"/>
        <v>#NAME?</v>
      </c>
      <c r="L8" s="135" t="e">
        <f t="shared" si="1"/>
        <v>#NAME?</v>
      </c>
      <c r="M8" t="e">
        <f t="shared" si="2"/>
        <v>#NAME?</v>
      </c>
      <c r="N8" s="4">
        <v>38</v>
      </c>
    </row>
    <row r="9" spans="1:21" x14ac:dyDescent="0.3">
      <c r="A9" t="s">
        <v>1187</v>
      </c>
      <c r="B9" t="str">
        <f>'Fuel production cost'!N26</f>
        <v>IEA2019</v>
      </c>
      <c r="C9">
        <f>IF('Fuel production cost'!B26="",VLOOKUP(B9,Sources!$A$2:$D$1000,4),'Fuel production cost'!B26)</f>
        <v>2019</v>
      </c>
      <c r="D9" t="str">
        <f>VLOOKUP(B9,Sources!$A$2:$D$1000,3)&amp;"_"&amp;C9</f>
        <v>_2019</v>
      </c>
      <c r="I9" s="135">
        <v>23.373655913978492</v>
      </c>
      <c r="J9" s="135">
        <v>38.44086021505376</v>
      </c>
      <c r="K9" s="135" t="e">
        <f t="shared" si="0"/>
        <v>#NAME?</v>
      </c>
      <c r="L9" s="135" t="e">
        <f t="shared" si="1"/>
        <v>#NAME?</v>
      </c>
      <c r="M9" t="e">
        <f t="shared" si="2"/>
        <v>#NAME?</v>
      </c>
      <c r="N9" s="4">
        <v>38</v>
      </c>
    </row>
    <row r="10" spans="1:21" x14ac:dyDescent="0.3">
      <c r="A10" t="s">
        <v>1187</v>
      </c>
      <c r="B10" t="str">
        <f>'Fuel production cost'!N33</f>
        <v>DanskEnergi2020</v>
      </c>
      <c r="C10">
        <f>IF('Fuel production cost'!B33="",VLOOKUP(B10,Sources!$A$2:$D$1000,4),'Fuel production cost'!B33)</f>
        <v>2020</v>
      </c>
      <c r="D10" t="str">
        <f>VLOOKUP(B10,Sources!$A$2:$D$1000,3)&amp;"_"&amp;C10</f>
        <v>_2020</v>
      </c>
      <c r="I10" s="135">
        <v>43.8</v>
      </c>
      <c r="J10" s="135">
        <v>43.8</v>
      </c>
      <c r="K10" s="135" t="e">
        <f t="shared" si="0"/>
        <v>#NAME?</v>
      </c>
      <c r="L10" s="135" t="e">
        <f t="shared" si="1"/>
        <v>#NAME?</v>
      </c>
      <c r="M10" t="e">
        <f t="shared" si="2"/>
        <v>#NAME?</v>
      </c>
      <c r="N10" s="4">
        <v>38</v>
      </c>
    </row>
    <row r="11" spans="1:21" x14ac:dyDescent="0.3">
      <c r="A11" t="s">
        <v>1187</v>
      </c>
      <c r="B11" t="str">
        <f>'Fuel production cost'!N32</f>
        <v>Ammonfuel2020</v>
      </c>
      <c r="C11">
        <f>IF('Fuel production cost'!B32="",VLOOKUP(B11,Sources!$A$2:$D$1000,4),'Fuel production cost'!B32)</f>
        <v>2025</v>
      </c>
      <c r="D11" t="e">
        <f>VLOOKUP(B11,Sources!$A$2:$D$1000,3)&amp;"_"&amp;C11</f>
        <v>#N/A</v>
      </c>
      <c r="I11" s="135">
        <v>14.8</v>
      </c>
      <c r="J11" s="135">
        <v>19.887499999999999</v>
      </c>
      <c r="K11" s="135" t="e">
        <f t="shared" si="0"/>
        <v>#NAME?</v>
      </c>
      <c r="L11" s="135" t="e">
        <f t="shared" si="1"/>
        <v>#NAME?</v>
      </c>
      <c r="M11" t="e">
        <f t="shared" si="2"/>
        <v>#NAME?</v>
      </c>
      <c r="N11" s="4">
        <v>38</v>
      </c>
    </row>
    <row r="12" spans="1:21" x14ac:dyDescent="0.3">
      <c r="A12" t="s">
        <v>1187</v>
      </c>
      <c r="B12" t="str">
        <f>'Fuel production cost'!N21</f>
        <v>Nayak-Luke2018</v>
      </c>
      <c r="C12">
        <f>IF('Fuel production cost'!B21="",VLOOKUP(B12,Sources!$A$2:$D$1000,4),'Fuel production cost'!B21)</f>
        <v>2025</v>
      </c>
      <c r="D12" t="str">
        <f>VLOOKUP(B12,Sources!$A$2:$D$1000,3)&amp;"_"&amp;C12</f>
        <v>_2025</v>
      </c>
      <c r="I12" s="135">
        <v>35.107526881720425</v>
      </c>
      <c r="J12" s="135">
        <v>35.107526881720425</v>
      </c>
      <c r="K12" s="135" t="e">
        <f t="shared" si="0"/>
        <v>#NAME?</v>
      </c>
      <c r="L12" s="135" t="e">
        <f t="shared" si="1"/>
        <v>#NAME?</v>
      </c>
      <c r="M12" t="e">
        <f t="shared" si="2"/>
        <v>#NAME?</v>
      </c>
      <c r="N12" s="4">
        <v>38</v>
      </c>
    </row>
    <row r="13" spans="1:21" x14ac:dyDescent="0.3">
      <c r="A13" t="s">
        <v>1187</v>
      </c>
      <c r="B13" t="str">
        <f>'Fuel production cost'!N27</f>
        <v>IEA2019</v>
      </c>
      <c r="C13">
        <f>IF('Fuel production cost'!B27="",VLOOKUP(B13,Sources!$A$2:$D$1000,4),'Fuel production cost'!B27)</f>
        <v>2040</v>
      </c>
      <c r="D13" t="str">
        <f>VLOOKUP(B13,Sources!$A$2:$D$1000,3)&amp;"_"&amp;C13</f>
        <v>_2040</v>
      </c>
      <c r="I13" s="135">
        <v>15.32258064516129</v>
      </c>
      <c r="J13" s="135">
        <v>15.32258064516129</v>
      </c>
      <c r="K13" s="135" t="e">
        <f t="shared" si="0"/>
        <v>#NAME?</v>
      </c>
      <c r="L13" s="135" t="e">
        <f t="shared" si="1"/>
        <v>#NAME?</v>
      </c>
      <c r="M13" t="e">
        <f t="shared" si="2"/>
        <v>#NAME?</v>
      </c>
      <c r="N13" s="4">
        <v>38</v>
      </c>
    </row>
    <row r="14" spans="1:21" x14ac:dyDescent="0.3">
      <c r="A14" t="s">
        <v>1187</v>
      </c>
      <c r="B14" t="str">
        <f>'Fuel production cost'!N31</f>
        <v>Ammonfuel2020</v>
      </c>
      <c r="C14">
        <f>IF('Fuel production cost'!B31="",VLOOKUP(B14,Sources!$A$2:$D$1000,4),'Fuel production cost'!B31)</f>
        <v>2040</v>
      </c>
      <c r="D14" t="e">
        <f>VLOOKUP(B14,Sources!$A$2:$D$1000,3)&amp;"_"&amp;C14</f>
        <v>#N/A</v>
      </c>
      <c r="I14" s="135" t="e">
        <f>13.5*EuroDolar</f>
        <v>#NAME?</v>
      </c>
      <c r="J14" s="135" t="e">
        <f>15*EuroDolar</f>
        <v>#NAME?</v>
      </c>
      <c r="K14" s="135" t="e">
        <f t="shared" si="0"/>
        <v>#NAME?</v>
      </c>
      <c r="L14" s="135" t="e">
        <f t="shared" si="1"/>
        <v>#NAME?</v>
      </c>
      <c r="M14" t="e">
        <f t="shared" si="2"/>
        <v>#NAME?</v>
      </c>
      <c r="N14" s="4">
        <v>38</v>
      </c>
    </row>
    <row r="15" spans="1:21" x14ac:dyDescent="0.3">
      <c r="A15" t="s">
        <v>1187</v>
      </c>
      <c r="B15" t="str">
        <f>'Fuel production cost'!N20</f>
        <v>Ikäheimo2018</v>
      </c>
      <c r="C15">
        <f>IF('Fuel production cost'!B20="",VLOOKUP(B15,Sources!$A$2:$D$1000,4),'Fuel production cost'!B20)</f>
        <v>2050</v>
      </c>
      <c r="D15" t="str">
        <f>VLOOKUP(B15,Sources!$A$2:$D$1000,3)&amp;"_"&amp;C15</f>
        <v>_2050</v>
      </c>
      <c r="I15" s="135">
        <v>23.172043010752688</v>
      </c>
      <c r="J15" s="135">
        <v>28.387096774193544</v>
      </c>
      <c r="K15" s="135" t="e">
        <f t="shared" si="0"/>
        <v>#NAME?</v>
      </c>
      <c r="L15" s="135" t="e">
        <f t="shared" si="1"/>
        <v>#NAME?</v>
      </c>
      <c r="M15" t="e">
        <f t="shared" si="2"/>
        <v>#NAME?</v>
      </c>
      <c r="N15" s="4">
        <v>38</v>
      </c>
    </row>
    <row r="16" spans="1:21" x14ac:dyDescent="0.3">
      <c r="I16" s="135"/>
      <c r="J16" s="135"/>
      <c r="K16" s="135"/>
      <c r="L16" s="135"/>
      <c r="N16" s="4"/>
    </row>
    <row r="17" spans="1:14" x14ac:dyDescent="0.3">
      <c r="E17" t="s">
        <v>1243</v>
      </c>
      <c r="F17" t="s">
        <v>1242</v>
      </c>
      <c r="G17" t="s">
        <v>1008</v>
      </c>
      <c r="H17" t="s">
        <v>1007</v>
      </c>
      <c r="I17" t="s">
        <v>372</v>
      </c>
      <c r="J17" t="s">
        <v>373</v>
      </c>
      <c r="K17" t="s">
        <v>372</v>
      </c>
      <c r="L17" t="s">
        <v>373</v>
      </c>
      <c r="M17" t="s">
        <v>1166</v>
      </c>
      <c r="N17" t="s">
        <v>1245</v>
      </c>
    </row>
    <row r="18" spans="1:14" x14ac:dyDescent="0.3">
      <c r="A18" t="s">
        <v>1188</v>
      </c>
      <c r="B18" t="str">
        <f>'Fuel production cost'!N66</f>
        <v>Specht1998</v>
      </c>
      <c r="C18">
        <f>IF('Fuel production cost'!B66="",VLOOKUP(B18,Sources!$A$2:$D$1000,4),'Fuel production cost'!B66)</f>
        <v>0</v>
      </c>
      <c r="D18" t="str">
        <f>VLOOKUP(B18,Sources!$A$2:$D$1000,3)&amp;"_"&amp;C18</f>
        <v>_0</v>
      </c>
      <c r="I18" s="135">
        <v>26.582914572864322</v>
      </c>
      <c r="J18" s="135">
        <v>36.030150753768844</v>
      </c>
      <c r="K18" s="135" t="e">
        <f t="shared" ref="K18:K32" si="3">(I18/EuroDolar)*3.6</f>
        <v>#NAME?</v>
      </c>
      <c r="L18" s="135" t="e">
        <f t="shared" ref="L18:L32" si="4">(J18/EuroDolar)*3.6</f>
        <v>#NAME?</v>
      </c>
      <c r="M18" t="e">
        <f>IF(L18-K18 &lt;&gt; 0, L18-K18, 2)</f>
        <v>#NAME?</v>
      </c>
      <c r="N18" s="4">
        <v>38</v>
      </c>
    </row>
    <row r="19" spans="1:14" x14ac:dyDescent="0.3">
      <c r="A19" t="s">
        <v>1188</v>
      </c>
      <c r="B19" t="str">
        <f>'Fuel production cost'!N65</f>
        <v>Specht1999</v>
      </c>
      <c r="C19">
        <f>IF('Fuel production cost'!B65="",VLOOKUP(B19,Sources!$A$2:$D$1000,4),'Fuel production cost'!B65)</f>
        <v>0</v>
      </c>
      <c r="D19" t="str">
        <f>VLOOKUP(B19,Sources!$A$2:$D$1000,3)&amp;"_"&amp;C19</f>
        <v>_0</v>
      </c>
      <c r="I19" s="135">
        <v>12.964824120603016</v>
      </c>
      <c r="J19" s="135">
        <v>19.447236180904525</v>
      </c>
      <c r="K19" s="135" t="e">
        <f t="shared" si="3"/>
        <v>#NAME?</v>
      </c>
      <c r="L19" s="135" t="e">
        <f t="shared" si="4"/>
        <v>#NAME?</v>
      </c>
      <c r="M19" t="e">
        <f t="shared" ref="M19:M32" si="5">IF(L19-K19 &lt;&gt; 0, L19-K19, 2)</f>
        <v>#NAME?</v>
      </c>
      <c r="N19" s="4">
        <v>38</v>
      </c>
    </row>
    <row r="20" spans="1:14" x14ac:dyDescent="0.3">
      <c r="A20" t="s">
        <v>1188</v>
      </c>
      <c r="B20" t="str">
        <f>'Fuel production cost'!N67</f>
        <v>Mignard2003</v>
      </c>
      <c r="C20">
        <f>IF('Fuel production cost'!B67="",VLOOKUP(B20,Sources!$A$2:$D$1000,4),'Fuel production cost'!B67)</f>
        <v>0</v>
      </c>
      <c r="D20" t="str">
        <f>VLOOKUP(B20,Sources!$A$2:$D$1000,3)&amp;"_"&amp;C20</f>
        <v>_0</v>
      </c>
      <c r="I20" s="135">
        <v>25.025125628140707</v>
      </c>
      <c r="J20" s="135">
        <v>35.728643216080407</v>
      </c>
      <c r="K20" s="135" t="e">
        <f t="shared" si="3"/>
        <v>#NAME?</v>
      </c>
      <c r="L20" s="135" t="e">
        <f t="shared" si="4"/>
        <v>#NAME?</v>
      </c>
      <c r="M20" t="e">
        <f t="shared" si="5"/>
        <v>#NAME?</v>
      </c>
      <c r="N20" s="4">
        <v>38</v>
      </c>
    </row>
    <row r="21" spans="1:14" x14ac:dyDescent="0.3">
      <c r="A21" t="s">
        <v>1188</v>
      </c>
      <c r="B21" t="str">
        <f>'Fuel production cost'!N69</f>
        <v>Clausen2010</v>
      </c>
      <c r="C21">
        <f>IF('Fuel production cost'!B69="",VLOOKUP(B21,Sources!$A$2:$D$1000,4),'Fuel production cost'!B69)</f>
        <v>2018</v>
      </c>
      <c r="D21" t="str">
        <f>VLOOKUP(B21,Sources!$A$2:$D$1000,3)&amp;"_"&amp;C21</f>
        <v>Cheema_2018</v>
      </c>
      <c r="I21" s="135">
        <v>27.889447236180906</v>
      </c>
      <c r="J21" s="135">
        <v>27.889447236180906</v>
      </c>
      <c r="K21" s="135" t="e">
        <f t="shared" si="3"/>
        <v>#NAME?</v>
      </c>
      <c r="L21" s="135" t="e">
        <f t="shared" si="4"/>
        <v>#NAME?</v>
      </c>
      <c r="M21" t="e">
        <f t="shared" si="5"/>
        <v>#NAME?</v>
      </c>
      <c r="N21" s="4">
        <v>38</v>
      </c>
    </row>
    <row r="22" spans="1:14" x14ac:dyDescent="0.3">
      <c r="A22" t="s">
        <v>1188</v>
      </c>
      <c r="B22" t="str">
        <f>'Fuel production cost'!N72</f>
        <v>Matzen2015</v>
      </c>
      <c r="C22">
        <f>IF('Fuel production cost'!B72="",VLOOKUP(B22,Sources!$A$2:$D$1000,4),'Fuel production cost'!B72)</f>
        <v>0</v>
      </c>
      <c r="D22" t="str">
        <f>VLOOKUP(B22,Sources!$A$2:$D$1000,3)&amp;"_"&amp;C22</f>
        <v>_0</v>
      </c>
      <c r="I22" s="135">
        <v>19.547738693467338</v>
      </c>
      <c r="J22" s="135">
        <v>47.1356783919598</v>
      </c>
      <c r="K22" s="135" t="e">
        <f t="shared" si="3"/>
        <v>#NAME?</v>
      </c>
      <c r="L22" s="135" t="e">
        <f t="shared" si="4"/>
        <v>#NAME?</v>
      </c>
      <c r="M22" t="e">
        <f t="shared" si="5"/>
        <v>#NAME?</v>
      </c>
      <c r="N22" s="4">
        <v>38</v>
      </c>
    </row>
    <row r="23" spans="1:14" x14ac:dyDescent="0.3">
      <c r="A23" t="s">
        <v>1188</v>
      </c>
      <c r="B23" t="str">
        <f>'Fuel production cost'!N74</f>
        <v>Tremel2015</v>
      </c>
      <c r="C23">
        <f>IF('Fuel production cost'!B74="",VLOOKUP(B23,Sources!$A$2:$D$1000,4),'Fuel production cost'!B74)</f>
        <v>2015</v>
      </c>
      <c r="D23" t="str">
        <f>VLOOKUP(B23,Sources!$A$2:$D$1000,3)&amp;"_"&amp;C23</f>
        <v>_2015</v>
      </c>
      <c r="I23" s="135">
        <v>49.246231155778901</v>
      </c>
      <c r="J23" s="135">
        <v>49.246231155778901</v>
      </c>
      <c r="K23" s="135" t="e">
        <f t="shared" si="3"/>
        <v>#NAME?</v>
      </c>
      <c r="L23" s="135" t="e">
        <f t="shared" si="4"/>
        <v>#NAME?</v>
      </c>
      <c r="M23" t="e">
        <f t="shared" si="5"/>
        <v>#NAME?</v>
      </c>
      <c r="N23" s="4">
        <v>38</v>
      </c>
    </row>
    <row r="24" spans="1:14" x14ac:dyDescent="0.3">
      <c r="A24" t="s">
        <v>1188</v>
      </c>
      <c r="B24" t="str">
        <f>'Fuel production cost'!N88</f>
        <v>Hannula2015</v>
      </c>
      <c r="C24">
        <f>IF('Fuel production cost'!B88="",VLOOKUP(B24,Sources!$A$2:$D$1000,4),'Fuel production cost'!B88)</f>
        <v>2015</v>
      </c>
      <c r="D24" t="str">
        <f>VLOOKUP(B24,Sources!$A$2:$D$1000,3)&amp;"_"&amp;C24</f>
        <v>_2015</v>
      </c>
      <c r="I24" s="135">
        <v>40</v>
      </c>
      <c r="J24" s="135">
        <v>40</v>
      </c>
      <c r="K24" s="135" t="e">
        <f t="shared" si="3"/>
        <v>#NAME?</v>
      </c>
      <c r="L24" s="135" t="e">
        <f t="shared" si="4"/>
        <v>#NAME?</v>
      </c>
      <c r="M24" t="e">
        <f t="shared" si="5"/>
        <v>#NAME?</v>
      </c>
      <c r="N24" s="4">
        <v>38</v>
      </c>
    </row>
    <row r="25" spans="1:14" x14ac:dyDescent="0.3">
      <c r="A25" t="s">
        <v>1188</v>
      </c>
      <c r="B25" t="str">
        <f>'Fuel production cost'!N70</f>
        <v>Konstantinos2016</v>
      </c>
      <c r="C25">
        <f>IF('Fuel production cost'!B70="",VLOOKUP(B25,Sources!$A$2:$D$1000,4),'Fuel production cost'!B70)</f>
        <v>0</v>
      </c>
      <c r="D25" t="str">
        <f>VLOOKUP(B25,Sources!$A$2:$D$1000,3)&amp;"_"&amp;C25</f>
        <v>_0</v>
      </c>
      <c r="I25" s="135">
        <v>43.718592964824126</v>
      </c>
      <c r="J25" s="135">
        <v>45.879396984924625</v>
      </c>
      <c r="K25" s="135" t="e">
        <f t="shared" si="3"/>
        <v>#NAME?</v>
      </c>
      <c r="L25" s="135" t="e">
        <f t="shared" si="4"/>
        <v>#NAME?</v>
      </c>
      <c r="M25" t="e">
        <f t="shared" si="5"/>
        <v>#NAME?</v>
      </c>
      <c r="N25" s="4">
        <v>38</v>
      </c>
    </row>
    <row r="26" spans="1:14" x14ac:dyDescent="0.3">
      <c r="A26" t="s">
        <v>1188</v>
      </c>
      <c r="B26" t="str">
        <f>'Fuel production cost'!N73</f>
        <v>Peres-Fortes2016</v>
      </c>
      <c r="C26">
        <f>IF('Fuel production cost'!B73="",VLOOKUP(B26,Sources!$A$2:$D$1000,4),'Fuel production cost'!B73)</f>
        <v>0</v>
      </c>
      <c r="D26" t="str">
        <f>VLOOKUP(B26,Sources!$A$2:$D$1000,3)&amp;"_"&amp;C26</f>
        <v>_0</v>
      </c>
      <c r="I26" s="135">
        <v>36.381909547738694</v>
      </c>
      <c r="J26" s="135">
        <v>36.381909547738694</v>
      </c>
      <c r="K26" s="135" t="e">
        <f t="shared" si="3"/>
        <v>#NAME?</v>
      </c>
      <c r="L26" s="135" t="e">
        <f t="shared" si="4"/>
        <v>#NAME?</v>
      </c>
      <c r="M26" t="e">
        <f t="shared" si="5"/>
        <v>#NAME?</v>
      </c>
      <c r="N26" s="4">
        <v>38</v>
      </c>
    </row>
    <row r="27" spans="1:14" x14ac:dyDescent="0.3">
      <c r="A27" t="s">
        <v>1188</v>
      </c>
      <c r="B27" t="str">
        <f>'Fuel production cost'!N77</f>
        <v>Rivera-Tinoco2016</v>
      </c>
      <c r="C27">
        <f>IF('Fuel production cost'!B77="",VLOOKUP(B27,Sources!$A$2:$D$1000,4),'Fuel production cost'!B77)</f>
        <v>0</v>
      </c>
      <c r="D27" t="str">
        <f>VLOOKUP(B27,Sources!$A$2:$D$1000,3)&amp;"_"&amp;C27</f>
        <v>_0</v>
      </c>
      <c r="I27" s="135">
        <v>44.773869346733669</v>
      </c>
      <c r="J27" s="135">
        <v>44.773869346733669</v>
      </c>
      <c r="K27" s="135" t="e">
        <f t="shared" si="3"/>
        <v>#NAME?</v>
      </c>
      <c r="L27" s="135" t="e">
        <f t="shared" si="4"/>
        <v>#NAME?</v>
      </c>
      <c r="M27" t="e">
        <f t="shared" si="5"/>
        <v>#NAME?</v>
      </c>
      <c r="N27" s="4">
        <v>38</v>
      </c>
    </row>
    <row r="28" spans="1:14" x14ac:dyDescent="0.3">
      <c r="A28" t="s">
        <v>1188</v>
      </c>
      <c r="B28" t="str">
        <f>'Fuel production cost'!N78</f>
        <v>Bertau2016</v>
      </c>
      <c r="C28">
        <f>IF('Fuel production cost'!B78="",VLOOKUP(B28,Sources!$A$2:$D$1000,4),'Fuel production cost'!B78)</f>
        <v>2020</v>
      </c>
      <c r="D28" t="str">
        <f>VLOOKUP(B28,Sources!$A$2:$D$1000,3)&amp;"_"&amp;C28</f>
        <v>Armijo_2020</v>
      </c>
      <c r="I28" s="135">
        <v>20.100502512562816</v>
      </c>
      <c r="J28" s="135">
        <v>139.44723618090453</v>
      </c>
      <c r="K28" s="135" t="e">
        <f t="shared" si="3"/>
        <v>#NAME?</v>
      </c>
      <c r="L28" s="135" t="e">
        <f t="shared" si="4"/>
        <v>#NAME?</v>
      </c>
      <c r="M28" t="e">
        <f t="shared" si="5"/>
        <v>#NAME?</v>
      </c>
      <c r="N28" s="4">
        <v>38</v>
      </c>
    </row>
    <row r="29" spans="1:14" x14ac:dyDescent="0.3">
      <c r="A29" t="s">
        <v>1188</v>
      </c>
      <c r="B29" t="str">
        <f>'Fuel production cost'!N61</f>
        <v>Hank2018</v>
      </c>
      <c r="C29">
        <f>IF('Fuel production cost'!B61="",VLOOKUP(B29,Sources!$A$2:$D$1000,4),'Fuel production cost'!B61)</f>
        <v>0</v>
      </c>
      <c r="D29" t="str">
        <f>VLOOKUP(B29,Sources!$A$2:$D$1000,3)&amp;"_"&amp;C29</f>
        <v>_0</v>
      </c>
      <c r="I29" s="135">
        <v>30.552763819095478</v>
      </c>
      <c r="J29" s="135">
        <v>98.9</v>
      </c>
      <c r="K29" s="135" t="e">
        <f t="shared" si="3"/>
        <v>#NAME?</v>
      </c>
      <c r="L29" s="135" t="e">
        <f t="shared" si="4"/>
        <v>#NAME?</v>
      </c>
      <c r="M29" t="e">
        <f t="shared" si="5"/>
        <v>#NAME?</v>
      </c>
      <c r="N29" s="4">
        <v>38</v>
      </c>
    </row>
    <row r="30" spans="1:14" x14ac:dyDescent="0.3">
      <c r="A30" t="s">
        <v>1188</v>
      </c>
      <c r="B30" t="str">
        <f>'Fuel production cost'!N80</f>
        <v>Connolly2014</v>
      </c>
      <c r="C30">
        <f>IF('Fuel production cost'!B80="",VLOOKUP(B30,Sources!$A$2:$D$1000,4),'Fuel production cost'!B80)</f>
        <v>2020</v>
      </c>
      <c r="D30" t="str">
        <f>VLOOKUP(B30,Sources!$A$2:$D$1000,3)&amp;"_"&amp;C30</f>
        <v>_2020</v>
      </c>
      <c r="I30" s="135">
        <v>19</v>
      </c>
      <c r="J30" s="135">
        <v>33</v>
      </c>
      <c r="K30" s="135" t="e">
        <f t="shared" si="3"/>
        <v>#NAME?</v>
      </c>
      <c r="L30" s="135" t="e">
        <f t="shared" si="4"/>
        <v>#NAME?</v>
      </c>
      <c r="M30" t="e">
        <f t="shared" si="5"/>
        <v>#NAME?</v>
      </c>
      <c r="N30" s="4">
        <v>38</v>
      </c>
    </row>
    <row r="31" spans="1:14" x14ac:dyDescent="0.3">
      <c r="A31" t="s">
        <v>1188</v>
      </c>
      <c r="B31" t="str">
        <f>'Fuel production cost'!N75</f>
        <v>Varone2015</v>
      </c>
      <c r="C31">
        <f>IF('Fuel production cost'!B75="",VLOOKUP(B31,Sources!$A$2:$D$1000,4),'Fuel production cost'!B75)</f>
        <v>2050</v>
      </c>
      <c r="D31" t="str">
        <f>VLOOKUP(B31,Sources!$A$2:$D$1000,3)&amp;"_"&amp;C31</f>
        <v>_2050</v>
      </c>
      <c r="I31" s="135">
        <v>22.613065326633169</v>
      </c>
      <c r="J31" s="135">
        <v>24.321608040201006</v>
      </c>
      <c r="K31" s="135" t="e">
        <f t="shared" si="3"/>
        <v>#NAME?</v>
      </c>
      <c r="L31" s="135" t="e">
        <f t="shared" si="4"/>
        <v>#NAME?</v>
      </c>
      <c r="M31" t="e">
        <f t="shared" si="5"/>
        <v>#NAME?</v>
      </c>
      <c r="N31" s="4">
        <v>38</v>
      </c>
    </row>
    <row r="32" spans="1:14" x14ac:dyDescent="0.3">
      <c r="A32" t="s">
        <v>1188</v>
      </c>
      <c r="B32" t="str">
        <f>'Fuel production cost'!N83</f>
        <v>Connolly2014</v>
      </c>
      <c r="C32">
        <f>IF('Fuel production cost'!B83="",VLOOKUP(B32,Sources!$A$2:$D$1000,4),'Fuel production cost'!B83)</f>
        <v>2050</v>
      </c>
      <c r="D32" t="str">
        <f>VLOOKUP(B32,Sources!$A$2:$D$1000,3)&amp;"_"&amp;C32</f>
        <v>_2050</v>
      </c>
      <c r="I32" s="135">
        <v>17</v>
      </c>
      <c r="J32" s="135">
        <v>25</v>
      </c>
      <c r="K32" s="135" t="e">
        <f t="shared" si="3"/>
        <v>#NAME?</v>
      </c>
      <c r="L32" s="135" t="e">
        <f t="shared" si="4"/>
        <v>#NAME?</v>
      </c>
      <c r="M32" t="e">
        <f t="shared" si="5"/>
        <v>#NAME?</v>
      </c>
      <c r="N32" s="4">
        <v>38</v>
      </c>
    </row>
  </sheetData>
  <sortState xmlns:xlrd2="http://schemas.microsoft.com/office/spreadsheetml/2017/richdata2" ref="A17:I31">
    <sortCondition ref="C17:C3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F160"/>
  <sheetViews>
    <sheetView topLeftCell="A40" workbookViewId="0">
      <selection activeCell="D64" sqref="D64"/>
    </sheetView>
  </sheetViews>
  <sheetFormatPr defaultRowHeight="14.4" x14ac:dyDescent="0.3"/>
  <cols>
    <col min="1" max="1" width="50.77734375" customWidth="1"/>
    <col min="2" max="2" width="22.44140625" customWidth="1"/>
    <col min="3" max="3" width="8.77734375" customWidth="1"/>
    <col min="4" max="4" width="41" customWidth="1"/>
    <col min="5" max="5" width="15.77734375" customWidth="1"/>
    <col min="6" max="7" width="10.5546875" customWidth="1"/>
    <col min="8" max="8" width="11.44140625" customWidth="1"/>
    <col min="9" max="9" width="1.44140625" customWidth="1"/>
    <col min="14" max="14" width="5.21875" customWidth="1"/>
    <col min="15" max="15" width="6.5546875" customWidth="1"/>
  </cols>
  <sheetData>
    <row r="1" spans="1:5" x14ac:dyDescent="0.3">
      <c r="A1" s="195" t="s">
        <v>1289</v>
      </c>
      <c r="B1" s="195"/>
      <c r="C1" s="195"/>
    </row>
    <row r="2" spans="1:5" x14ac:dyDescent="0.3">
      <c r="A2" t="s">
        <v>2311</v>
      </c>
      <c r="B2" t="s">
        <v>2312</v>
      </c>
      <c r="C2">
        <f>1/1.183</f>
        <v>0.84530853761622993</v>
      </c>
      <c r="E2" s="74" t="s">
        <v>1290</v>
      </c>
    </row>
    <row r="3" spans="1:5" x14ac:dyDescent="0.3">
      <c r="A3" t="s">
        <v>1772</v>
      </c>
      <c r="B3" t="s">
        <v>1297</v>
      </c>
      <c r="C3">
        <f>1/1.142</f>
        <v>0.87565674255691772</v>
      </c>
      <c r="E3" s="74"/>
    </row>
    <row r="4" spans="1:5" x14ac:dyDescent="0.3">
      <c r="A4" t="s">
        <v>1773</v>
      </c>
      <c r="B4" t="s">
        <v>1298</v>
      </c>
      <c r="C4">
        <f>1/1.1199</f>
        <v>0.89293686936333605</v>
      </c>
    </row>
    <row r="5" spans="1:5" x14ac:dyDescent="0.3">
      <c r="A5" t="s">
        <v>1774</v>
      </c>
      <c r="B5" t="s">
        <v>1299</v>
      </c>
      <c r="C5">
        <f>1/1.1811</f>
        <v>0.84666836000338663</v>
      </c>
      <c r="E5">
        <f>0.011*0.84</f>
        <v>9.2399999999999999E-3</v>
      </c>
    </row>
    <row r="6" spans="1:5" x14ac:dyDescent="0.3">
      <c r="A6" t="s">
        <v>1775</v>
      </c>
      <c r="B6" t="s">
        <v>1300</v>
      </c>
      <c r="C6">
        <f>1/1.1304</f>
        <v>0.88464260438782727</v>
      </c>
    </row>
    <row r="7" spans="1:5" x14ac:dyDescent="0.3">
      <c r="A7" t="s">
        <v>1776</v>
      </c>
      <c r="B7" t="s">
        <v>1301</v>
      </c>
      <c r="C7">
        <f>1/1.1068</f>
        <v>0.90350560173473071</v>
      </c>
    </row>
    <row r="8" spans="1:5" x14ac:dyDescent="0.3">
      <c r="A8" t="s">
        <v>1777</v>
      </c>
      <c r="B8" t="s">
        <v>1302</v>
      </c>
      <c r="C8">
        <f>1/1.11</f>
        <v>0.9009009009009008</v>
      </c>
    </row>
    <row r="9" spans="1:5" x14ac:dyDescent="0.3">
      <c r="A9" t="s">
        <v>1778</v>
      </c>
      <c r="B9" t="s">
        <v>1357</v>
      </c>
      <c r="C9">
        <f>1/1.3283</f>
        <v>0.75284197846871936</v>
      </c>
    </row>
    <row r="10" spans="1:5" x14ac:dyDescent="0.3">
      <c r="A10" t="s">
        <v>1624</v>
      </c>
      <c r="B10" t="s">
        <v>1626</v>
      </c>
      <c r="C10">
        <v>1.0498400000000001</v>
      </c>
      <c r="E10" s="74" t="s">
        <v>1515</v>
      </c>
    </row>
    <row r="11" spans="1:5" x14ac:dyDescent="0.3">
      <c r="A11" t="s">
        <v>1625</v>
      </c>
      <c r="B11" t="s">
        <v>1627</v>
      </c>
      <c r="C11">
        <v>1.0410200000000001</v>
      </c>
    </row>
    <row r="12" spans="1:5" x14ac:dyDescent="0.3">
      <c r="A12" t="s">
        <v>1305</v>
      </c>
      <c r="B12" t="s">
        <v>1291</v>
      </c>
      <c r="C12">
        <v>1.0427900000000001</v>
      </c>
    </row>
    <row r="13" spans="1:5" x14ac:dyDescent="0.3">
      <c r="A13" t="s">
        <v>1443</v>
      </c>
      <c r="B13" t="s">
        <v>1292</v>
      </c>
      <c r="C13">
        <v>1.0401899999999999</v>
      </c>
    </row>
    <row r="14" spans="1:5" x14ac:dyDescent="0.3">
      <c r="A14" t="s">
        <v>1444</v>
      </c>
      <c r="B14" t="s">
        <v>1293</v>
      </c>
      <c r="C14">
        <v>1.02887</v>
      </c>
    </row>
    <row r="15" spans="1:5" x14ac:dyDescent="0.3">
      <c r="A15" t="s">
        <v>1445</v>
      </c>
      <c r="B15" t="s">
        <v>1294</v>
      </c>
      <c r="C15">
        <v>1.01522</v>
      </c>
    </row>
    <row r="16" spans="1:5" x14ac:dyDescent="0.3">
      <c r="A16" t="s">
        <v>1446</v>
      </c>
      <c r="B16" t="s">
        <v>1447</v>
      </c>
      <c r="C16">
        <v>1</v>
      </c>
    </row>
    <row r="17" spans="1:6" x14ac:dyDescent="0.3">
      <c r="A17" t="s">
        <v>1340</v>
      </c>
      <c r="B17" t="s">
        <v>1328</v>
      </c>
      <c r="C17">
        <v>575</v>
      </c>
    </row>
    <row r="18" spans="1:6" x14ac:dyDescent="0.3">
      <c r="A18" t="s">
        <v>1334</v>
      </c>
      <c r="B18" t="s">
        <v>1329</v>
      </c>
      <c r="C18">
        <v>521</v>
      </c>
    </row>
    <row r="19" spans="1:6" x14ac:dyDescent="0.3">
      <c r="A19" t="s">
        <v>1335</v>
      </c>
      <c r="B19" t="s">
        <v>1330</v>
      </c>
      <c r="C19">
        <v>551</v>
      </c>
    </row>
    <row r="20" spans="1:6" x14ac:dyDescent="0.3">
      <c r="A20" t="s">
        <v>1336</v>
      </c>
      <c r="B20" t="s">
        <v>1331</v>
      </c>
      <c r="C20">
        <v>585.70000000000005</v>
      </c>
    </row>
    <row r="21" spans="1:6" x14ac:dyDescent="0.3">
      <c r="A21" t="s">
        <v>1337</v>
      </c>
      <c r="B21" t="s">
        <v>1332</v>
      </c>
      <c r="C21">
        <v>584.6</v>
      </c>
    </row>
    <row r="22" spans="1:6" x14ac:dyDescent="0.3">
      <c r="A22" t="s">
        <v>1338</v>
      </c>
      <c r="B22" t="s">
        <v>1333</v>
      </c>
      <c r="C22">
        <v>567.29999999999995</v>
      </c>
    </row>
    <row r="23" spans="1:6" x14ac:dyDescent="0.3">
      <c r="A23" t="s">
        <v>1339</v>
      </c>
      <c r="B23" t="s">
        <v>1311</v>
      </c>
      <c r="C23">
        <v>576.1</v>
      </c>
    </row>
    <row r="24" spans="1:6" x14ac:dyDescent="0.3">
      <c r="A24" t="s">
        <v>1306</v>
      </c>
      <c r="B24" t="s">
        <v>1312</v>
      </c>
      <c r="C24">
        <v>556.79999999999995</v>
      </c>
    </row>
    <row r="25" spans="1:6" x14ac:dyDescent="0.3">
      <c r="A25" t="s">
        <v>1307</v>
      </c>
      <c r="B25" t="s">
        <v>1313</v>
      </c>
      <c r="C25">
        <v>541.70000000000005</v>
      </c>
    </row>
    <row r="26" spans="1:6" x14ac:dyDescent="0.3">
      <c r="A26" t="s">
        <v>1308</v>
      </c>
      <c r="B26" t="s">
        <v>1314</v>
      </c>
      <c r="C26">
        <v>567.5</v>
      </c>
    </row>
    <row r="27" spans="1:6" x14ac:dyDescent="0.3">
      <c r="A27" t="s">
        <v>1309</v>
      </c>
      <c r="B27" t="s">
        <v>1315</v>
      </c>
      <c r="C27">
        <v>603.1</v>
      </c>
    </row>
    <row r="28" spans="1:6" x14ac:dyDescent="0.3">
      <c r="A28" t="s">
        <v>1310</v>
      </c>
      <c r="B28" t="s">
        <v>1316</v>
      </c>
      <c r="C28">
        <v>607.5</v>
      </c>
    </row>
    <row r="29" spans="1:6" x14ac:dyDescent="0.3">
      <c r="A29" t="s">
        <v>1532</v>
      </c>
      <c r="B29" t="s">
        <v>1323</v>
      </c>
      <c r="C29">
        <v>607.5</v>
      </c>
    </row>
    <row r="31" spans="1:6" x14ac:dyDescent="0.3">
      <c r="A31" s="195" t="s">
        <v>332</v>
      </c>
      <c r="B31" s="195"/>
      <c r="D31" s="15"/>
      <c r="E31" s="15"/>
      <c r="F31" s="15"/>
    </row>
    <row r="32" spans="1:6" x14ac:dyDescent="0.3">
      <c r="A32" t="s">
        <v>6</v>
      </c>
      <c r="B32">
        <v>1.4</v>
      </c>
    </row>
    <row r="33" spans="1:5" x14ac:dyDescent="0.3">
      <c r="A33" t="s">
        <v>31</v>
      </c>
      <c r="B33">
        <v>32</v>
      </c>
    </row>
    <row r="34" spans="1:5" x14ac:dyDescent="0.3">
      <c r="A34" t="s">
        <v>14</v>
      </c>
      <c r="B34">
        <v>2</v>
      </c>
    </row>
    <row r="35" spans="1:5" x14ac:dyDescent="0.3">
      <c r="A35" t="s">
        <v>15</v>
      </c>
      <c r="B35">
        <v>28</v>
      </c>
    </row>
    <row r="36" spans="1:5" x14ac:dyDescent="0.3">
      <c r="A36" t="s">
        <v>16</v>
      </c>
      <c r="B36">
        <v>17</v>
      </c>
    </row>
    <row r="37" spans="1:5" x14ac:dyDescent="0.3">
      <c r="A37" t="s">
        <v>550</v>
      </c>
      <c r="B37">
        <v>44</v>
      </c>
    </row>
    <row r="38" spans="1:5" x14ac:dyDescent="0.3">
      <c r="A38" t="s">
        <v>1006</v>
      </c>
      <c r="B38">
        <v>28</v>
      </c>
    </row>
    <row r="39" spans="1:5" x14ac:dyDescent="0.3">
      <c r="A39" t="s">
        <v>549</v>
      </c>
      <c r="B39">
        <v>32</v>
      </c>
    </row>
    <row r="40" spans="1:5" x14ac:dyDescent="0.3">
      <c r="A40" t="s">
        <v>17</v>
      </c>
      <c r="B40">
        <v>8314</v>
      </c>
    </row>
    <row r="41" spans="1:5" x14ac:dyDescent="0.3">
      <c r="A41" t="s">
        <v>18</v>
      </c>
      <c r="B41">
        <f>1/(3.6*10^6)</f>
        <v>2.7777777777777776E-7</v>
      </c>
    </row>
    <row r="42" spans="1:5" x14ac:dyDescent="0.3">
      <c r="A42" t="s">
        <v>19</v>
      </c>
      <c r="B42">
        <f>20+273.15</f>
        <v>293.14999999999998</v>
      </c>
    </row>
    <row r="43" spans="1:5" x14ac:dyDescent="0.3">
      <c r="A43" t="s">
        <v>330</v>
      </c>
      <c r="B43">
        <v>8.9880000000000002E-2</v>
      </c>
    </row>
    <row r="44" spans="1:5" x14ac:dyDescent="0.3">
      <c r="A44" t="s">
        <v>216</v>
      </c>
      <c r="B44">
        <v>33.58</v>
      </c>
    </row>
    <row r="45" spans="1:5" x14ac:dyDescent="0.3">
      <c r="A45" t="s">
        <v>217</v>
      </c>
      <c r="B45">
        <v>39.69</v>
      </c>
    </row>
    <row r="48" spans="1:5" x14ac:dyDescent="0.3">
      <c r="A48" s="195" t="s">
        <v>837</v>
      </c>
      <c r="B48" s="195"/>
      <c r="D48" s="195" t="s">
        <v>5</v>
      </c>
      <c r="E48" s="195"/>
    </row>
    <row r="49" spans="1:5" x14ac:dyDescent="0.3">
      <c r="A49" t="s">
        <v>12</v>
      </c>
      <c r="B49" t="s">
        <v>32</v>
      </c>
      <c r="D49" t="s">
        <v>327</v>
      </c>
      <c r="E49" s="3">
        <v>0.7</v>
      </c>
    </row>
    <row r="50" spans="1:5" x14ac:dyDescent="0.3">
      <c r="A50" t="s">
        <v>7</v>
      </c>
      <c r="B50" s="65">
        <v>0.97</v>
      </c>
      <c r="D50" t="s">
        <v>328</v>
      </c>
      <c r="E50" s="3">
        <v>0.98</v>
      </c>
    </row>
    <row r="51" spans="1:5" x14ac:dyDescent="0.3">
      <c r="A51" t="s">
        <v>208</v>
      </c>
      <c r="B51">
        <v>2</v>
      </c>
      <c r="D51" t="s">
        <v>335</v>
      </c>
      <c r="E51" s="3">
        <v>20</v>
      </c>
    </row>
    <row r="52" spans="1:5" x14ac:dyDescent="0.3">
      <c r="A52" t="s">
        <v>207</v>
      </c>
      <c r="B52" s="2">
        <f>(1/B51)*(Calculations!B33/Calculations!B34)*B50</f>
        <v>7.76</v>
      </c>
      <c r="D52" t="s">
        <v>8</v>
      </c>
      <c r="E52" s="3">
        <v>100</v>
      </c>
    </row>
    <row r="53" spans="1:5" x14ac:dyDescent="0.3">
      <c r="D53" t="s">
        <v>20</v>
      </c>
      <c r="E53" s="2">
        <f>(1/E49)*(1/E50)*(1/B34)*(B32*B40*B42/(B32-1))*((E52/E51)^((B32-1)/B32)-1)*B41</f>
        <v>1.0083006065962985</v>
      </c>
    </row>
    <row r="54" spans="1:5" x14ac:dyDescent="0.3">
      <c r="A54" t="s">
        <v>28</v>
      </c>
      <c r="B54" s="3">
        <v>1.35</v>
      </c>
      <c r="D54" t="s">
        <v>2293</v>
      </c>
      <c r="E54">
        <f>E53*$B$43</f>
        <v>9.0626058520875311E-2</v>
      </c>
    </row>
    <row r="55" spans="1:5" x14ac:dyDescent="0.3">
      <c r="A55" t="s">
        <v>326</v>
      </c>
      <c r="B55" s="2">
        <f>(B54/B43)</f>
        <v>15.020026702269694</v>
      </c>
    </row>
    <row r="56" spans="1:5" x14ac:dyDescent="0.3">
      <c r="A56" t="s">
        <v>325</v>
      </c>
      <c r="B56" s="2">
        <f>1/B55</f>
        <v>6.6577777777777777E-2</v>
      </c>
    </row>
    <row r="57" spans="1:5" x14ac:dyDescent="0.3">
      <c r="B57" s="2"/>
    </row>
    <row r="58" spans="1:5" x14ac:dyDescent="0.3">
      <c r="A58" t="s">
        <v>40</v>
      </c>
      <c r="B58" s="6">
        <v>3.7</v>
      </c>
    </row>
    <row r="59" spans="1:5" x14ac:dyDescent="0.3">
      <c r="A59" t="s">
        <v>229</v>
      </c>
      <c r="B59" s="2">
        <f>B58/B43</f>
        <v>41.165999109924343</v>
      </c>
    </row>
    <row r="60" spans="1:5" x14ac:dyDescent="0.3">
      <c r="A60" t="s">
        <v>215</v>
      </c>
      <c r="B60" s="6">
        <v>0.69</v>
      </c>
    </row>
    <row r="61" spans="1:5" x14ac:dyDescent="0.3">
      <c r="A61" t="s">
        <v>230</v>
      </c>
      <c r="B61" s="2">
        <f>B44/B60</f>
        <v>48.666666666666671</v>
      </c>
    </row>
    <row r="62" spans="1:5" x14ac:dyDescent="0.3">
      <c r="B62" s="2"/>
    </row>
    <row r="63" spans="1:5" x14ac:dyDescent="0.3">
      <c r="A63" s="16" t="s">
        <v>212</v>
      </c>
      <c r="B63" s="3">
        <v>8000</v>
      </c>
    </row>
    <row r="64" spans="1:5" x14ac:dyDescent="0.3">
      <c r="A64" s="16" t="s">
        <v>214</v>
      </c>
      <c r="B64" s="3">
        <v>80</v>
      </c>
    </row>
    <row r="65" spans="1:5" x14ac:dyDescent="0.3">
      <c r="A65" s="16" t="s">
        <v>213</v>
      </c>
      <c r="B65">
        <f>B64*1000/B63</f>
        <v>10</v>
      </c>
    </row>
    <row r="66" spans="1:5" x14ac:dyDescent="0.3">
      <c r="A66" s="16"/>
    </row>
    <row r="67" spans="1:5" x14ac:dyDescent="0.3">
      <c r="A67" s="16" t="s">
        <v>219</v>
      </c>
      <c r="B67" s="3">
        <v>800</v>
      </c>
    </row>
    <row r="68" spans="1:5" x14ac:dyDescent="0.3">
      <c r="A68" s="16" t="s">
        <v>232</v>
      </c>
      <c r="B68" s="3">
        <v>55</v>
      </c>
    </row>
    <row r="69" spans="1:5" x14ac:dyDescent="0.3">
      <c r="A69" s="16" t="s">
        <v>231</v>
      </c>
      <c r="B69">
        <f>B67*B68</f>
        <v>44000</v>
      </c>
    </row>
    <row r="70" spans="1:5" x14ac:dyDescent="0.3">
      <c r="A70" s="16"/>
    </row>
    <row r="71" spans="1:5" x14ac:dyDescent="0.3">
      <c r="A71" s="16" t="s">
        <v>233</v>
      </c>
      <c r="B71" s="3">
        <f>Calculations!B69</f>
        <v>44000</v>
      </c>
    </row>
    <row r="72" spans="1:5" x14ac:dyDescent="0.3">
      <c r="A72" s="16" t="s">
        <v>1784</v>
      </c>
      <c r="B72" s="65">
        <v>0.02</v>
      </c>
    </row>
    <row r="73" spans="1:5" x14ac:dyDescent="0.3">
      <c r="A73" s="16" t="s">
        <v>1754</v>
      </c>
      <c r="B73">
        <f>B71*B72</f>
        <v>880</v>
      </c>
      <c r="C73" s="196"/>
    </row>
    <row r="74" spans="1:5" x14ac:dyDescent="0.3">
      <c r="B74" s="2"/>
      <c r="C74" s="196"/>
    </row>
    <row r="75" spans="1:5" x14ac:dyDescent="0.3">
      <c r="A75" s="195" t="s">
        <v>3</v>
      </c>
      <c r="B75" s="195"/>
      <c r="D75" s="195" t="s">
        <v>1</v>
      </c>
      <c r="E75" s="195"/>
    </row>
    <row r="76" spans="1:5" x14ac:dyDescent="0.3">
      <c r="A76" t="s">
        <v>12</v>
      </c>
      <c r="B76" t="s">
        <v>13</v>
      </c>
      <c r="D76" t="s">
        <v>9</v>
      </c>
      <c r="E76">
        <v>40</v>
      </c>
    </row>
    <row r="77" spans="1:5" x14ac:dyDescent="0.3">
      <c r="A77" t="s">
        <v>7</v>
      </c>
      <c r="B77" s="3">
        <v>0.98</v>
      </c>
      <c r="D77" t="s">
        <v>22</v>
      </c>
      <c r="E77">
        <v>0.24299999999999999</v>
      </c>
    </row>
    <row r="78" spans="1:5" x14ac:dyDescent="0.3">
      <c r="A78" t="s">
        <v>10</v>
      </c>
      <c r="B78">
        <v>1.5</v>
      </c>
      <c r="D78" t="s">
        <v>24</v>
      </c>
      <c r="E78" s="2">
        <f>E77*B83</f>
        <v>0.2042016806722689</v>
      </c>
    </row>
    <row r="79" spans="1:5" x14ac:dyDescent="0.3">
      <c r="A79" t="s">
        <v>11</v>
      </c>
      <c r="B79">
        <v>0.5</v>
      </c>
      <c r="D79" t="s">
        <v>29</v>
      </c>
      <c r="E79" s="2">
        <f>E78/B81</f>
        <v>1.1340000000000001</v>
      </c>
    </row>
    <row r="80" spans="1:5" x14ac:dyDescent="0.3">
      <c r="D80" t="s">
        <v>34</v>
      </c>
      <c r="E80" s="7">
        <v>1450</v>
      </c>
    </row>
    <row r="81" spans="1:5" x14ac:dyDescent="0.3">
      <c r="A81" t="s">
        <v>26</v>
      </c>
      <c r="B81" s="1">
        <f>(B34/B36)*B78*1/B77</f>
        <v>0.18007202881152459</v>
      </c>
      <c r="D81" t="s">
        <v>35</v>
      </c>
      <c r="E81" s="7">
        <f>E80/B83</f>
        <v>1725.5</v>
      </c>
    </row>
    <row r="82" spans="1:5" x14ac:dyDescent="0.3">
      <c r="A82" t="s">
        <v>1014</v>
      </c>
      <c r="B82" s="1">
        <f>1/B81</f>
        <v>5.5533333333333337</v>
      </c>
      <c r="E82" s="4"/>
    </row>
    <row r="83" spans="1:5" x14ac:dyDescent="0.3">
      <c r="A83" t="s">
        <v>27</v>
      </c>
      <c r="B83" s="1">
        <f>(B35/B36)*B79*1/B77</f>
        <v>0.84033613445378152</v>
      </c>
      <c r="E83" s="4"/>
    </row>
    <row r="84" spans="1:5" x14ac:dyDescent="0.3">
      <c r="B84" s="1"/>
      <c r="E84" s="4"/>
    </row>
    <row r="85" spans="1:5" x14ac:dyDescent="0.3">
      <c r="A85" t="s">
        <v>1015</v>
      </c>
      <c r="B85" s="131">
        <v>15</v>
      </c>
      <c r="E85" s="4"/>
    </row>
    <row r="86" spans="1:5" x14ac:dyDescent="0.3">
      <c r="A86" t="s">
        <v>1022</v>
      </c>
      <c r="B86" s="133">
        <f>(B85/B34)*B81</f>
        <v>1.3505402160864344</v>
      </c>
      <c r="E86" s="4"/>
    </row>
    <row r="87" spans="1:5" x14ac:dyDescent="0.3">
      <c r="B87" s="1"/>
      <c r="E87" s="4"/>
    </row>
    <row r="88" spans="1:5" x14ac:dyDescent="0.3">
      <c r="A88" t="s">
        <v>333</v>
      </c>
      <c r="B88" s="132">
        <v>0.18</v>
      </c>
    </row>
    <row r="89" spans="1:5" x14ac:dyDescent="0.3">
      <c r="A89" t="s">
        <v>30</v>
      </c>
      <c r="B89" s="1">
        <f>B88*B83</f>
        <v>0.15126050420168066</v>
      </c>
    </row>
    <row r="90" spans="1:5" x14ac:dyDescent="0.3">
      <c r="A90" t="s">
        <v>33</v>
      </c>
      <c r="B90">
        <f>B89/B81</f>
        <v>0.84000000000000008</v>
      </c>
    </row>
    <row r="92" spans="1:5" x14ac:dyDescent="0.3">
      <c r="A92" t="s">
        <v>1785</v>
      </c>
      <c r="B92" s="134">
        <v>870</v>
      </c>
    </row>
    <row r="93" spans="1:5" x14ac:dyDescent="0.3">
      <c r="A93" t="s">
        <v>1786</v>
      </c>
      <c r="B93">
        <f>B92*B44</f>
        <v>29214.6</v>
      </c>
    </row>
    <row r="94" spans="1:5" x14ac:dyDescent="0.3">
      <c r="A94" t="s">
        <v>1787</v>
      </c>
      <c r="B94">
        <f>B93*B81</f>
        <v>5260.732292917166</v>
      </c>
    </row>
    <row r="96" spans="1:5" x14ac:dyDescent="0.3">
      <c r="A96" t="s">
        <v>4</v>
      </c>
      <c r="B96" s="3">
        <v>180</v>
      </c>
    </row>
    <row r="97" spans="1:2" x14ac:dyDescent="0.3">
      <c r="A97" t="s">
        <v>327</v>
      </c>
      <c r="B97" s="3">
        <v>0.56000000000000005</v>
      </c>
    </row>
    <row r="98" spans="1:2" x14ac:dyDescent="0.3">
      <c r="A98" t="s">
        <v>328</v>
      </c>
      <c r="B98" s="3">
        <v>0.92</v>
      </c>
    </row>
    <row r="99" spans="1:2" x14ac:dyDescent="0.3">
      <c r="A99" t="s">
        <v>20</v>
      </c>
      <c r="B99" s="2">
        <f>(1/B97)*(1/B98)*(1/B34)*(B32*B40*B42/(B32-1))*((B96/E51)^((B32-1)/B32)-1)*B41</f>
        <v>2.008605651843244</v>
      </c>
    </row>
    <row r="100" spans="1:2" x14ac:dyDescent="0.3">
      <c r="A100" t="s">
        <v>21</v>
      </c>
      <c r="B100" s="2">
        <f>(1/B97)*(1/B98)*(1/B35)*(B32*B40*B42/(B32-1))*((B96/E76)^((B32-1)/B32)-1)*B41</f>
        <v>8.8183318622447465E-2</v>
      </c>
    </row>
    <row r="101" spans="1:2" x14ac:dyDescent="0.3">
      <c r="A101" t="s">
        <v>25</v>
      </c>
      <c r="B101" s="2">
        <f>B99*B81+B83*B100</f>
        <v>0.43579732390420145</v>
      </c>
    </row>
    <row r="102" spans="1:2" x14ac:dyDescent="0.3">
      <c r="B102" s="2"/>
    </row>
    <row r="103" spans="1:2" x14ac:dyDescent="0.3">
      <c r="A103" s="195" t="s">
        <v>546</v>
      </c>
      <c r="B103" s="195"/>
    </row>
    <row r="104" spans="1:2" x14ac:dyDescent="0.3">
      <c r="A104" t="s">
        <v>12</v>
      </c>
      <c r="B104" t="s">
        <v>547</v>
      </c>
    </row>
    <row r="105" spans="1:2" x14ac:dyDescent="0.3">
      <c r="A105" t="s">
        <v>7</v>
      </c>
      <c r="B105" s="3">
        <v>0.94</v>
      </c>
    </row>
    <row r="106" spans="1:2" x14ac:dyDescent="0.3">
      <c r="A106" t="s">
        <v>10</v>
      </c>
      <c r="B106">
        <v>3</v>
      </c>
    </row>
    <row r="107" spans="1:2" x14ac:dyDescent="0.3">
      <c r="A107" t="s">
        <v>548</v>
      </c>
      <c r="B107">
        <v>1</v>
      </c>
    </row>
    <row r="109" spans="1:2" x14ac:dyDescent="0.3">
      <c r="A109" t="s">
        <v>551</v>
      </c>
      <c r="B109" s="1">
        <f>($B$34/$B$39)*B106*1/B105</f>
        <v>0.199468085106383</v>
      </c>
    </row>
    <row r="110" spans="1:2" x14ac:dyDescent="0.3">
      <c r="A110" t="s">
        <v>552</v>
      </c>
      <c r="B110" s="1">
        <f>(B37/B39)*B107*1/B105</f>
        <v>1.4627659574468086</v>
      </c>
    </row>
    <row r="111" spans="1:2" x14ac:dyDescent="0.3">
      <c r="A111" t="s">
        <v>1011</v>
      </c>
      <c r="B111" s="1">
        <f>1/B109</f>
        <v>5.0133333333333328</v>
      </c>
    </row>
    <row r="113" spans="1:3" x14ac:dyDescent="0.3">
      <c r="A113" s="195" t="s">
        <v>1003</v>
      </c>
      <c r="B113" s="195"/>
    </row>
    <row r="114" spans="1:3" x14ac:dyDescent="0.3">
      <c r="A114" t="s">
        <v>12</v>
      </c>
      <c r="B114" t="s">
        <v>1004</v>
      </c>
    </row>
    <row r="115" spans="1:3" x14ac:dyDescent="0.3">
      <c r="A115" t="s">
        <v>7</v>
      </c>
      <c r="B115" s="3">
        <v>0.97</v>
      </c>
    </row>
    <row r="116" spans="1:3" x14ac:dyDescent="0.3">
      <c r="A116" t="s">
        <v>10</v>
      </c>
      <c r="B116">
        <v>2</v>
      </c>
    </row>
    <row r="117" spans="1:3" x14ac:dyDescent="0.3">
      <c r="A117" t="s">
        <v>1010</v>
      </c>
      <c r="B117">
        <v>1</v>
      </c>
    </row>
    <row r="119" spans="1:3" x14ac:dyDescent="0.3">
      <c r="A119" t="s">
        <v>1016</v>
      </c>
      <c r="B119" s="1">
        <f>(B34/B39)*B116*1/B115</f>
        <v>0.12886597938144331</v>
      </c>
    </row>
    <row r="120" spans="1:3" x14ac:dyDescent="0.3">
      <c r="A120" t="s">
        <v>1017</v>
      </c>
      <c r="B120" s="1"/>
    </row>
    <row r="121" spans="1:3" x14ac:dyDescent="0.3">
      <c r="A121" t="s">
        <v>1011</v>
      </c>
      <c r="B121" s="1">
        <f>1/B119</f>
        <v>7.7599999999999989</v>
      </c>
    </row>
    <row r="122" spans="1:3" x14ac:dyDescent="0.3">
      <c r="A122" t="s">
        <v>1005</v>
      </c>
      <c r="B122" s="1">
        <f>(B38/B39)*B117*1/B115</f>
        <v>0.90206185567010311</v>
      </c>
    </row>
    <row r="123" spans="1:3" x14ac:dyDescent="0.3">
      <c r="B123" s="1"/>
    </row>
    <row r="125" spans="1:3" x14ac:dyDescent="0.3">
      <c r="A125" s="194" t="s">
        <v>1831</v>
      </c>
      <c r="B125" s="194"/>
      <c r="C125" s="194"/>
    </row>
    <row r="126" spans="1:3" x14ac:dyDescent="0.3">
      <c r="A126" s="168" t="s">
        <v>1840</v>
      </c>
      <c r="B126" s="3">
        <v>12</v>
      </c>
    </row>
    <row r="127" spans="1:3" x14ac:dyDescent="0.3">
      <c r="A127" s="168" t="s">
        <v>1850</v>
      </c>
      <c r="B127">
        <f>(6.29+0.23*B126)^0.5</f>
        <v>3.0083217912982647</v>
      </c>
    </row>
    <row r="128" spans="1:3" x14ac:dyDescent="0.3">
      <c r="A128" s="168" t="s">
        <v>1849</v>
      </c>
      <c r="B128" s="3">
        <v>0</v>
      </c>
    </row>
    <row r="129" spans="1:5" x14ac:dyDescent="0.3">
      <c r="A129" s="168" t="s">
        <v>1843</v>
      </c>
      <c r="B129" s="3">
        <v>400</v>
      </c>
    </row>
    <row r="130" spans="1:5" x14ac:dyDescent="0.3">
      <c r="A130" s="168" t="s">
        <v>1841</v>
      </c>
      <c r="B130" s="3">
        <v>4085</v>
      </c>
    </row>
    <row r="131" spans="1:5" x14ac:dyDescent="0.3">
      <c r="A131" s="168" t="s">
        <v>1842</v>
      </c>
      <c r="B131">
        <f>(598050*IF(B128=0,B127,B128)/(B129*10^6/8760*0.9)+0.1308*B130)</f>
        <v>578.09675328395758</v>
      </c>
    </row>
    <row r="132" spans="1:5" x14ac:dyDescent="0.3">
      <c r="A132" s="168"/>
    </row>
    <row r="133" spans="1:5" x14ac:dyDescent="0.3">
      <c r="A133" s="193" t="s">
        <v>1801</v>
      </c>
      <c r="B133" s="193"/>
      <c r="C133" s="193"/>
      <c r="D133" s="193" t="s">
        <v>1802</v>
      </c>
      <c r="E133" s="193"/>
    </row>
    <row r="135" spans="1:5" x14ac:dyDescent="0.3">
      <c r="A135" s="193" t="s">
        <v>1803</v>
      </c>
      <c r="B135" s="193"/>
      <c r="C135" s="193"/>
      <c r="D135" s="193" t="s">
        <v>1804</v>
      </c>
      <c r="E135" s="193"/>
    </row>
    <row r="136" spans="1:5" x14ac:dyDescent="0.3">
      <c r="A136" s="193" t="s">
        <v>1805</v>
      </c>
      <c r="B136" s="193"/>
      <c r="C136" s="193"/>
      <c r="D136" s="193" t="s">
        <v>1837</v>
      </c>
      <c r="E136" s="193"/>
    </row>
    <row r="137" spans="1:5" x14ac:dyDescent="0.3">
      <c r="A137" s="168" t="s">
        <v>1834</v>
      </c>
      <c r="B137" s="16"/>
      <c r="C137" s="16"/>
      <c r="D137" s="16" t="s">
        <v>1838</v>
      </c>
      <c r="E137" s="16"/>
    </row>
    <row r="138" spans="1:5" x14ac:dyDescent="0.3">
      <c r="A138" s="168" t="s">
        <v>1835</v>
      </c>
      <c r="B138" s="16"/>
      <c r="C138" s="16"/>
      <c r="D138" s="16" t="s">
        <v>1836</v>
      </c>
      <c r="E138" s="16"/>
    </row>
    <row r="139" spans="1:5" x14ac:dyDescent="0.3">
      <c r="A139" s="168"/>
      <c r="B139" s="16"/>
      <c r="C139" s="16"/>
      <c r="D139" s="16"/>
      <c r="E139" s="16"/>
    </row>
    <row r="140" spans="1:5" x14ac:dyDescent="0.3">
      <c r="A140" s="193" t="s">
        <v>1806</v>
      </c>
      <c r="B140" s="193"/>
      <c r="C140" s="193"/>
      <c r="D140" s="193" t="s">
        <v>1807</v>
      </c>
      <c r="E140" s="193"/>
    </row>
    <row r="141" spans="1:5" x14ac:dyDescent="0.3">
      <c r="A141" s="193" t="s">
        <v>1808</v>
      </c>
      <c r="B141" s="193"/>
      <c r="C141" s="193"/>
      <c r="D141" s="193" t="s">
        <v>1809</v>
      </c>
      <c r="E141" s="193"/>
    </row>
    <row r="142" spans="1:5" x14ac:dyDescent="0.3">
      <c r="A142" s="193" t="s">
        <v>1810</v>
      </c>
      <c r="B142" s="193"/>
      <c r="C142" s="193"/>
      <c r="D142" s="193" t="s">
        <v>1811</v>
      </c>
      <c r="E142" s="193"/>
    </row>
    <row r="143" spans="1:5" x14ac:dyDescent="0.3">
      <c r="A143" s="193" t="s">
        <v>1812</v>
      </c>
      <c r="B143" s="193"/>
      <c r="C143" s="193"/>
      <c r="D143" s="16" t="s">
        <v>1813</v>
      </c>
    </row>
    <row r="145" spans="1:5" x14ac:dyDescent="0.3">
      <c r="A145" s="193" t="s">
        <v>1814</v>
      </c>
      <c r="B145" s="193"/>
      <c r="C145" s="193"/>
      <c r="D145" s="193" t="s">
        <v>1815</v>
      </c>
      <c r="E145" s="193"/>
    </row>
    <row r="146" spans="1:5" x14ac:dyDescent="0.3">
      <c r="A146" s="193" t="s">
        <v>1816</v>
      </c>
      <c r="B146" s="193"/>
      <c r="C146" s="193"/>
      <c r="D146" s="193" t="s">
        <v>1817</v>
      </c>
      <c r="E146" s="193"/>
    </row>
    <row r="147" spans="1:5" x14ac:dyDescent="0.3">
      <c r="A147" s="193" t="s">
        <v>1818</v>
      </c>
      <c r="B147" s="193"/>
      <c r="C147" s="193"/>
      <c r="D147" s="16" t="s">
        <v>1819</v>
      </c>
    </row>
    <row r="149" spans="1:5" x14ac:dyDescent="0.3">
      <c r="A149" s="193" t="s">
        <v>1820</v>
      </c>
      <c r="B149" s="193"/>
      <c r="C149" s="193"/>
      <c r="D149" s="193" t="s">
        <v>1821</v>
      </c>
      <c r="E149" s="193"/>
    </row>
    <row r="150" spans="1:5" x14ac:dyDescent="0.3">
      <c r="A150" s="193" t="s">
        <v>1822</v>
      </c>
      <c r="B150" s="193"/>
      <c r="C150" s="193"/>
      <c r="D150" s="193" t="s">
        <v>1823</v>
      </c>
      <c r="E150" s="193"/>
    </row>
    <row r="151" spans="1:5" x14ac:dyDescent="0.3">
      <c r="A151" s="193" t="s">
        <v>1824</v>
      </c>
      <c r="B151" s="193"/>
      <c r="C151" s="193"/>
      <c r="D151" s="193" t="s">
        <v>1825</v>
      </c>
      <c r="E151" s="193"/>
    </row>
    <row r="152" spans="1:5" x14ac:dyDescent="0.3">
      <c r="A152" s="193" t="s">
        <v>1826</v>
      </c>
      <c r="B152" s="193"/>
      <c r="C152" s="193"/>
      <c r="D152" s="193" t="s">
        <v>1827</v>
      </c>
      <c r="E152" s="193"/>
    </row>
    <row r="154" spans="1:5" x14ac:dyDescent="0.3">
      <c r="A154" s="193" t="s">
        <v>1828</v>
      </c>
      <c r="B154" s="193"/>
      <c r="C154" s="193"/>
      <c r="D154" s="16" t="s">
        <v>1829</v>
      </c>
    </row>
    <row r="155" spans="1:5" x14ac:dyDescent="0.3">
      <c r="A155" s="193" t="s">
        <v>1830</v>
      </c>
      <c r="B155" s="193"/>
      <c r="C155" s="193"/>
    </row>
    <row r="157" spans="1:5" x14ac:dyDescent="0.3">
      <c r="A157" t="s">
        <v>1832</v>
      </c>
    </row>
    <row r="158" spans="1:5" x14ac:dyDescent="0.3">
      <c r="A158" t="s">
        <v>1833</v>
      </c>
    </row>
    <row r="159" spans="1:5" x14ac:dyDescent="0.3">
      <c r="A159" t="s">
        <v>1851</v>
      </c>
    </row>
    <row r="160" spans="1:5" x14ac:dyDescent="0.3">
      <c r="A160" s="168" t="s">
        <v>1834</v>
      </c>
    </row>
  </sheetData>
  <mergeCells count="38">
    <mergeCell ref="A1:C1"/>
    <mergeCell ref="A31:B31"/>
    <mergeCell ref="A48:B48"/>
    <mergeCell ref="D75:E75"/>
    <mergeCell ref="A113:B113"/>
    <mergeCell ref="A103:B103"/>
    <mergeCell ref="D48:E48"/>
    <mergeCell ref="A75:B75"/>
    <mergeCell ref="C73:C74"/>
    <mergeCell ref="A125:C125"/>
    <mergeCell ref="A133:C133"/>
    <mergeCell ref="D133:E133"/>
    <mergeCell ref="A135:C135"/>
    <mergeCell ref="D135:E135"/>
    <mergeCell ref="A136:C136"/>
    <mergeCell ref="D136:E136"/>
    <mergeCell ref="A140:C140"/>
    <mergeCell ref="D140:E140"/>
    <mergeCell ref="A141:C141"/>
    <mergeCell ref="D141:E141"/>
    <mergeCell ref="A142:C142"/>
    <mergeCell ref="D142:E142"/>
    <mergeCell ref="A143:C143"/>
    <mergeCell ref="A145:C145"/>
    <mergeCell ref="D145:E145"/>
    <mergeCell ref="A146:C146"/>
    <mergeCell ref="D146:E146"/>
    <mergeCell ref="A147:C147"/>
    <mergeCell ref="A149:C149"/>
    <mergeCell ref="D149:E149"/>
    <mergeCell ref="A154:C154"/>
    <mergeCell ref="A155:C155"/>
    <mergeCell ref="A150:C150"/>
    <mergeCell ref="D150:E150"/>
    <mergeCell ref="A151:C151"/>
    <mergeCell ref="D151:E151"/>
    <mergeCell ref="A152:C152"/>
    <mergeCell ref="D152:E152"/>
  </mergeCells>
  <hyperlinks>
    <hyperlink ref="E2" r:id="rId1" xr:uid="{00000000-0004-0000-0300-000000000000}"/>
    <hyperlink ref="E10" r:id="rId2" xr:uid="{00000000-0004-0000-0300-000001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52"/>
  <sheetViews>
    <sheetView topLeftCell="D16" workbookViewId="0">
      <selection activeCell="G35" sqref="G35"/>
    </sheetView>
  </sheetViews>
  <sheetFormatPr defaultRowHeight="14.4" x14ac:dyDescent="0.3"/>
  <cols>
    <col min="3" max="3" width="13" customWidth="1"/>
    <col min="4" max="4" width="14.44140625" customWidth="1"/>
    <col min="5" max="5" width="2.5546875" customWidth="1"/>
    <col min="6" max="6" width="10.44140625" customWidth="1"/>
    <col min="7" max="7" width="18.77734375" customWidth="1"/>
    <col min="8" max="8" width="14" customWidth="1"/>
    <col min="9" max="9" width="10.5546875" customWidth="1"/>
    <col min="10" max="10" width="14.5546875" customWidth="1"/>
  </cols>
  <sheetData>
    <row r="1" spans="1:14" x14ac:dyDescent="0.3">
      <c r="A1" t="s">
        <v>938</v>
      </c>
      <c r="B1" t="s">
        <v>975</v>
      </c>
      <c r="C1" t="s">
        <v>977</v>
      </c>
      <c r="D1" t="s">
        <v>978</v>
      </c>
      <c r="G1" t="s">
        <v>968</v>
      </c>
      <c r="H1" t="s">
        <v>976</v>
      </c>
      <c r="I1" t="s">
        <v>959</v>
      </c>
      <c r="J1" t="s">
        <v>974</v>
      </c>
      <c r="K1">
        <f>(N2*10^5)/((N4/N3)*(N1+273.15))</f>
        <v>5.5222589301404943</v>
      </c>
      <c r="M1" t="s">
        <v>960</v>
      </c>
      <c r="N1">
        <v>10</v>
      </c>
    </row>
    <row r="2" spans="1:14" x14ac:dyDescent="0.3">
      <c r="A2">
        <v>0</v>
      </c>
      <c r="B2">
        <f t="shared" ref="B2:B33" si="0">$H$2*A2+$H$3*SQRT(A2)+$H$4</f>
        <v>329000</v>
      </c>
      <c r="C2">
        <f t="shared" ref="C2:C33" si="1">A2*$G$2+$G$3</f>
        <v>324413</v>
      </c>
      <c r="D2">
        <f t="shared" ref="D2:D33" si="2">100*(B2-C2)/B2</f>
        <v>1.394224924012158</v>
      </c>
      <c r="F2" t="s">
        <v>964</v>
      </c>
      <c r="G2" s="3">
        <v>137746</v>
      </c>
      <c r="H2">
        <f>I2*K3</f>
        <v>52261.396490867039</v>
      </c>
      <c r="I2">
        <f>3.4*10^6</f>
        <v>3400000</v>
      </c>
      <c r="J2" t="s">
        <v>973</v>
      </c>
      <c r="K2">
        <v>15</v>
      </c>
      <c r="M2" t="s">
        <v>961</v>
      </c>
      <c r="N2">
        <v>65</v>
      </c>
    </row>
    <row r="3" spans="1:14" x14ac:dyDescent="0.3">
      <c r="A3">
        <v>0.01</v>
      </c>
      <c r="B3">
        <f t="shared" si="0"/>
        <v>336944.04676278314</v>
      </c>
      <c r="C3">
        <f t="shared" si="1"/>
        <v>325790.46000000002</v>
      </c>
      <c r="D3">
        <f t="shared" si="2"/>
        <v>3.3102192693244157</v>
      </c>
      <c r="F3" t="s">
        <v>965</v>
      </c>
      <c r="G3" s="3">
        <v>324413</v>
      </c>
      <c r="H3">
        <f>I3*K4</f>
        <v>74214.327978744419</v>
      </c>
      <c r="I3">
        <f>598.6*10^3</f>
        <v>598600</v>
      </c>
      <c r="J3" t="s">
        <v>957</v>
      </c>
      <c r="K3">
        <f>4/(K1*K2*PI())</f>
        <v>1.537099896790207E-2</v>
      </c>
      <c r="M3" t="s">
        <v>962</v>
      </c>
      <c r="N3">
        <v>2</v>
      </c>
    </row>
    <row r="4" spans="1:14" x14ac:dyDescent="0.3">
      <c r="A4">
        <v>0.02</v>
      </c>
      <c r="B4">
        <f t="shared" si="0"/>
        <v>340540.7188448119</v>
      </c>
      <c r="C4">
        <f t="shared" si="1"/>
        <v>327167.92</v>
      </c>
      <c r="D4">
        <f t="shared" si="2"/>
        <v>3.9269309380021729</v>
      </c>
      <c r="H4">
        <f>I4</f>
        <v>329000</v>
      </c>
      <c r="I4">
        <v>329000</v>
      </c>
      <c r="J4" t="s">
        <v>958</v>
      </c>
      <c r="K4">
        <f>SQRT(K3)</f>
        <v>0.1239798329080261</v>
      </c>
      <c r="M4" t="s">
        <v>963</v>
      </c>
      <c r="N4">
        <v>8314</v>
      </c>
    </row>
    <row r="5" spans="1:14" x14ac:dyDescent="0.3">
      <c r="A5">
        <v>0.03</v>
      </c>
      <c r="B5">
        <f t="shared" si="0"/>
        <v>343422.14056560257</v>
      </c>
      <c r="C5">
        <f t="shared" si="1"/>
        <v>328545.38</v>
      </c>
      <c r="D5">
        <f t="shared" si="2"/>
        <v>4.3319165564285225</v>
      </c>
    </row>
    <row r="6" spans="1:14" x14ac:dyDescent="0.3">
      <c r="A6">
        <v>0.04</v>
      </c>
      <c r="B6">
        <f t="shared" si="0"/>
        <v>345933.32145538356</v>
      </c>
      <c r="C6">
        <f t="shared" si="1"/>
        <v>329922.84000000003</v>
      </c>
      <c r="D6">
        <f t="shared" si="2"/>
        <v>4.6281986910152186</v>
      </c>
      <c r="G6" t="s">
        <v>969</v>
      </c>
    </row>
    <row r="7" spans="1:14" x14ac:dyDescent="0.3">
      <c r="A7">
        <v>0.05</v>
      </c>
      <c r="B7">
        <f t="shared" si="0"/>
        <v>348207.89805103705</v>
      </c>
      <c r="C7">
        <f t="shared" si="1"/>
        <v>331300.3</v>
      </c>
      <c r="D7">
        <f t="shared" si="2"/>
        <v>4.8556044092253474</v>
      </c>
      <c r="G7">
        <f>G2/3600</f>
        <v>38.262777777777778</v>
      </c>
    </row>
    <row r="8" spans="1:14" x14ac:dyDescent="0.3">
      <c r="A8">
        <v>0.06</v>
      </c>
      <c r="B8">
        <f t="shared" si="0"/>
        <v>350314.40730460011</v>
      </c>
      <c r="C8">
        <f t="shared" si="1"/>
        <v>332677.76000000001</v>
      </c>
      <c r="D8">
        <f t="shared" si="2"/>
        <v>5.0345195449711984</v>
      </c>
    </row>
    <row r="9" spans="1:14" x14ac:dyDescent="0.3">
      <c r="A9">
        <v>7.0000000000000007E-2</v>
      </c>
      <c r="B9">
        <f t="shared" si="0"/>
        <v>352293.56330931478</v>
      </c>
      <c r="C9">
        <f t="shared" si="1"/>
        <v>334055.21999999997</v>
      </c>
      <c r="D9">
        <f t="shared" si="2"/>
        <v>5.1770299570592737</v>
      </c>
    </row>
    <row r="10" spans="1:14" x14ac:dyDescent="0.3">
      <c r="A10">
        <v>0.08</v>
      </c>
      <c r="B10">
        <f t="shared" si="0"/>
        <v>354171.89354925847</v>
      </c>
      <c r="C10">
        <f t="shared" si="1"/>
        <v>335432.68</v>
      </c>
      <c r="D10">
        <f t="shared" si="2"/>
        <v>5.2909939751196591</v>
      </c>
    </row>
    <row r="11" spans="1:14" x14ac:dyDescent="0.3">
      <c r="A11">
        <v>0.09</v>
      </c>
      <c r="B11">
        <f t="shared" si="0"/>
        <v>355967.82407780137</v>
      </c>
      <c r="C11">
        <f t="shared" si="1"/>
        <v>336810.14</v>
      </c>
      <c r="D11">
        <f t="shared" si="2"/>
        <v>5.3818583540331995</v>
      </c>
    </row>
    <row r="12" spans="1:14" x14ac:dyDescent="0.3">
      <c r="A12">
        <v>0.1</v>
      </c>
      <c r="B12">
        <f t="shared" si="0"/>
        <v>357694.77079224598</v>
      </c>
      <c r="C12">
        <f t="shared" si="1"/>
        <v>338187.6</v>
      </c>
      <c r="D12">
        <f t="shared" si="2"/>
        <v>5.4535800870223055</v>
      </c>
    </row>
    <row r="13" spans="1:14" x14ac:dyDescent="0.3">
      <c r="A13">
        <v>0.11</v>
      </c>
      <c r="B13">
        <f t="shared" si="0"/>
        <v>359362.8616113824</v>
      </c>
      <c r="C13">
        <f t="shared" si="1"/>
        <v>339565.06</v>
      </c>
      <c r="D13">
        <f t="shared" si="2"/>
        <v>5.5091395706860453</v>
      </c>
    </row>
    <row r="14" spans="1:14" x14ac:dyDescent="0.3">
      <c r="A14">
        <v>0.12</v>
      </c>
      <c r="B14">
        <f t="shared" si="0"/>
        <v>360979.96492065722</v>
      </c>
      <c r="C14">
        <f t="shared" si="1"/>
        <v>340942.52</v>
      </c>
      <c r="D14">
        <f t="shared" si="2"/>
        <v>5.5508468247154381</v>
      </c>
    </row>
    <row r="15" spans="1:14" x14ac:dyDescent="0.3">
      <c r="A15">
        <v>0.13</v>
      </c>
      <c r="B15">
        <f t="shared" si="0"/>
        <v>362552.33803395921</v>
      </c>
      <c r="C15">
        <f t="shared" si="1"/>
        <v>342319.98</v>
      </c>
      <c r="D15">
        <f t="shared" si="2"/>
        <v>5.5805344253673308</v>
      </c>
    </row>
    <row r="16" spans="1:14" x14ac:dyDescent="0.3">
      <c r="A16">
        <v>0.14000000000000001</v>
      </c>
      <c r="B16">
        <f t="shared" si="0"/>
        <v>364085.05435733468</v>
      </c>
      <c r="C16">
        <f t="shared" si="1"/>
        <v>343697.44</v>
      </c>
      <c r="D16">
        <f t="shared" si="2"/>
        <v>5.5996845004588032</v>
      </c>
    </row>
    <row r="17" spans="1:17" x14ac:dyDescent="0.3">
      <c r="A17">
        <v>0.15</v>
      </c>
      <c r="B17">
        <f t="shared" si="0"/>
        <v>365582.29510479525</v>
      </c>
      <c r="C17">
        <f t="shared" si="1"/>
        <v>345074.9</v>
      </c>
      <c r="D17">
        <f t="shared" si="2"/>
        <v>5.6095153893917979</v>
      </c>
    </row>
    <row r="18" spans="1:17" x14ac:dyDescent="0.3">
      <c r="A18">
        <v>0.16</v>
      </c>
      <c r="B18">
        <f t="shared" si="0"/>
        <v>367047.55463003647</v>
      </c>
      <c r="C18">
        <f t="shared" si="1"/>
        <v>346452.36</v>
      </c>
      <c r="D18">
        <f t="shared" si="2"/>
        <v>5.6110425938664248</v>
      </c>
    </row>
    <row r="19" spans="1:17" x14ac:dyDescent="0.3">
      <c r="A19">
        <v>0.17</v>
      </c>
      <c r="B19">
        <f t="shared" si="0"/>
        <v>368483.7887225069</v>
      </c>
      <c r="C19">
        <f t="shared" si="1"/>
        <v>347829.82</v>
      </c>
      <c r="D19">
        <f t="shared" si="2"/>
        <v>5.6051227637752934</v>
      </c>
    </row>
    <row r="20" spans="1:17" x14ac:dyDescent="0.3">
      <c r="A20">
        <v>0.18</v>
      </c>
      <c r="B20">
        <f t="shared" si="0"/>
        <v>369893.52411333966</v>
      </c>
      <c r="C20">
        <f t="shared" si="1"/>
        <v>349207.28</v>
      </c>
      <c r="D20">
        <f t="shared" si="2"/>
        <v>5.5924861520422642</v>
      </c>
    </row>
    <row r="21" spans="1:17" x14ac:dyDescent="0.3">
      <c r="A21">
        <v>0.19</v>
      </c>
      <c r="B21">
        <f t="shared" si="0"/>
        <v>371278.94091547775</v>
      </c>
      <c r="C21">
        <f t="shared" si="1"/>
        <v>350584.74</v>
      </c>
      <c r="D21">
        <f t="shared" si="2"/>
        <v>5.5737610284200931</v>
      </c>
    </row>
    <row r="22" spans="1:17" x14ac:dyDescent="0.3">
      <c r="A22">
        <v>0.2</v>
      </c>
      <c r="B22">
        <f t="shared" si="0"/>
        <v>372641.93575116084</v>
      </c>
      <c r="C22">
        <f t="shared" si="1"/>
        <v>351962.2</v>
      </c>
      <c r="D22">
        <f t="shared" si="2"/>
        <v>5.5494923590591636</v>
      </c>
    </row>
    <row r="23" spans="1:17" x14ac:dyDescent="0.3">
      <c r="A23">
        <v>0.21</v>
      </c>
      <c r="B23">
        <f t="shared" si="0"/>
        <v>373984.17082436959</v>
      </c>
      <c r="C23">
        <f t="shared" si="1"/>
        <v>353339.66</v>
      </c>
      <c r="D23">
        <f t="shared" si="2"/>
        <v>5.5201563154031694</v>
      </c>
    </row>
    <row r="24" spans="1:17" x14ac:dyDescent="0.3">
      <c r="A24">
        <v>0.22</v>
      </c>
      <c r="B24">
        <f t="shared" si="0"/>
        <v>375307.11258361151</v>
      </c>
      <c r="C24">
        <f t="shared" si="1"/>
        <v>354717.12</v>
      </c>
      <c r="D24">
        <f t="shared" si="2"/>
        <v>5.4861716959932227</v>
      </c>
      <c r="I24" t="s">
        <v>1661</v>
      </c>
    </row>
    <row r="25" spans="1:17" x14ac:dyDescent="0.3">
      <c r="A25">
        <v>0.23</v>
      </c>
      <c r="B25">
        <f t="shared" si="0"/>
        <v>376612.0625530926</v>
      </c>
      <c r="C25">
        <f t="shared" si="1"/>
        <v>356094.58</v>
      </c>
      <c r="D25">
        <f t="shared" si="2"/>
        <v>5.447909027130577</v>
      </c>
      <c r="H25" s="36">
        <v>2030</v>
      </c>
      <c r="I25" s="36">
        <v>75.16</v>
      </c>
      <c r="J25" s="36">
        <v>0.76</v>
      </c>
      <c r="K25" s="36">
        <v>8.32</v>
      </c>
      <c r="L25" s="36">
        <v>2.67</v>
      </c>
      <c r="M25" s="36">
        <v>1.01</v>
      </c>
      <c r="N25" s="36">
        <v>16.61</v>
      </c>
      <c r="O25" s="36">
        <v>-3.26</v>
      </c>
      <c r="P25" s="36">
        <v>7.16</v>
      </c>
      <c r="Q25" s="36">
        <v>6.2</v>
      </c>
    </row>
    <row r="26" spans="1:17" x14ac:dyDescent="0.3">
      <c r="A26">
        <v>0.24</v>
      </c>
      <c r="B26">
        <f t="shared" si="0"/>
        <v>377900.18218810431</v>
      </c>
      <c r="C26">
        <f t="shared" si="1"/>
        <v>357472.04</v>
      </c>
      <c r="D26">
        <f t="shared" si="2"/>
        <v>5.4056978935077584</v>
      </c>
      <c r="H26" s="36">
        <v>2050</v>
      </c>
      <c r="I26" s="36">
        <v>127.77</v>
      </c>
      <c r="J26" s="36">
        <v>0.76</v>
      </c>
      <c r="K26" s="36">
        <v>10.26</v>
      </c>
      <c r="L26" s="36">
        <v>2.81</v>
      </c>
      <c r="M26" s="36">
        <v>0.96</v>
      </c>
      <c r="N26" s="36">
        <v>16.05</v>
      </c>
      <c r="O26" s="36">
        <v>-3.26</v>
      </c>
      <c r="P26" s="36">
        <v>9.51</v>
      </c>
      <c r="Q26" s="36">
        <v>6.2</v>
      </c>
    </row>
    <row r="27" spans="1:17" x14ac:dyDescent="0.3">
      <c r="A27">
        <v>0.25</v>
      </c>
      <c r="B27">
        <f t="shared" si="0"/>
        <v>379172.51311208896</v>
      </c>
      <c r="C27">
        <f t="shared" si="1"/>
        <v>358849.5</v>
      </c>
      <c r="D27">
        <f t="shared" si="2"/>
        <v>5.3598329017275512</v>
      </c>
    </row>
    <row r="28" spans="1:17" x14ac:dyDescent="0.3">
      <c r="A28">
        <v>0.26</v>
      </c>
      <c r="B28">
        <f t="shared" si="0"/>
        <v>380429.99374280474</v>
      </c>
      <c r="C28">
        <f t="shared" si="1"/>
        <v>360226.96</v>
      </c>
      <c r="D28">
        <f t="shared" si="2"/>
        <v>5.3105785755849935</v>
      </c>
      <c r="H28" s="36"/>
      <c r="I28" s="36"/>
      <c r="J28" s="36"/>
      <c r="K28" s="36"/>
      <c r="L28" s="36"/>
      <c r="M28" s="36"/>
      <c r="N28" s="36"/>
      <c r="O28" s="36"/>
      <c r="P28" s="36"/>
      <c r="Q28" s="36"/>
    </row>
    <row r="29" spans="1:17" x14ac:dyDescent="0.3">
      <c r="A29">
        <v>0.27</v>
      </c>
      <c r="B29">
        <f t="shared" si="0"/>
        <v>381673.47306516382</v>
      </c>
      <c r="C29">
        <f t="shared" si="1"/>
        <v>361604.42</v>
      </c>
      <c r="D29">
        <f t="shared" si="2"/>
        <v>5.2581734077540707</v>
      </c>
    </row>
    <row r="30" spans="1:17" x14ac:dyDescent="0.3">
      <c r="A30">
        <v>0.28000000000000003</v>
      </c>
      <c r="B30">
        <f t="shared" si="0"/>
        <v>382903.72212735086</v>
      </c>
      <c r="C30">
        <f t="shared" si="1"/>
        <v>362981.88</v>
      </c>
      <c r="D30">
        <f t="shared" si="2"/>
        <v>5.2028332387756224</v>
      </c>
      <c r="I30" t="s">
        <v>1662</v>
      </c>
    </row>
    <row r="31" spans="1:17" x14ac:dyDescent="0.3">
      <c r="A31">
        <v>0.28999999999999998</v>
      </c>
      <c r="B31">
        <f t="shared" si="0"/>
        <v>384121.44370397861</v>
      </c>
      <c r="C31">
        <f t="shared" si="1"/>
        <v>364359.33999999997</v>
      </c>
      <c r="D31">
        <f t="shared" si="2"/>
        <v>5.1447540948034698</v>
      </c>
      <c r="I31" s="126">
        <f t="shared" ref="I31:Q31" si="3">(I25/DE2015_)*E2015_ref</f>
        <v>86.997467004000001</v>
      </c>
      <c r="J31" s="126">
        <f t="shared" si="3"/>
        <v>0.87969764400000017</v>
      </c>
      <c r="K31" s="126">
        <f t="shared" si="3"/>
        <v>9.630374208000001</v>
      </c>
      <c r="L31" s="126">
        <f t="shared" si="3"/>
        <v>3.0905167230000004</v>
      </c>
      <c r="M31" s="126">
        <f t="shared" si="3"/>
        <v>1.1690718690000004</v>
      </c>
      <c r="N31" s="126">
        <f t="shared" si="3"/>
        <v>19.226023509000004</v>
      </c>
      <c r="O31" s="126">
        <f t="shared" si="3"/>
        <v>-3.7734398940000005</v>
      </c>
      <c r="P31" s="126">
        <f t="shared" si="3"/>
        <v>8.287677804000003</v>
      </c>
      <c r="Q31" s="126">
        <f t="shared" si="3"/>
        <v>7.1764807800000012</v>
      </c>
    </row>
    <row r="32" spans="1:17" x14ac:dyDescent="0.3">
      <c r="A32">
        <v>0.3</v>
      </c>
      <c r="B32">
        <f t="shared" si="0"/>
        <v>385327.28047130519</v>
      </c>
      <c r="C32">
        <f t="shared" si="1"/>
        <v>365736.8</v>
      </c>
      <c r="D32">
        <f t="shared" si="2"/>
        <v>5.0841145862663826</v>
      </c>
      <c r="I32" s="126">
        <f t="shared" ref="I32:Q32" si="4">(I26/DE2015_)*E2015_ref</f>
        <v>147.89337891300002</v>
      </c>
      <c r="J32" s="126">
        <f t="shared" si="4"/>
        <v>0.87969764400000017</v>
      </c>
      <c r="K32" s="126">
        <f t="shared" si="4"/>
        <v>11.875918194000002</v>
      </c>
      <c r="L32" s="126">
        <f t="shared" si="4"/>
        <v>3.2525662890000007</v>
      </c>
      <c r="M32" s="126">
        <f t="shared" si="4"/>
        <v>1.1111970240000002</v>
      </c>
      <c r="N32" s="126">
        <f t="shared" si="4"/>
        <v>18.577825245000007</v>
      </c>
      <c r="O32" s="126">
        <f t="shared" si="4"/>
        <v>-3.7734398940000005</v>
      </c>
      <c r="P32" s="126">
        <f t="shared" si="4"/>
        <v>11.007795519000002</v>
      </c>
      <c r="Q32" s="126">
        <f t="shared" si="4"/>
        <v>7.1764807800000012</v>
      </c>
    </row>
    <row r="33" spans="1:4" x14ac:dyDescent="0.3">
      <c r="A33">
        <v>0.31</v>
      </c>
      <c r="B33">
        <f t="shared" si="0"/>
        <v>386521.821965312</v>
      </c>
      <c r="C33">
        <f t="shared" si="1"/>
        <v>367114.26</v>
      </c>
      <c r="D33">
        <f t="shared" si="2"/>
        <v>5.0210779475870586</v>
      </c>
    </row>
    <row r="34" spans="1:4" x14ac:dyDescent="0.3">
      <c r="A34">
        <v>0.32</v>
      </c>
      <c r="B34">
        <f t="shared" ref="B34:B52" si="5">$H$2*A34+$H$3*SQRT(A34)+$H$4</f>
        <v>387705.61053705559</v>
      </c>
      <c r="C34">
        <f t="shared" ref="C34:C52" si="6">A34*$G$2+$G$3</f>
        <v>368491.72</v>
      </c>
      <c r="D34">
        <f t="shared" ref="D34:D52" si="7">100*(B34-C34)/B34</f>
        <v>4.9557937813797039</v>
      </c>
    </row>
    <row r="35" spans="1:4" x14ac:dyDescent="0.3">
      <c r="A35">
        <v>0.33</v>
      </c>
      <c r="B35">
        <f t="shared" si="5"/>
        <v>388879.14647644787</v>
      </c>
      <c r="C35">
        <f t="shared" si="6"/>
        <v>369869.18</v>
      </c>
      <c r="D35">
        <f t="shared" si="7"/>
        <v>4.8883995577271726</v>
      </c>
    </row>
    <row r="36" spans="1:4" x14ac:dyDescent="0.3">
      <c r="A36">
        <v>0.34</v>
      </c>
      <c r="B36">
        <f t="shared" si="5"/>
        <v>390042.89244212781</v>
      </c>
      <c r="C36">
        <f t="shared" si="6"/>
        <v>371246.64</v>
      </c>
      <c r="D36">
        <f t="shared" si="7"/>
        <v>4.8190219092164757</v>
      </c>
    </row>
    <row r="37" spans="1:4" x14ac:dyDescent="0.3">
      <c r="A37">
        <v>0.35</v>
      </c>
      <c r="B37">
        <f t="shared" si="5"/>
        <v>391197.27730894089</v>
      </c>
      <c r="C37">
        <f t="shared" si="6"/>
        <v>372624.1</v>
      </c>
      <c r="D37">
        <f t="shared" si="7"/>
        <v>4.7477777546680322</v>
      </c>
    </row>
    <row r="38" spans="1:4" x14ac:dyDescent="0.3">
      <c r="A38">
        <v>0.36</v>
      </c>
      <c r="B38">
        <f t="shared" si="5"/>
        <v>392342.69952395878</v>
      </c>
      <c r="C38">
        <f t="shared" si="6"/>
        <v>374001.56</v>
      </c>
      <c r="D38">
        <f t="shared" si="7"/>
        <v>4.6747752784014187</v>
      </c>
    </row>
    <row r="39" spans="1:4" x14ac:dyDescent="0.3">
      <c r="A39">
        <v>0.37</v>
      </c>
      <c r="B39">
        <f t="shared" si="5"/>
        <v>393479.53004565777</v>
      </c>
      <c r="C39">
        <f t="shared" si="6"/>
        <v>375379.02</v>
      </c>
      <c r="D39">
        <f t="shared" si="7"/>
        <v>4.6001147870532018</v>
      </c>
    </row>
    <row r="40" spans="1:4" x14ac:dyDescent="0.3">
      <c r="A40">
        <v>0.38</v>
      </c>
      <c r="B40">
        <f t="shared" si="5"/>
        <v>394608.1149278399</v>
      </c>
      <c r="C40">
        <f t="shared" si="6"/>
        <v>376756.47999999998</v>
      </c>
      <c r="D40">
        <f t="shared" si="7"/>
        <v>4.5238894621070722</v>
      </c>
    </row>
    <row r="41" spans="1:4" x14ac:dyDescent="0.3">
      <c r="A41">
        <v>0.39</v>
      </c>
      <c r="B41">
        <f t="shared" si="5"/>
        <v>395728.77759941225</v>
      </c>
      <c r="C41">
        <f t="shared" si="6"/>
        <v>378133.94</v>
      </c>
      <c r="D41">
        <f t="shared" si="7"/>
        <v>4.4461860232017605</v>
      </c>
    </row>
    <row r="42" spans="1:4" x14ac:dyDescent="0.3">
      <c r="A42">
        <v>0.4</v>
      </c>
      <c r="B42">
        <f t="shared" si="5"/>
        <v>396841.82088266534</v>
      </c>
      <c r="C42">
        <f t="shared" si="6"/>
        <v>379511.4</v>
      </c>
      <c r="D42">
        <f t="shared" si="7"/>
        <v>4.3670853147782083</v>
      </c>
    </row>
    <row r="43" spans="1:4" x14ac:dyDescent="0.3">
      <c r="A43">
        <v>0.41</v>
      </c>
      <c r="B43">
        <f t="shared" si="5"/>
        <v>397947.5287858044</v>
      </c>
      <c r="C43">
        <f t="shared" si="6"/>
        <v>380888.86</v>
      </c>
      <c r="D43">
        <f t="shared" si="7"/>
        <v>4.2866628265924627</v>
      </c>
    </row>
    <row r="44" spans="1:4" x14ac:dyDescent="0.3">
      <c r="A44">
        <v>0.42</v>
      </c>
      <c r="B44">
        <f t="shared" si="5"/>
        <v>399046.16809984797</v>
      </c>
      <c r="C44">
        <f t="shared" si="6"/>
        <v>382266.32</v>
      </c>
      <c r="D44">
        <f t="shared" si="7"/>
        <v>4.2049891569562368</v>
      </c>
    </row>
    <row r="45" spans="1:4" x14ac:dyDescent="0.3">
      <c r="A45">
        <v>0.43</v>
      </c>
      <c r="B45">
        <f t="shared" si="5"/>
        <v>400137.98982537305</v>
      </c>
      <c r="C45">
        <f t="shared" si="6"/>
        <v>383643.78</v>
      </c>
      <c r="D45">
        <f t="shared" si="7"/>
        <v>4.1221304261990648</v>
      </c>
    </row>
    <row r="46" spans="1:4" x14ac:dyDescent="0.3">
      <c r="A46">
        <v>0.44</v>
      </c>
      <c r="B46">
        <f t="shared" si="5"/>
        <v>401223.23045075551</v>
      </c>
      <c r="C46">
        <f t="shared" si="6"/>
        <v>385021.24</v>
      </c>
      <c r="D46">
        <f t="shared" si="7"/>
        <v>4.0381486467155305</v>
      </c>
    </row>
    <row r="47" spans="1:4" x14ac:dyDescent="0.3">
      <c r="A47">
        <v>0.45</v>
      </c>
      <c r="B47">
        <f t="shared" si="5"/>
        <v>402302.11310037132</v>
      </c>
      <c r="C47">
        <f t="shared" si="6"/>
        <v>386398.7</v>
      </c>
      <c r="D47">
        <f t="shared" si="7"/>
        <v>3.9531020550228955</v>
      </c>
    </row>
    <row r="48" spans="1:4" x14ac:dyDescent="0.3">
      <c r="A48">
        <v>0.46</v>
      </c>
      <c r="B48">
        <f t="shared" si="5"/>
        <v>403374.84856857191</v>
      </c>
      <c r="C48">
        <f t="shared" si="6"/>
        <v>387776.16000000003</v>
      </c>
      <c r="D48">
        <f t="shared" si="7"/>
        <v>3.867045410472628</v>
      </c>
    </row>
    <row r="49" spans="1:4" x14ac:dyDescent="0.3">
      <c r="A49">
        <v>0.47</v>
      </c>
      <c r="B49">
        <f t="shared" si="5"/>
        <v>404441.63625302259</v>
      </c>
      <c r="C49">
        <f t="shared" si="6"/>
        <v>389153.62</v>
      </c>
      <c r="D49">
        <f t="shared" si="7"/>
        <v>3.7800302646036825</v>
      </c>
    </row>
    <row r="50" spans="1:4" x14ac:dyDescent="0.3">
      <c r="A50">
        <v>0.48</v>
      </c>
      <c r="B50">
        <f t="shared" si="5"/>
        <v>405502.6649991225</v>
      </c>
      <c r="C50">
        <f t="shared" si="6"/>
        <v>390531.08</v>
      </c>
      <c r="D50">
        <f t="shared" si="7"/>
        <v>3.6921052045748901</v>
      </c>
    </row>
    <row r="51" spans="1:4" x14ac:dyDescent="0.3">
      <c r="A51">
        <v>0.49</v>
      </c>
      <c r="B51">
        <f t="shared" si="5"/>
        <v>406558.11386564595</v>
      </c>
      <c r="C51">
        <f t="shared" si="6"/>
        <v>391908.54</v>
      </c>
      <c r="D51">
        <f t="shared" si="7"/>
        <v>3.6033160736492333</v>
      </c>
    </row>
    <row r="52" spans="1:4" x14ac:dyDescent="0.3">
      <c r="A52">
        <v>0.5</v>
      </c>
      <c r="B52">
        <f t="shared" si="5"/>
        <v>407608.15282040625</v>
      </c>
      <c r="C52">
        <f t="shared" si="6"/>
        <v>393286</v>
      </c>
      <c r="D52">
        <f t="shared" si="7"/>
        <v>3.5137061713082676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K50"/>
  <sheetViews>
    <sheetView tabSelected="1" zoomScale="124" zoomScaleNormal="124" workbookViewId="0">
      <pane xSplit="1" topLeftCell="R1" activePane="topRight" state="frozen"/>
      <selection pane="topRight" activeCell="K51" sqref="K51"/>
    </sheetView>
  </sheetViews>
  <sheetFormatPr defaultColWidth="8.77734375" defaultRowHeight="14.4" x14ac:dyDescent="0.3"/>
  <cols>
    <col min="1" max="1" width="14.88671875" style="105" customWidth="1"/>
    <col min="2" max="6" width="4.21875" customWidth="1"/>
    <col min="7" max="7" width="4.21875" style="105" customWidth="1"/>
    <col min="8" max="12" width="4.21875" customWidth="1"/>
    <col min="13" max="13" width="4.21875" style="105" customWidth="1"/>
    <col min="14" max="18" width="4.21875" customWidth="1"/>
    <col min="19" max="19" width="4.21875" style="105" customWidth="1"/>
    <col min="20" max="24" width="4.21875" customWidth="1"/>
    <col min="25" max="25" width="4.21875" style="105" customWidth="1"/>
    <col min="26" max="30" width="4.21875" customWidth="1"/>
    <col min="31" max="31" width="4.21875" style="105" customWidth="1"/>
    <col min="32" max="34" width="4.21875" customWidth="1"/>
    <col min="35" max="35" width="6.77734375" customWidth="1"/>
    <col min="36" max="36" width="6.21875" customWidth="1"/>
    <col min="37" max="37" width="5.5546875" style="105" customWidth="1"/>
  </cols>
  <sheetData>
    <row r="1" spans="1:37" x14ac:dyDescent="0.3">
      <c r="A1" s="104"/>
      <c r="AF1" t="s">
        <v>1474</v>
      </c>
      <c r="AJ1" s="105" t="b">
        <v>1</v>
      </c>
    </row>
    <row r="2" spans="1:37" x14ac:dyDescent="0.3">
      <c r="AF2" t="s">
        <v>1475</v>
      </c>
      <c r="AJ2" s="105" t="b">
        <f>IF(AJ1=TRUE,FALSE,TRUE)</f>
        <v>0</v>
      </c>
    </row>
    <row r="3" spans="1:37" s="83" customFormat="1" ht="16.5" customHeight="1" x14ac:dyDescent="0.3">
      <c r="A3" s="199" t="s">
        <v>700</v>
      </c>
      <c r="B3" s="198" t="s">
        <v>696</v>
      </c>
      <c r="C3" s="198"/>
      <c r="D3" s="198"/>
      <c r="E3" s="198"/>
      <c r="F3" s="198"/>
      <c r="G3" s="198"/>
      <c r="H3" s="197" t="s">
        <v>42</v>
      </c>
      <c r="I3" s="198"/>
      <c r="J3" s="198"/>
      <c r="K3" s="198"/>
      <c r="L3" s="198"/>
      <c r="M3" s="199"/>
      <c r="N3" s="197" t="s">
        <v>101</v>
      </c>
      <c r="O3" s="198"/>
      <c r="P3" s="198"/>
      <c r="Q3" s="198"/>
      <c r="R3" s="198"/>
      <c r="S3" s="199"/>
      <c r="T3" s="197" t="s">
        <v>102</v>
      </c>
      <c r="U3" s="198"/>
      <c r="V3" s="198"/>
      <c r="W3" s="198"/>
      <c r="X3" s="198"/>
      <c r="Y3" s="199"/>
      <c r="Z3" s="197" t="s">
        <v>697</v>
      </c>
      <c r="AA3" s="198"/>
      <c r="AB3" s="198"/>
      <c r="AC3" s="198"/>
      <c r="AD3" s="198"/>
      <c r="AE3" s="199"/>
      <c r="AF3" s="197" t="s">
        <v>103</v>
      </c>
      <c r="AG3" s="198"/>
      <c r="AH3" s="198"/>
      <c r="AI3" s="198"/>
      <c r="AJ3" s="198"/>
      <c r="AK3" s="199"/>
    </row>
    <row r="4" spans="1:37" s="109" customFormat="1" x14ac:dyDescent="0.3">
      <c r="A4" s="200"/>
      <c r="B4" s="108" t="s">
        <v>701</v>
      </c>
      <c r="C4" s="108" t="s">
        <v>699</v>
      </c>
      <c r="D4" s="108" t="s">
        <v>183</v>
      </c>
      <c r="E4" s="108">
        <v>2030</v>
      </c>
      <c r="F4" s="108">
        <v>2040</v>
      </c>
      <c r="G4" s="145">
        <v>2050</v>
      </c>
      <c r="H4" s="108" t="s">
        <v>701</v>
      </c>
      <c r="I4" s="108" t="s">
        <v>699</v>
      </c>
      <c r="J4" s="108" t="s">
        <v>183</v>
      </c>
      <c r="K4" s="108">
        <v>2030</v>
      </c>
      <c r="L4" s="108">
        <v>2040</v>
      </c>
      <c r="M4" s="145">
        <v>2050</v>
      </c>
      <c r="N4" s="108" t="s">
        <v>701</v>
      </c>
      <c r="O4" s="108" t="s">
        <v>699</v>
      </c>
      <c r="P4" s="108" t="s">
        <v>183</v>
      </c>
      <c r="Q4" s="108">
        <v>2030</v>
      </c>
      <c r="R4" s="108">
        <v>2040</v>
      </c>
      <c r="S4" s="145">
        <v>2050</v>
      </c>
      <c r="T4" s="108" t="s">
        <v>701</v>
      </c>
      <c r="U4" s="108" t="s">
        <v>699</v>
      </c>
      <c r="V4" s="108" t="s">
        <v>183</v>
      </c>
      <c r="W4" s="108">
        <v>2030</v>
      </c>
      <c r="X4" s="108">
        <v>2040</v>
      </c>
      <c r="Y4" s="145">
        <v>2050</v>
      </c>
      <c r="Z4" s="108" t="s">
        <v>701</v>
      </c>
      <c r="AA4" s="108" t="s">
        <v>699</v>
      </c>
      <c r="AB4" s="108" t="s">
        <v>183</v>
      </c>
      <c r="AC4" s="108">
        <v>2030</v>
      </c>
      <c r="AD4" s="108">
        <v>2040</v>
      </c>
      <c r="AE4" s="145">
        <v>2050</v>
      </c>
      <c r="AF4" s="108" t="s">
        <v>701</v>
      </c>
      <c r="AG4" s="108" t="s">
        <v>699</v>
      </c>
      <c r="AH4" s="108" t="s">
        <v>183</v>
      </c>
      <c r="AI4" s="108">
        <v>2030</v>
      </c>
      <c r="AJ4" s="108">
        <v>2040</v>
      </c>
      <c r="AK4" s="145">
        <v>2050</v>
      </c>
    </row>
    <row r="5" spans="1:37" s="83" customFormat="1" x14ac:dyDescent="0.15">
      <c r="A5" s="157" t="s">
        <v>1623</v>
      </c>
      <c r="B5" s="158">
        <f>'Bio-eMeOH plant'!C55</f>
        <v>0</v>
      </c>
      <c r="C5" s="158">
        <f>'Bio-eMeOH plant'!D55</f>
        <v>0</v>
      </c>
      <c r="D5" s="158">
        <f>'Bio-eMeOH plant'!E55</f>
        <v>0</v>
      </c>
      <c r="E5" s="158">
        <f>'Bio-eMeOH plant'!F55</f>
        <v>0</v>
      </c>
      <c r="F5" s="158">
        <f>'Bio-eMeOH plant'!G55</f>
        <v>0</v>
      </c>
      <c r="G5" s="169">
        <f>'Bio-eMeOH plant'!H55</f>
        <v>0</v>
      </c>
      <c r="H5" s="98">
        <v>0.08</v>
      </c>
      <c r="I5" s="98">
        <v>0.08</v>
      </c>
      <c r="J5" s="98">
        <v>0.08</v>
      </c>
      <c r="K5" s="98">
        <v>0.08</v>
      </c>
      <c r="L5" s="98">
        <v>0.08</v>
      </c>
      <c r="M5" s="147">
        <v>0.08</v>
      </c>
      <c r="N5" s="98">
        <v>0.5</v>
      </c>
      <c r="O5" s="98">
        <v>0.5</v>
      </c>
      <c r="P5" s="98">
        <v>0.5</v>
      </c>
      <c r="Q5" s="98">
        <v>0.5</v>
      </c>
      <c r="R5" s="98">
        <v>0.5</v>
      </c>
      <c r="S5" s="147">
        <v>0.5</v>
      </c>
      <c r="T5" s="98">
        <v>0.02</v>
      </c>
      <c r="U5" s="98">
        <v>0.02</v>
      </c>
      <c r="V5" s="98">
        <v>0.02</v>
      </c>
      <c r="W5" s="98">
        <v>0.02</v>
      </c>
      <c r="X5" s="98">
        <v>0.02</v>
      </c>
      <c r="Y5" s="147">
        <v>0.02</v>
      </c>
      <c r="Z5" s="99">
        <f t="shared" ref="Z5:AC7" si="0">B5*0.8</f>
        <v>0</v>
      </c>
      <c r="AA5" s="99">
        <f t="shared" si="0"/>
        <v>0</v>
      </c>
      <c r="AB5" s="99">
        <f t="shared" si="0"/>
        <v>0</v>
      </c>
      <c r="AC5" s="99">
        <f t="shared" si="0"/>
        <v>0</v>
      </c>
      <c r="AD5" s="99">
        <f t="shared" ref="AD5" si="1">F5*0.8</f>
        <v>0</v>
      </c>
      <c r="AE5" s="146">
        <f t="shared" ref="AE5" si="2">G5*0.8</f>
        <v>0</v>
      </c>
      <c r="AF5" s="107">
        <f t="shared" ref="AF5:AK6" si="3">IF($AJ$1=FALSE, IF(B5=0,0,((1-N5)*H5+T5*N5*(1-(1+H5)^-Z5)/(1-(1+T5)^-Z5))/(1-(1+H5)^-B5)), IF(B5=0,0,(H5*(1+H5)^B5)/((1+H5)^B5-1)))</f>
        <v>0</v>
      </c>
      <c r="AG5" s="107">
        <f t="shared" si="3"/>
        <v>0</v>
      </c>
      <c r="AH5" s="107">
        <f t="shared" si="3"/>
        <v>0</v>
      </c>
      <c r="AI5" s="210">
        <f t="shared" si="3"/>
        <v>0</v>
      </c>
      <c r="AJ5" s="107">
        <f t="shared" si="3"/>
        <v>0</v>
      </c>
      <c r="AK5" s="150">
        <f t="shared" si="3"/>
        <v>0</v>
      </c>
    </row>
    <row r="6" spans="1:37" x14ac:dyDescent="0.3">
      <c r="A6" s="97" t="s">
        <v>1590</v>
      </c>
      <c r="B6" s="99">
        <f>'Bio-eMeOH plant'!C18</f>
        <v>25</v>
      </c>
      <c r="C6" s="99">
        <f>'Bio-eMeOH plant'!D18</f>
        <v>25</v>
      </c>
      <c r="D6" s="99">
        <f>'Bio-eMeOH plant'!E18</f>
        <v>25</v>
      </c>
      <c r="E6" s="99">
        <f>'Bio-eMeOH plant'!F18</f>
        <v>25</v>
      </c>
      <c r="F6" s="99">
        <f>'Bio-eMeOH plant'!G18</f>
        <v>25</v>
      </c>
      <c r="G6" s="146">
        <f>'Bio-eMeOH plant'!H18</f>
        <v>25</v>
      </c>
      <c r="H6" s="98">
        <v>0.08</v>
      </c>
      <c r="I6" s="98">
        <v>0.08</v>
      </c>
      <c r="J6" s="98">
        <v>0.08</v>
      </c>
      <c r="K6" s="98">
        <v>0.08</v>
      </c>
      <c r="L6" s="98">
        <v>0.08</v>
      </c>
      <c r="M6" s="147">
        <v>0.08</v>
      </c>
      <c r="N6" s="98">
        <v>0.5</v>
      </c>
      <c r="O6" s="98">
        <v>0.5</v>
      </c>
      <c r="P6" s="98">
        <v>0.5</v>
      </c>
      <c r="Q6" s="98">
        <v>0.5</v>
      </c>
      <c r="R6" s="98">
        <v>0.5</v>
      </c>
      <c r="S6" s="147">
        <v>0.5</v>
      </c>
      <c r="T6" s="98">
        <v>0.02</v>
      </c>
      <c r="U6" s="98">
        <v>0.02</v>
      </c>
      <c r="V6" s="98">
        <v>0.02</v>
      </c>
      <c r="W6" s="98">
        <v>0.02</v>
      </c>
      <c r="X6" s="98">
        <v>0.02</v>
      </c>
      <c r="Y6" s="147">
        <v>0.02</v>
      </c>
      <c r="Z6" s="99">
        <f t="shared" si="0"/>
        <v>20</v>
      </c>
      <c r="AA6" s="99">
        <f t="shared" si="0"/>
        <v>20</v>
      </c>
      <c r="AB6" s="99">
        <f t="shared" si="0"/>
        <v>20</v>
      </c>
      <c r="AC6" s="99">
        <f t="shared" si="0"/>
        <v>20</v>
      </c>
      <c r="AD6" s="99">
        <f t="shared" ref="AD6" si="4">F6*0.8</f>
        <v>20</v>
      </c>
      <c r="AE6" s="146">
        <f t="shared" ref="AE6" si="5">G6*0.8</f>
        <v>20</v>
      </c>
      <c r="AF6" s="107">
        <f t="shared" si="3"/>
        <v>9.3678779051968114E-2</v>
      </c>
      <c r="AG6" s="107">
        <f t="shared" si="3"/>
        <v>9.3678779051968114E-2</v>
      </c>
      <c r="AH6" s="107">
        <f t="shared" si="3"/>
        <v>9.3678779051968114E-2</v>
      </c>
      <c r="AI6" s="210">
        <f t="shared" si="3"/>
        <v>9.3678779051968114E-2</v>
      </c>
      <c r="AJ6" s="107">
        <f t="shared" si="3"/>
        <v>9.3678779051968114E-2</v>
      </c>
      <c r="AK6" s="150">
        <f t="shared" si="3"/>
        <v>9.3678779051968114E-2</v>
      </c>
    </row>
    <row r="7" spans="1:37" x14ac:dyDescent="0.3">
      <c r="A7" s="97" t="s">
        <v>1926</v>
      </c>
      <c r="B7" s="99">
        <f>'MeOH plant + CO2'!C39</f>
        <v>20</v>
      </c>
      <c r="C7" s="99">
        <f>'MeOH plant + CO2'!D39</f>
        <v>20</v>
      </c>
      <c r="D7" s="99">
        <f>'MeOH plant + CO2'!E39</f>
        <v>20</v>
      </c>
      <c r="E7" s="99">
        <f>'MeOH plant + CO2'!F39</f>
        <v>20</v>
      </c>
      <c r="F7" s="99">
        <f>'MeOH plant + CO2'!G39</f>
        <v>20</v>
      </c>
      <c r="G7" s="146">
        <f>'MeOH plant + CO2'!I39</f>
        <v>20</v>
      </c>
      <c r="H7" s="98">
        <v>0.08</v>
      </c>
      <c r="I7" s="98">
        <v>0.08</v>
      </c>
      <c r="J7" s="98">
        <v>0.08</v>
      </c>
      <c r="K7" s="98">
        <v>0.08</v>
      </c>
      <c r="L7" s="98">
        <v>0.08</v>
      </c>
      <c r="M7" s="147">
        <v>0.08</v>
      </c>
      <c r="N7" s="98">
        <v>0.5</v>
      </c>
      <c r="O7" s="98">
        <v>0.5</v>
      </c>
      <c r="P7" s="98">
        <v>0.5</v>
      </c>
      <c r="Q7" s="98">
        <v>0.5</v>
      </c>
      <c r="R7" s="98">
        <v>0.5</v>
      </c>
      <c r="S7" s="147">
        <v>0.5</v>
      </c>
      <c r="T7" s="98">
        <v>0.02</v>
      </c>
      <c r="U7" s="98">
        <v>0.02</v>
      </c>
      <c r="V7" s="98">
        <v>0.02</v>
      </c>
      <c r="W7" s="98">
        <v>0.02</v>
      </c>
      <c r="X7" s="98">
        <v>0.02</v>
      </c>
      <c r="Y7" s="147">
        <v>0.02</v>
      </c>
      <c r="Z7" s="99">
        <f t="shared" si="0"/>
        <v>16</v>
      </c>
      <c r="AA7" s="99">
        <f t="shared" si="0"/>
        <v>16</v>
      </c>
      <c r="AB7" s="99">
        <f t="shared" si="0"/>
        <v>16</v>
      </c>
      <c r="AC7" s="99">
        <f t="shared" si="0"/>
        <v>16</v>
      </c>
      <c r="AD7" s="99">
        <f t="shared" ref="AD7:AE26" si="6">F7*0.8</f>
        <v>16</v>
      </c>
      <c r="AE7" s="146">
        <f t="shared" si="6"/>
        <v>16</v>
      </c>
      <c r="AF7" s="107">
        <f t="shared" ref="AF7:AF27" si="7">IF($AJ$1=FALSE, IF(B7=0,0,((1-N7)*H7+T7*N7*(1-(1+H7)^-Z7)/(1-(1+T7)^-Z7))/(1-(1+H7)^-B7)), IF(B7=0,0,(H7*(1+H7)^B7)/((1+H7)^B7-1)))</f>
        <v>0.10185220882315059</v>
      </c>
      <c r="AG7" s="107">
        <f t="shared" ref="AG7:AG27" si="8">IF($AJ$1=FALSE, IF(C7=0,0,((1-O7)*I7+U7*O7*(1-(1+I7)^-AA7)/(1-(1+U7)^-AA7))/(1-(1+I7)^-C7)), IF(C7=0,0,(I7*(1+I7)^C7)/((1+I7)^C7-1)))</f>
        <v>0.10185220882315059</v>
      </c>
      <c r="AH7" s="107">
        <f t="shared" ref="AH7:AH27" si="9">IF($AJ$1=FALSE, IF(D7=0,0,((1-P7)*J7+V7*P7*(1-(1+J7)^-AB7)/(1-(1+V7)^-AB7))/(1-(1+J7)^-D7)), IF(D7=0,0,(J7*(1+J7)^D7)/((1+J7)^D7-1)))</f>
        <v>0.10185220882315059</v>
      </c>
      <c r="AI7" s="210">
        <f t="shared" ref="AI7:AI27" si="10">IF($AJ$1=FALSE, IF(E7=0,0,((1-Q7)*K7+W7*Q7*(1-(1+K7)^-AC7)/(1-(1+W7)^-AC7))/(1-(1+K7)^-E7)), IF(E7=0,0,(K7*(1+K7)^E7)/((1+K7)^E7-1)))</f>
        <v>0.10185220882315059</v>
      </c>
      <c r="AJ7" s="107">
        <f t="shared" ref="AJ7:AK26" si="11">IF($AJ$1=FALSE, IF(F7=0,0,((1-R7)*L7+X7*R7*(1-(1+L7)^-AD7)/(1-(1+X7)^-AD7))/(1-(1+L7)^-F7)), IF(F7=0,0,(L7*(1+L7)^F7)/((1+L7)^F7-1)))</f>
        <v>0.10185220882315059</v>
      </c>
      <c r="AK7" s="150">
        <f t="shared" si="11"/>
        <v>0.10185220882315059</v>
      </c>
    </row>
    <row r="8" spans="1:37" x14ac:dyDescent="0.3">
      <c r="A8" s="97" t="s">
        <v>1927</v>
      </c>
      <c r="B8" s="99">
        <f>'MeOH plant + CO2'!C59</f>
        <v>20</v>
      </c>
      <c r="C8" s="99">
        <f>'MeOH plant + CO2'!D59</f>
        <v>20</v>
      </c>
      <c r="D8" s="99">
        <f>'MeOH plant + CO2'!E59</f>
        <v>20</v>
      </c>
      <c r="E8" s="99">
        <f>'MeOH plant + CO2'!F59</f>
        <v>20</v>
      </c>
      <c r="F8" s="99">
        <f>'MeOH plant + CO2'!G59</f>
        <v>20</v>
      </c>
      <c r="G8" s="146">
        <f>'MeOH plant + CO2'!I59</f>
        <v>20</v>
      </c>
      <c r="H8" s="98">
        <v>0.08</v>
      </c>
      <c r="I8" s="98">
        <v>0.08</v>
      </c>
      <c r="J8" s="98">
        <v>0.08</v>
      </c>
      <c r="K8" s="98">
        <v>0.08</v>
      </c>
      <c r="L8" s="98">
        <v>0.08</v>
      </c>
      <c r="M8" s="147">
        <v>0.08</v>
      </c>
      <c r="N8" s="98">
        <v>0.5</v>
      </c>
      <c r="O8" s="98">
        <v>0.5</v>
      </c>
      <c r="P8" s="98">
        <v>0.5</v>
      </c>
      <c r="Q8" s="98">
        <v>0.5</v>
      </c>
      <c r="R8" s="98">
        <v>0.5</v>
      </c>
      <c r="S8" s="147">
        <v>0.5</v>
      </c>
      <c r="T8" s="98">
        <v>0.02</v>
      </c>
      <c r="U8" s="98">
        <v>0.02</v>
      </c>
      <c r="V8" s="98">
        <v>0.02</v>
      </c>
      <c r="W8" s="98">
        <v>0.02</v>
      </c>
      <c r="X8" s="98">
        <v>0.02</v>
      </c>
      <c r="Y8" s="147">
        <v>0.02</v>
      </c>
      <c r="Z8" s="99">
        <f t="shared" ref="Z8:Z14" si="12">B8*0.8</f>
        <v>16</v>
      </c>
      <c r="AA8" s="99">
        <f t="shared" ref="AA8:AA14" si="13">C8*0.8</f>
        <v>16</v>
      </c>
      <c r="AB8" s="99">
        <f t="shared" ref="AB8:AB14" si="14">D8*0.8</f>
        <v>16</v>
      </c>
      <c r="AC8" s="99">
        <f t="shared" ref="AC8:AC14" si="15">E8*0.8</f>
        <v>16</v>
      </c>
      <c r="AD8" s="99">
        <f t="shared" ref="AD8:AD14" si="16">F8*0.8</f>
        <v>16</v>
      </c>
      <c r="AE8" s="146">
        <f t="shared" ref="AE8:AE14" si="17">G8*0.8</f>
        <v>16</v>
      </c>
      <c r="AF8" s="107">
        <f t="shared" ref="AF8:AF13" si="18">IF($AJ$1=FALSE, IF(B8=0,0,((1-N8)*H8+T8*N8*(1-(1+H8)^-Z8)/(1-(1+T8)^-Z8))/(1-(1+H8)^-B8)), IF(B8=0,0,(H8*(1+H8)^B8)/((1+H8)^B8-1)))</f>
        <v>0.10185220882315059</v>
      </c>
      <c r="AG8" s="107">
        <f t="shared" ref="AG8:AG13" si="19">IF($AJ$1=FALSE, IF(C8=0,0,((1-O8)*I8+U8*O8*(1-(1+I8)^-AA8)/(1-(1+U8)^-AA8))/(1-(1+I8)^-C8)), IF(C8=0,0,(I8*(1+I8)^C8)/((1+I8)^C8-1)))</f>
        <v>0.10185220882315059</v>
      </c>
      <c r="AH8" s="107">
        <f t="shared" ref="AH8:AH13" si="20">IF($AJ$1=FALSE, IF(D8=0,0,((1-P8)*J8+V8*P8*(1-(1+J8)^-AB8)/(1-(1+V8)^-AB8))/(1-(1+J8)^-D8)), IF(D8=0,0,(J8*(1+J8)^D8)/((1+J8)^D8-1)))</f>
        <v>0.10185220882315059</v>
      </c>
      <c r="AI8" s="210">
        <f t="shared" ref="AI8:AI13" si="21">IF($AJ$1=FALSE, IF(E8=0,0,((1-Q8)*K8+W8*Q8*(1-(1+K8)^-AC8)/(1-(1+W8)^-AC8))/(1-(1+K8)^-E8)), IF(E8=0,0,(K8*(1+K8)^E8)/((1+K8)^E8-1)))</f>
        <v>0.10185220882315059</v>
      </c>
      <c r="AJ8" s="107">
        <f t="shared" ref="AJ8:AJ13" si="22">IF($AJ$1=FALSE, IF(F8=0,0,((1-R8)*L8+X8*R8*(1-(1+L8)^-AD8)/(1-(1+X8)^-AD8))/(1-(1+L8)^-F8)), IF(F8=0,0,(L8*(1+L8)^F8)/((1+L8)^F8-1)))</f>
        <v>0.10185220882315059</v>
      </c>
      <c r="AK8" s="150">
        <f t="shared" ref="AK8:AK13" si="23">IF($AJ$1=FALSE, IF(G8=0,0,((1-S8)*M8+Y8*S8*(1-(1+M8)^-AE8)/(1-(1+Y8)^-AE8))/(1-(1+M8)^-G8)), IF(G8=0,0,(M8*(1+M8)^G8)/((1+M8)^G8-1)))</f>
        <v>0.10185220882315059</v>
      </c>
    </row>
    <row r="9" spans="1:37" x14ac:dyDescent="0.3">
      <c r="A9" s="97" t="s">
        <v>1244</v>
      </c>
      <c r="B9" s="99">
        <f>'MeOH plant + CO2'!C19</f>
        <v>20</v>
      </c>
      <c r="C9" s="99">
        <f>'MeOH plant + CO2'!D19</f>
        <v>25</v>
      </c>
      <c r="D9" s="99">
        <f>'MeOH plant + CO2'!E19</f>
        <v>25</v>
      </c>
      <c r="E9" s="99">
        <f>'MeOH plant + CO2'!F19</f>
        <v>25</v>
      </c>
      <c r="F9" s="99">
        <f>'MeOH plant + CO2'!G19</f>
        <v>25</v>
      </c>
      <c r="G9" s="146">
        <f>'MeOH plant + CO2'!I19</f>
        <v>25</v>
      </c>
      <c r="H9" s="98">
        <v>0.08</v>
      </c>
      <c r="I9" s="98">
        <v>0.08</v>
      </c>
      <c r="J9" s="98">
        <v>0.08</v>
      </c>
      <c r="K9" s="98">
        <v>0.08</v>
      </c>
      <c r="L9" s="98">
        <v>0.08</v>
      </c>
      <c r="M9" s="147">
        <v>0.08</v>
      </c>
      <c r="N9" s="98">
        <v>0.5</v>
      </c>
      <c r="O9" s="98">
        <v>0.5</v>
      </c>
      <c r="P9" s="98">
        <v>0.5</v>
      </c>
      <c r="Q9" s="98">
        <v>0.5</v>
      </c>
      <c r="R9" s="98">
        <v>0.5</v>
      </c>
      <c r="S9" s="147">
        <v>0.5</v>
      </c>
      <c r="T9" s="98">
        <v>0.02</v>
      </c>
      <c r="U9" s="98">
        <v>0.02</v>
      </c>
      <c r="V9" s="98">
        <v>0.02</v>
      </c>
      <c r="W9" s="98">
        <v>0.02</v>
      </c>
      <c r="X9" s="98">
        <v>0.02</v>
      </c>
      <c r="Y9" s="147">
        <v>0.02</v>
      </c>
      <c r="Z9" s="99">
        <f t="shared" si="12"/>
        <v>16</v>
      </c>
      <c r="AA9" s="99">
        <f t="shared" si="13"/>
        <v>20</v>
      </c>
      <c r="AB9" s="99">
        <f t="shared" si="14"/>
        <v>20</v>
      </c>
      <c r="AC9" s="99">
        <f t="shared" si="15"/>
        <v>20</v>
      </c>
      <c r="AD9" s="99">
        <f t="shared" si="16"/>
        <v>20</v>
      </c>
      <c r="AE9" s="146">
        <f t="shared" si="17"/>
        <v>20</v>
      </c>
      <c r="AF9" s="107">
        <f t="shared" si="18"/>
        <v>0.10185220882315059</v>
      </c>
      <c r="AG9" s="107">
        <f t="shared" si="19"/>
        <v>9.3678779051968114E-2</v>
      </c>
      <c r="AH9" s="107">
        <f t="shared" si="20"/>
        <v>9.3678779051968114E-2</v>
      </c>
      <c r="AI9" s="210">
        <f t="shared" si="21"/>
        <v>9.3678779051968114E-2</v>
      </c>
      <c r="AJ9" s="107">
        <f t="shared" si="22"/>
        <v>9.3678779051968114E-2</v>
      </c>
      <c r="AK9" s="150">
        <f t="shared" si="23"/>
        <v>9.3678779051968114E-2</v>
      </c>
    </row>
    <row r="10" spans="1:37" x14ac:dyDescent="0.3">
      <c r="A10" s="97" t="s">
        <v>46</v>
      </c>
      <c r="B10" s="99">
        <f>'NH3 plant + ASU'!C17</f>
        <v>25</v>
      </c>
      <c r="C10" s="99">
        <f>'NH3 plant + ASU'!D17</f>
        <v>25</v>
      </c>
      <c r="D10" s="99">
        <f>'NH3 plant + ASU'!E17</f>
        <v>25</v>
      </c>
      <c r="E10" s="99">
        <f>'NH3 plant + ASU'!F17</f>
        <v>25</v>
      </c>
      <c r="F10" s="99">
        <f>'NH3 plant + ASU'!G17</f>
        <v>25</v>
      </c>
      <c r="G10" s="146">
        <f>'NH3 plant + ASU'!H17</f>
        <v>25</v>
      </c>
      <c r="H10" s="98">
        <v>0.08</v>
      </c>
      <c r="I10" s="98">
        <v>0.08</v>
      </c>
      <c r="J10" s="98">
        <v>0.08</v>
      </c>
      <c r="K10" s="98">
        <f>$K$50</f>
        <v>7.5300000000000006E-2</v>
      </c>
      <c r="L10" s="98">
        <v>0.08</v>
      </c>
      <c r="M10" s="147">
        <v>0.08</v>
      </c>
      <c r="N10" s="98">
        <v>0.5</v>
      </c>
      <c r="O10" s="98">
        <v>0.5</v>
      </c>
      <c r="P10" s="98">
        <v>0.5</v>
      </c>
      <c r="Q10" s="98">
        <v>0.5</v>
      </c>
      <c r="R10" s="98">
        <v>0.5</v>
      </c>
      <c r="S10" s="147">
        <v>0.5</v>
      </c>
      <c r="T10" s="98">
        <v>0.02</v>
      </c>
      <c r="U10" s="98">
        <v>0.02</v>
      </c>
      <c r="V10" s="98">
        <v>0.02</v>
      </c>
      <c r="W10" s="98">
        <v>0.02</v>
      </c>
      <c r="X10" s="98">
        <v>0.02</v>
      </c>
      <c r="Y10" s="147">
        <v>0.02</v>
      </c>
      <c r="Z10" s="99">
        <f t="shared" si="12"/>
        <v>20</v>
      </c>
      <c r="AA10" s="99">
        <f t="shared" si="13"/>
        <v>20</v>
      </c>
      <c r="AB10" s="99">
        <f t="shared" si="14"/>
        <v>20</v>
      </c>
      <c r="AC10" s="99">
        <f t="shared" si="15"/>
        <v>20</v>
      </c>
      <c r="AD10" s="99">
        <f t="shared" si="16"/>
        <v>20</v>
      </c>
      <c r="AE10" s="146">
        <f t="shared" si="17"/>
        <v>20</v>
      </c>
      <c r="AF10" s="107">
        <f t="shared" si="18"/>
        <v>9.3678779051968114E-2</v>
      </c>
      <c r="AG10" s="107">
        <f t="shared" si="19"/>
        <v>9.3678779051968114E-2</v>
      </c>
      <c r="AH10" s="107">
        <f t="shared" si="20"/>
        <v>9.3678779051968114E-2</v>
      </c>
      <c r="AI10" s="210">
        <f t="shared" si="21"/>
        <v>8.9946873351580109E-2</v>
      </c>
      <c r="AJ10" s="107">
        <f t="shared" si="22"/>
        <v>9.3678779051968114E-2</v>
      </c>
      <c r="AK10" s="150">
        <f t="shared" si="23"/>
        <v>9.3678779051968114E-2</v>
      </c>
    </row>
    <row r="11" spans="1:37" x14ac:dyDescent="0.3">
      <c r="A11" s="97" t="s">
        <v>0</v>
      </c>
      <c r="B11" s="99">
        <f>Desalination!C13</f>
        <v>20</v>
      </c>
      <c r="C11" s="99">
        <f>Desalination!D13</f>
        <v>20</v>
      </c>
      <c r="D11" s="99">
        <f>Desalination!E13</f>
        <v>20</v>
      </c>
      <c r="E11" s="99">
        <f>Desalination!F13</f>
        <v>20</v>
      </c>
      <c r="F11" s="99">
        <f>Desalination!G13</f>
        <v>20</v>
      </c>
      <c r="G11" s="146">
        <f>Desalination!H13</f>
        <v>20</v>
      </c>
      <c r="H11" s="98">
        <v>0.08</v>
      </c>
      <c r="I11" s="98">
        <v>0.08</v>
      </c>
      <c r="J11" s="98">
        <v>0.08</v>
      </c>
      <c r="K11" s="98">
        <v>0.08</v>
      </c>
      <c r="L11" s="98">
        <v>0.08</v>
      </c>
      <c r="M11" s="147">
        <v>0.08</v>
      </c>
      <c r="N11" s="98">
        <v>0.5</v>
      </c>
      <c r="O11" s="98">
        <v>0.5</v>
      </c>
      <c r="P11" s="98">
        <v>0.5</v>
      </c>
      <c r="Q11" s="98">
        <v>0.5</v>
      </c>
      <c r="R11" s="98">
        <v>0.5</v>
      </c>
      <c r="S11" s="147">
        <v>0.5</v>
      </c>
      <c r="T11" s="98">
        <v>0.02</v>
      </c>
      <c r="U11" s="98">
        <v>0.02</v>
      </c>
      <c r="V11" s="98">
        <v>0.02</v>
      </c>
      <c r="W11" s="98">
        <v>0.02</v>
      </c>
      <c r="X11" s="98">
        <v>0.02</v>
      </c>
      <c r="Y11" s="147">
        <v>0.02</v>
      </c>
      <c r="Z11" s="99">
        <f t="shared" si="12"/>
        <v>16</v>
      </c>
      <c r="AA11" s="99">
        <f t="shared" si="13"/>
        <v>16</v>
      </c>
      <c r="AB11" s="99">
        <f t="shared" si="14"/>
        <v>16</v>
      </c>
      <c r="AC11" s="99">
        <f t="shared" si="15"/>
        <v>16</v>
      </c>
      <c r="AD11" s="99">
        <f t="shared" si="16"/>
        <v>16</v>
      </c>
      <c r="AE11" s="146">
        <f t="shared" si="17"/>
        <v>16</v>
      </c>
      <c r="AF11" s="107">
        <f t="shared" si="18"/>
        <v>0.10185220882315059</v>
      </c>
      <c r="AG11" s="107">
        <f t="shared" si="19"/>
        <v>0.10185220882315059</v>
      </c>
      <c r="AH11" s="107">
        <f t="shared" si="20"/>
        <v>0.10185220882315059</v>
      </c>
      <c r="AI11" s="210">
        <f t="shared" si="21"/>
        <v>0.10185220882315059</v>
      </c>
      <c r="AJ11" s="107">
        <f t="shared" si="22"/>
        <v>0.10185220882315059</v>
      </c>
      <c r="AK11" s="150">
        <f t="shared" si="23"/>
        <v>0.10185220882315059</v>
      </c>
    </row>
    <row r="12" spans="1:37" x14ac:dyDescent="0.3">
      <c r="A12" s="97" t="s">
        <v>1929</v>
      </c>
      <c r="B12" s="99">
        <f>'Electrolyser + O2+Heat + Grid'!C17</f>
        <v>25</v>
      </c>
      <c r="C12" s="99">
        <f>'Electrolyser + O2+Heat + Grid'!D17</f>
        <v>25</v>
      </c>
      <c r="D12" s="99">
        <f>'Electrolyser + O2+Heat + Grid'!E17</f>
        <v>25</v>
      </c>
      <c r="E12" s="99">
        <f>'Electrolyser + O2+Heat + Grid'!F17</f>
        <v>25</v>
      </c>
      <c r="F12" s="99">
        <f>'Electrolyser + O2+Heat + Grid'!G17</f>
        <v>25</v>
      </c>
      <c r="G12" s="146">
        <f>'Electrolyser + O2+Heat + Grid'!H17</f>
        <v>25</v>
      </c>
      <c r="H12" s="98">
        <v>0.08</v>
      </c>
      <c r="I12" s="98">
        <v>0.08</v>
      </c>
      <c r="J12" s="98">
        <v>0.08</v>
      </c>
      <c r="K12" s="98">
        <v>0.08</v>
      </c>
      <c r="L12" s="98">
        <v>0.08</v>
      </c>
      <c r="M12" s="147">
        <v>0.08</v>
      </c>
      <c r="N12" s="98">
        <v>0.5</v>
      </c>
      <c r="O12" s="98">
        <v>0.5</v>
      </c>
      <c r="P12" s="98">
        <v>0.5</v>
      </c>
      <c r="Q12" s="98">
        <v>0.5</v>
      </c>
      <c r="R12" s="98">
        <v>0.5</v>
      </c>
      <c r="S12" s="147">
        <v>0.5</v>
      </c>
      <c r="T12" s="98">
        <v>0.02</v>
      </c>
      <c r="U12" s="98">
        <v>0.02</v>
      </c>
      <c r="V12" s="98">
        <v>0.02</v>
      </c>
      <c r="W12" s="98">
        <v>0.02</v>
      </c>
      <c r="X12" s="98">
        <v>0.02</v>
      </c>
      <c r="Y12" s="147">
        <v>0.02</v>
      </c>
      <c r="Z12" s="99">
        <f t="shared" si="12"/>
        <v>20</v>
      </c>
      <c r="AA12" s="99">
        <f t="shared" si="13"/>
        <v>20</v>
      </c>
      <c r="AB12" s="99">
        <f t="shared" si="14"/>
        <v>20</v>
      </c>
      <c r="AC12" s="99">
        <f t="shared" si="15"/>
        <v>20</v>
      </c>
      <c r="AD12" s="99">
        <f t="shared" si="16"/>
        <v>20</v>
      </c>
      <c r="AE12" s="146">
        <f t="shared" si="17"/>
        <v>20</v>
      </c>
      <c r="AF12" s="107">
        <f t="shared" si="18"/>
        <v>9.3678779051968114E-2</v>
      </c>
      <c r="AG12" s="107">
        <f t="shared" si="19"/>
        <v>9.3678779051968114E-2</v>
      </c>
      <c r="AH12" s="107">
        <f t="shared" si="20"/>
        <v>9.3678779051968114E-2</v>
      </c>
      <c r="AI12" s="210">
        <f t="shared" si="21"/>
        <v>9.3678779051968114E-2</v>
      </c>
      <c r="AJ12" s="107">
        <f t="shared" si="22"/>
        <v>9.3678779051968114E-2</v>
      </c>
      <c r="AK12" s="150">
        <f t="shared" si="23"/>
        <v>9.3678779051968114E-2</v>
      </c>
    </row>
    <row r="13" spans="1:37" x14ac:dyDescent="0.3">
      <c r="A13" s="97" t="s">
        <v>1916</v>
      </c>
      <c r="B13" s="99">
        <f>'Electrolyser + O2+Heat + Grid'!C36</f>
        <v>25</v>
      </c>
      <c r="C13" s="99">
        <f>'Electrolyser + O2+Heat + Grid'!D36</f>
        <v>25</v>
      </c>
      <c r="D13" s="99">
        <f>'Electrolyser + O2+Heat + Grid'!E36</f>
        <v>25</v>
      </c>
      <c r="E13" s="99">
        <f>'Electrolyser + O2+Heat + Grid'!F36</f>
        <v>25</v>
      </c>
      <c r="F13" s="99">
        <f>'Electrolyser + O2+Heat + Grid'!G36</f>
        <v>25</v>
      </c>
      <c r="G13" s="146">
        <f>'Electrolyser + O2+Heat + Grid'!H36</f>
        <v>25</v>
      </c>
      <c r="H13" s="98">
        <v>0.08</v>
      </c>
      <c r="I13" s="98">
        <v>0.08</v>
      </c>
      <c r="J13" s="98">
        <v>0.08</v>
      </c>
      <c r="K13" s="98">
        <f>$K$50</f>
        <v>7.5300000000000006E-2</v>
      </c>
      <c r="L13" s="98">
        <v>0.08</v>
      </c>
      <c r="M13" s="147">
        <v>0.08</v>
      </c>
      <c r="N13" s="98">
        <v>0.5</v>
      </c>
      <c r="O13" s="98">
        <v>0.5</v>
      </c>
      <c r="P13" s="98">
        <v>0.5</v>
      </c>
      <c r="Q13" s="98">
        <v>0.5</v>
      </c>
      <c r="R13" s="98">
        <v>0.5</v>
      </c>
      <c r="S13" s="147">
        <v>0.5</v>
      </c>
      <c r="T13" s="98">
        <v>0.02</v>
      </c>
      <c r="U13" s="98">
        <v>0.02</v>
      </c>
      <c r="V13" s="98">
        <v>0.02</v>
      </c>
      <c r="W13" s="98">
        <v>0.02</v>
      </c>
      <c r="X13" s="98">
        <v>0.02</v>
      </c>
      <c r="Y13" s="147">
        <v>0.02</v>
      </c>
      <c r="Z13" s="99">
        <f t="shared" si="12"/>
        <v>20</v>
      </c>
      <c r="AA13" s="99">
        <f t="shared" si="13"/>
        <v>20</v>
      </c>
      <c r="AB13" s="99">
        <f t="shared" si="14"/>
        <v>20</v>
      </c>
      <c r="AC13" s="99">
        <f t="shared" si="15"/>
        <v>20</v>
      </c>
      <c r="AD13" s="99">
        <f t="shared" si="16"/>
        <v>20</v>
      </c>
      <c r="AE13" s="146">
        <f t="shared" si="17"/>
        <v>20</v>
      </c>
      <c r="AF13" s="107">
        <f t="shared" si="18"/>
        <v>9.3678779051968114E-2</v>
      </c>
      <c r="AG13" s="107">
        <f t="shared" si="19"/>
        <v>9.3678779051968114E-2</v>
      </c>
      <c r="AH13" s="107">
        <f t="shared" si="20"/>
        <v>9.3678779051968114E-2</v>
      </c>
      <c r="AI13" s="210">
        <f t="shared" si="21"/>
        <v>8.9946873351580109E-2</v>
      </c>
      <c r="AJ13" s="107">
        <f t="shared" si="22"/>
        <v>9.3678779051968114E-2</v>
      </c>
      <c r="AK13" s="150">
        <f t="shared" si="23"/>
        <v>9.3678779051968114E-2</v>
      </c>
    </row>
    <row r="14" spans="1:37" x14ac:dyDescent="0.3">
      <c r="A14" s="97" t="s">
        <v>1023</v>
      </c>
      <c r="B14" s="99">
        <f>' Storage + Transport'!C77</f>
        <v>20</v>
      </c>
      <c r="C14" s="99">
        <f>' Storage + Transport'!D77</f>
        <v>20</v>
      </c>
      <c r="D14" s="99">
        <f>' Storage + Transport'!E77</f>
        <v>20</v>
      </c>
      <c r="E14" s="99">
        <f>' Storage + Transport'!F77</f>
        <v>0</v>
      </c>
      <c r="F14" s="99">
        <f>' Storage + Transport'!G77</f>
        <v>0</v>
      </c>
      <c r="G14" s="146">
        <f>' Storage + Transport'!H77</f>
        <v>0</v>
      </c>
      <c r="H14" s="98">
        <v>0.08</v>
      </c>
      <c r="I14" s="98">
        <v>0.08</v>
      </c>
      <c r="J14" s="98">
        <v>0.08</v>
      </c>
      <c r="K14" s="98">
        <v>0.08</v>
      </c>
      <c r="L14" s="98">
        <v>0.08</v>
      </c>
      <c r="M14" s="147">
        <v>0.08</v>
      </c>
      <c r="N14" s="98">
        <v>0.5</v>
      </c>
      <c r="O14" s="98">
        <v>0.5</v>
      </c>
      <c r="P14" s="98">
        <v>0.5</v>
      </c>
      <c r="Q14" s="98">
        <v>0.5</v>
      </c>
      <c r="R14" s="98">
        <v>0.5</v>
      </c>
      <c r="S14" s="147">
        <v>0.5</v>
      </c>
      <c r="T14" s="98">
        <v>0.02</v>
      </c>
      <c r="U14" s="98">
        <v>0.02</v>
      </c>
      <c r="V14" s="98">
        <v>0.02</v>
      </c>
      <c r="W14" s="98">
        <v>0.02</v>
      </c>
      <c r="X14" s="98">
        <v>0.02</v>
      </c>
      <c r="Y14" s="147">
        <v>0.02</v>
      </c>
      <c r="Z14" s="99">
        <f t="shared" si="12"/>
        <v>16</v>
      </c>
      <c r="AA14" s="99">
        <f t="shared" si="13"/>
        <v>16</v>
      </c>
      <c r="AB14" s="99">
        <f t="shared" si="14"/>
        <v>16</v>
      </c>
      <c r="AC14" s="99">
        <f t="shared" si="15"/>
        <v>0</v>
      </c>
      <c r="AD14" s="99">
        <f t="shared" si="16"/>
        <v>0</v>
      </c>
      <c r="AE14" s="146">
        <f t="shared" si="17"/>
        <v>0</v>
      </c>
      <c r="AF14" s="107">
        <f t="shared" si="7"/>
        <v>0.10185220882315059</v>
      </c>
      <c r="AG14" s="107">
        <f t="shared" si="8"/>
        <v>0.10185220882315059</v>
      </c>
      <c r="AH14" s="107">
        <f t="shared" si="9"/>
        <v>0.10185220882315059</v>
      </c>
      <c r="AI14" s="210">
        <f t="shared" si="10"/>
        <v>0</v>
      </c>
      <c r="AJ14" s="107">
        <f t="shared" si="11"/>
        <v>0</v>
      </c>
      <c r="AK14" s="150">
        <f t="shared" si="11"/>
        <v>0</v>
      </c>
    </row>
    <row r="15" spans="1:37" x14ac:dyDescent="0.3">
      <c r="A15" s="97" t="s">
        <v>1024</v>
      </c>
      <c r="B15" s="99">
        <v>0</v>
      </c>
      <c r="C15" s="99">
        <v>0</v>
      </c>
      <c r="D15" s="99">
        <v>0</v>
      </c>
      <c r="E15" s="99">
        <v>0</v>
      </c>
      <c r="F15" s="99">
        <v>0</v>
      </c>
      <c r="G15" s="146">
        <v>0</v>
      </c>
      <c r="H15" s="98">
        <v>0.08</v>
      </c>
      <c r="I15" s="98">
        <v>0.08</v>
      </c>
      <c r="J15" s="98">
        <v>0.08</v>
      </c>
      <c r="K15" s="98">
        <v>0.08</v>
      </c>
      <c r="L15" s="98">
        <v>0.08</v>
      </c>
      <c r="M15" s="147">
        <v>0.08</v>
      </c>
      <c r="N15" s="98">
        <v>0.5</v>
      </c>
      <c r="O15" s="98">
        <v>0.5</v>
      </c>
      <c r="P15" s="98">
        <v>0.5</v>
      </c>
      <c r="Q15" s="98">
        <v>0.5</v>
      </c>
      <c r="R15" s="98">
        <v>0.5</v>
      </c>
      <c r="S15" s="147">
        <v>0.5</v>
      </c>
      <c r="T15" s="98">
        <v>0.02</v>
      </c>
      <c r="U15" s="98">
        <v>0.02</v>
      </c>
      <c r="V15" s="98">
        <v>0.02</v>
      </c>
      <c r="W15" s="98">
        <v>0.02</v>
      </c>
      <c r="X15" s="98">
        <v>0.02</v>
      </c>
      <c r="Y15" s="147">
        <v>0.02</v>
      </c>
      <c r="Z15" s="99">
        <f t="shared" ref="Z15:Z44" si="24">B15*0.8</f>
        <v>0</v>
      </c>
      <c r="AA15" s="99">
        <f t="shared" ref="AA15:AA44" si="25">C15*0.8</f>
        <v>0</v>
      </c>
      <c r="AB15" s="99">
        <f t="shared" ref="AB15:AB44" si="26">D15*0.8</f>
        <v>0</v>
      </c>
      <c r="AC15" s="99">
        <f t="shared" ref="AC15:AC44" si="27">E15*0.8</f>
        <v>0</v>
      </c>
      <c r="AD15" s="99">
        <f t="shared" si="6"/>
        <v>0</v>
      </c>
      <c r="AE15" s="146">
        <f t="shared" si="6"/>
        <v>0</v>
      </c>
      <c r="AF15" s="107">
        <f t="shared" si="7"/>
        <v>0</v>
      </c>
      <c r="AG15" s="107">
        <f t="shared" si="8"/>
        <v>0</v>
      </c>
      <c r="AH15" s="107">
        <f t="shared" si="9"/>
        <v>0</v>
      </c>
      <c r="AI15" s="210">
        <f t="shared" si="10"/>
        <v>0</v>
      </c>
      <c r="AJ15" s="107">
        <f t="shared" si="11"/>
        <v>0</v>
      </c>
      <c r="AK15" s="150">
        <f t="shared" si="11"/>
        <v>0</v>
      </c>
    </row>
    <row r="16" spans="1:37" x14ac:dyDescent="0.3">
      <c r="A16" s="97" t="s">
        <v>1025</v>
      </c>
      <c r="B16" s="99">
        <v>0</v>
      </c>
      <c r="C16" s="99">
        <v>0</v>
      </c>
      <c r="D16" s="99">
        <v>0</v>
      </c>
      <c r="E16" s="99">
        <v>0</v>
      </c>
      <c r="F16" s="99">
        <v>0</v>
      </c>
      <c r="G16" s="146">
        <v>0</v>
      </c>
      <c r="H16" s="98">
        <v>0.08</v>
      </c>
      <c r="I16" s="98">
        <v>0.08</v>
      </c>
      <c r="J16" s="98">
        <v>0.08</v>
      </c>
      <c r="K16" s="98">
        <v>0.08</v>
      </c>
      <c r="L16" s="98">
        <v>0.08</v>
      </c>
      <c r="M16" s="147">
        <v>0.08</v>
      </c>
      <c r="N16" s="98">
        <v>0.5</v>
      </c>
      <c r="O16" s="98">
        <v>0.5</v>
      </c>
      <c r="P16" s="98">
        <v>0.5</v>
      </c>
      <c r="Q16" s="98">
        <v>0.5</v>
      </c>
      <c r="R16" s="98">
        <v>0.5</v>
      </c>
      <c r="S16" s="147">
        <v>0.5</v>
      </c>
      <c r="T16" s="98">
        <v>0.02</v>
      </c>
      <c r="U16" s="98">
        <v>0.02</v>
      </c>
      <c r="V16" s="98">
        <v>0.02</v>
      </c>
      <c r="W16" s="98">
        <v>0.02</v>
      </c>
      <c r="X16" s="98">
        <v>0.02</v>
      </c>
      <c r="Y16" s="147">
        <v>0.02</v>
      </c>
      <c r="Z16" s="99">
        <f t="shared" si="24"/>
        <v>0</v>
      </c>
      <c r="AA16" s="99">
        <f t="shared" si="25"/>
        <v>0</v>
      </c>
      <c r="AB16" s="99">
        <f t="shared" si="26"/>
        <v>0</v>
      </c>
      <c r="AC16" s="99">
        <f t="shared" si="27"/>
        <v>0</v>
      </c>
      <c r="AD16" s="99">
        <f t="shared" si="6"/>
        <v>0</v>
      </c>
      <c r="AE16" s="146">
        <f t="shared" si="6"/>
        <v>0</v>
      </c>
      <c r="AF16" s="107">
        <f t="shared" si="7"/>
        <v>0</v>
      </c>
      <c r="AG16" s="107">
        <f t="shared" si="8"/>
        <v>0</v>
      </c>
      <c r="AH16" s="107">
        <f t="shared" si="9"/>
        <v>0</v>
      </c>
      <c r="AI16" s="210">
        <f t="shared" si="10"/>
        <v>0</v>
      </c>
      <c r="AJ16" s="107">
        <f t="shared" si="11"/>
        <v>0</v>
      </c>
      <c r="AK16" s="150">
        <f t="shared" si="11"/>
        <v>0</v>
      </c>
    </row>
    <row r="17" spans="1:37" x14ac:dyDescent="0.3">
      <c r="A17" s="97" t="s">
        <v>1026</v>
      </c>
      <c r="B17" s="99">
        <v>0</v>
      </c>
      <c r="C17" s="99">
        <v>0</v>
      </c>
      <c r="D17" s="99">
        <v>0</v>
      </c>
      <c r="E17" s="99">
        <v>0</v>
      </c>
      <c r="F17" s="99">
        <v>0</v>
      </c>
      <c r="G17" s="146">
        <v>0</v>
      </c>
      <c r="H17" s="98">
        <v>0.08</v>
      </c>
      <c r="I17" s="98">
        <v>0.08</v>
      </c>
      <c r="J17" s="98">
        <v>0.08</v>
      </c>
      <c r="K17" s="98">
        <v>0.08</v>
      </c>
      <c r="L17" s="98">
        <v>0.08</v>
      </c>
      <c r="M17" s="147">
        <v>0.08</v>
      </c>
      <c r="N17" s="98">
        <v>0.5</v>
      </c>
      <c r="O17" s="98">
        <v>0.5</v>
      </c>
      <c r="P17" s="98">
        <v>0.5</v>
      </c>
      <c r="Q17" s="98">
        <v>0.5</v>
      </c>
      <c r="R17" s="98">
        <v>0.5</v>
      </c>
      <c r="S17" s="147">
        <v>0.5</v>
      </c>
      <c r="T17" s="98">
        <v>0.02</v>
      </c>
      <c r="U17" s="98">
        <v>0.02</v>
      </c>
      <c r="V17" s="98">
        <v>0.02</v>
      </c>
      <c r="W17" s="98">
        <v>0.02</v>
      </c>
      <c r="X17" s="98">
        <v>0.02</v>
      </c>
      <c r="Y17" s="147">
        <v>0.02</v>
      </c>
      <c r="Z17" s="99">
        <f t="shared" si="24"/>
        <v>0</v>
      </c>
      <c r="AA17" s="99">
        <f t="shared" si="25"/>
        <v>0</v>
      </c>
      <c r="AB17" s="99">
        <f t="shared" si="26"/>
        <v>0</v>
      </c>
      <c r="AC17" s="99">
        <f t="shared" si="27"/>
        <v>0</v>
      </c>
      <c r="AD17" s="99">
        <f t="shared" si="6"/>
        <v>0</v>
      </c>
      <c r="AE17" s="146">
        <f t="shared" si="6"/>
        <v>0</v>
      </c>
      <c r="AF17" s="107">
        <f t="shared" si="7"/>
        <v>0</v>
      </c>
      <c r="AG17" s="107">
        <f t="shared" si="8"/>
        <v>0</v>
      </c>
      <c r="AH17" s="107">
        <f t="shared" si="9"/>
        <v>0</v>
      </c>
      <c r="AI17" s="210">
        <f t="shared" si="10"/>
        <v>0</v>
      </c>
      <c r="AJ17" s="107">
        <f t="shared" si="11"/>
        <v>0</v>
      </c>
      <c r="AK17" s="150">
        <f t="shared" si="11"/>
        <v>0</v>
      </c>
    </row>
    <row r="18" spans="1:37" x14ac:dyDescent="0.3">
      <c r="A18" s="97" t="s">
        <v>1027</v>
      </c>
      <c r="B18" s="99">
        <v>0</v>
      </c>
      <c r="C18" s="99">
        <v>0</v>
      </c>
      <c r="D18" s="99">
        <v>0</v>
      </c>
      <c r="E18" s="99">
        <v>0</v>
      </c>
      <c r="F18" s="99">
        <v>0</v>
      </c>
      <c r="G18" s="146">
        <v>0</v>
      </c>
      <c r="H18" s="98">
        <v>0.08</v>
      </c>
      <c r="I18" s="98">
        <v>0.08</v>
      </c>
      <c r="J18" s="98">
        <v>0.08</v>
      </c>
      <c r="K18" s="98">
        <v>0.08</v>
      </c>
      <c r="L18" s="98">
        <v>0.08</v>
      </c>
      <c r="M18" s="147">
        <v>0.08</v>
      </c>
      <c r="N18" s="98">
        <v>0.5</v>
      </c>
      <c r="O18" s="98">
        <v>0.5</v>
      </c>
      <c r="P18" s="98">
        <v>0.5</v>
      </c>
      <c r="Q18" s="98">
        <v>0.5</v>
      </c>
      <c r="R18" s="98">
        <v>0.5</v>
      </c>
      <c r="S18" s="147">
        <v>0.5</v>
      </c>
      <c r="T18" s="98">
        <v>0.02</v>
      </c>
      <c r="U18" s="98">
        <v>0.02</v>
      </c>
      <c r="V18" s="98">
        <v>0.02</v>
      </c>
      <c r="W18" s="98">
        <v>0.02</v>
      </c>
      <c r="X18" s="98">
        <v>0.02</v>
      </c>
      <c r="Y18" s="147">
        <v>0.02</v>
      </c>
      <c r="Z18" s="99">
        <f t="shared" si="24"/>
        <v>0</v>
      </c>
      <c r="AA18" s="99">
        <f t="shared" si="25"/>
        <v>0</v>
      </c>
      <c r="AB18" s="99">
        <f t="shared" si="26"/>
        <v>0</v>
      </c>
      <c r="AC18" s="99">
        <f t="shared" si="27"/>
        <v>0</v>
      </c>
      <c r="AD18" s="99">
        <f t="shared" si="6"/>
        <v>0</v>
      </c>
      <c r="AE18" s="146">
        <f t="shared" si="6"/>
        <v>0</v>
      </c>
      <c r="AF18" s="107">
        <f t="shared" si="7"/>
        <v>0</v>
      </c>
      <c r="AG18" s="107">
        <f t="shared" si="8"/>
        <v>0</v>
      </c>
      <c r="AH18" s="107">
        <f t="shared" si="9"/>
        <v>0</v>
      </c>
      <c r="AI18" s="210">
        <f t="shared" si="10"/>
        <v>0</v>
      </c>
      <c r="AJ18" s="107">
        <f t="shared" si="11"/>
        <v>0</v>
      </c>
      <c r="AK18" s="150">
        <f t="shared" si="11"/>
        <v>0</v>
      </c>
    </row>
    <row r="19" spans="1:37" x14ac:dyDescent="0.3">
      <c r="A19" s="97" t="s">
        <v>1028</v>
      </c>
      <c r="B19" s="99">
        <f>' Storage + Transport'!C17</f>
        <v>25</v>
      </c>
      <c r="C19" s="99">
        <f>' Storage + Transport'!D17</f>
        <v>25</v>
      </c>
      <c r="D19" s="99">
        <f>' Storage + Transport'!E17</f>
        <v>25</v>
      </c>
      <c r="E19" s="99">
        <f>' Storage + Transport'!F17</f>
        <v>25</v>
      </c>
      <c r="F19" s="99">
        <f>' Storage + Transport'!G17</f>
        <v>25</v>
      </c>
      <c r="G19" s="146">
        <f>' Storage + Transport'!H17</f>
        <v>25</v>
      </c>
      <c r="H19" s="98">
        <v>0.08</v>
      </c>
      <c r="I19" s="98">
        <v>0.08</v>
      </c>
      <c r="J19" s="98">
        <v>0.08</v>
      </c>
      <c r="K19" s="98">
        <v>0.08</v>
      </c>
      <c r="L19" s="98">
        <v>0.08</v>
      </c>
      <c r="M19" s="147">
        <v>0.08</v>
      </c>
      <c r="N19" s="98">
        <v>0.5</v>
      </c>
      <c r="O19" s="98">
        <v>0.5</v>
      </c>
      <c r="P19" s="98">
        <v>0.5</v>
      </c>
      <c r="Q19" s="98">
        <v>0.5</v>
      </c>
      <c r="R19" s="98">
        <v>0.5</v>
      </c>
      <c r="S19" s="147">
        <v>0.5</v>
      </c>
      <c r="T19" s="98">
        <v>0.02</v>
      </c>
      <c r="U19" s="98">
        <v>0.02</v>
      </c>
      <c r="V19" s="98">
        <v>0.02</v>
      </c>
      <c r="W19" s="98">
        <v>0.02</v>
      </c>
      <c r="X19" s="98">
        <v>0.02</v>
      </c>
      <c r="Y19" s="147">
        <v>0.02</v>
      </c>
      <c r="Z19" s="99">
        <f t="shared" si="24"/>
        <v>20</v>
      </c>
      <c r="AA19" s="99">
        <f t="shared" si="25"/>
        <v>20</v>
      </c>
      <c r="AB19" s="99">
        <f t="shared" si="26"/>
        <v>20</v>
      </c>
      <c r="AC19" s="99">
        <f t="shared" si="27"/>
        <v>20</v>
      </c>
      <c r="AD19" s="99">
        <f t="shared" si="6"/>
        <v>20</v>
      </c>
      <c r="AE19" s="146">
        <f t="shared" si="6"/>
        <v>20</v>
      </c>
      <c r="AF19" s="107">
        <f t="shared" si="7"/>
        <v>9.3678779051968114E-2</v>
      </c>
      <c r="AG19" s="107">
        <f t="shared" si="8"/>
        <v>9.3678779051968114E-2</v>
      </c>
      <c r="AH19" s="107">
        <f t="shared" si="9"/>
        <v>9.3678779051968114E-2</v>
      </c>
      <c r="AI19" s="210">
        <f t="shared" si="10"/>
        <v>9.3678779051968114E-2</v>
      </c>
      <c r="AJ19" s="107">
        <f t="shared" si="11"/>
        <v>9.3678779051968114E-2</v>
      </c>
      <c r="AK19" s="150">
        <f t="shared" si="11"/>
        <v>9.3678779051968114E-2</v>
      </c>
    </row>
    <row r="20" spans="1:37" x14ac:dyDescent="0.3">
      <c r="A20" s="97" t="s">
        <v>1029</v>
      </c>
      <c r="B20" s="99">
        <v>0</v>
      </c>
      <c r="C20" s="99">
        <v>0</v>
      </c>
      <c r="D20" s="99">
        <v>0</v>
      </c>
      <c r="E20" s="99">
        <v>0</v>
      </c>
      <c r="F20" s="99">
        <v>0</v>
      </c>
      <c r="G20" s="146">
        <v>0</v>
      </c>
      <c r="H20" s="98">
        <v>0.08</v>
      </c>
      <c r="I20" s="98">
        <v>0.08</v>
      </c>
      <c r="J20" s="98">
        <v>0.08</v>
      </c>
      <c r="K20" s="98">
        <v>0.08</v>
      </c>
      <c r="L20" s="98">
        <v>0.08</v>
      </c>
      <c r="M20" s="147">
        <v>0.08</v>
      </c>
      <c r="N20" s="98">
        <v>0.5</v>
      </c>
      <c r="O20" s="98">
        <v>0.5</v>
      </c>
      <c r="P20" s="98">
        <v>0.5</v>
      </c>
      <c r="Q20" s="98">
        <v>0.5</v>
      </c>
      <c r="R20" s="98">
        <v>0.5</v>
      </c>
      <c r="S20" s="147">
        <v>0.5</v>
      </c>
      <c r="T20" s="98">
        <v>0.02</v>
      </c>
      <c r="U20" s="98">
        <v>0.02</v>
      </c>
      <c r="V20" s="98">
        <v>0.02</v>
      </c>
      <c r="W20" s="98">
        <v>0.02</v>
      </c>
      <c r="X20" s="98">
        <v>0.02</v>
      </c>
      <c r="Y20" s="147">
        <v>0.02</v>
      </c>
      <c r="Z20" s="99">
        <f t="shared" si="24"/>
        <v>0</v>
      </c>
      <c r="AA20" s="99">
        <f t="shared" si="25"/>
        <v>0</v>
      </c>
      <c r="AB20" s="99">
        <f t="shared" si="26"/>
        <v>0</v>
      </c>
      <c r="AC20" s="99">
        <f t="shared" si="27"/>
        <v>0</v>
      </c>
      <c r="AD20" s="99">
        <f t="shared" si="6"/>
        <v>0</v>
      </c>
      <c r="AE20" s="146">
        <f t="shared" si="6"/>
        <v>0</v>
      </c>
      <c r="AF20" s="107">
        <f t="shared" si="7"/>
        <v>0</v>
      </c>
      <c r="AG20" s="107">
        <f t="shared" si="8"/>
        <v>0</v>
      </c>
      <c r="AH20" s="107">
        <f t="shared" si="9"/>
        <v>0</v>
      </c>
      <c r="AI20" s="210">
        <f t="shared" si="10"/>
        <v>0</v>
      </c>
      <c r="AJ20" s="107">
        <f t="shared" si="11"/>
        <v>0</v>
      </c>
      <c r="AK20" s="150">
        <f t="shared" si="11"/>
        <v>0</v>
      </c>
    </row>
    <row r="21" spans="1:37" x14ac:dyDescent="0.3">
      <c r="A21" s="100" t="s">
        <v>47</v>
      </c>
      <c r="B21" s="99">
        <f>' Storage + Transport'!C48</f>
        <v>20</v>
      </c>
      <c r="C21" s="99">
        <f>' Storage + Transport'!D48</f>
        <v>25</v>
      </c>
      <c r="D21" s="99">
        <f>' Storage + Transport'!E48</f>
        <v>25</v>
      </c>
      <c r="E21" s="99">
        <f>' Storage + Transport'!F48</f>
        <v>30</v>
      </c>
      <c r="F21" s="99">
        <f>' Storage + Transport'!G48</f>
        <v>30</v>
      </c>
      <c r="G21" s="146">
        <f>' Storage + Transport'!H48</f>
        <v>30</v>
      </c>
      <c r="H21" s="98">
        <v>0.08</v>
      </c>
      <c r="I21" s="98">
        <v>0.08</v>
      </c>
      <c r="J21" s="98">
        <v>0.08</v>
      </c>
      <c r="K21" s="98">
        <v>0.08</v>
      </c>
      <c r="L21" s="98">
        <v>0.08</v>
      </c>
      <c r="M21" s="147">
        <v>0.08</v>
      </c>
      <c r="N21" s="98">
        <v>0.5</v>
      </c>
      <c r="O21" s="98">
        <v>0.5</v>
      </c>
      <c r="P21" s="98">
        <v>0.5</v>
      </c>
      <c r="Q21" s="98">
        <v>0.5</v>
      </c>
      <c r="R21" s="98">
        <v>0.5</v>
      </c>
      <c r="S21" s="147">
        <v>0.5</v>
      </c>
      <c r="T21" s="98">
        <v>0.02</v>
      </c>
      <c r="U21" s="98">
        <v>0.02</v>
      </c>
      <c r="V21" s="98">
        <v>0.02</v>
      </c>
      <c r="W21" s="98">
        <v>0.02</v>
      </c>
      <c r="X21" s="98">
        <v>0.02</v>
      </c>
      <c r="Y21" s="147">
        <v>0.02</v>
      </c>
      <c r="Z21" s="99">
        <f t="shared" si="24"/>
        <v>16</v>
      </c>
      <c r="AA21" s="99">
        <f t="shared" si="25"/>
        <v>20</v>
      </c>
      <c r="AB21" s="99">
        <f t="shared" si="26"/>
        <v>20</v>
      </c>
      <c r="AC21" s="99">
        <f t="shared" si="27"/>
        <v>24</v>
      </c>
      <c r="AD21" s="99">
        <f t="shared" si="6"/>
        <v>24</v>
      </c>
      <c r="AE21" s="146">
        <f t="shared" si="6"/>
        <v>24</v>
      </c>
      <c r="AF21" s="107">
        <f t="shared" si="7"/>
        <v>0.10185220882315059</v>
      </c>
      <c r="AG21" s="107">
        <f t="shared" si="8"/>
        <v>9.3678779051968114E-2</v>
      </c>
      <c r="AH21" s="107">
        <f t="shared" si="9"/>
        <v>9.3678779051968114E-2</v>
      </c>
      <c r="AI21" s="210">
        <f t="shared" si="10"/>
        <v>8.8827433387272267E-2</v>
      </c>
      <c r="AJ21" s="107">
        <f t="shared" si="11"/>
        <v>8.8827433387272267E-2</v>
      </c>
      <c r="AK21" s="150">
        <f t="shared" si="11"/>
        <v>8.8827433387272267E-2</v>
      </c>
    </row>
    <row r="22" spans="1:37" x14ac:dyDescent="0.3">
      <c r="A22" s="100" t="s">
        <v>2010</v>
      </c>
      <c r="B22" s="99">
        <f>' Storage + Transport'!C34</f>
        <v>25</v>
      </c>
      <c r="C22" s="99">
        <f>' Storage + Transport'!D34</f>
        <v>25</v>
      </c>
      <c r="D22" s="99">
        <f>' Storage + Transport'!E34</f>
        <v>25</v>
      </c>
      <c r="E22" s="99">
        <f>' Storage + Transport'!F34</f>
        <v>25</v>
      </c>
      <c r="F22" s="99">
        <f>' Storage + Transport'!G34</f>
        <v>25</v>
      </c>
      <c r="G22" s="99">
        <f>' Storage + Transport'!H34</f>
        <v>25</v>
      </c>
      <c r="H22" s="98">
        <v>0.08</v>
      </c>
      <c r="I22" s="98">
        <v>0.08</v>
      </c>
      <c r="J22" s="98">
        <v>0.08</v>
      </c>
      <c r="K22" s="98">
        <v>0.08</v>
      </c>
      <c r="L22" s="98">
        <v>0.08</v>
      </c>
      <c r="M22" s="147">
        <v>0.08</v>
      </c>
      <c r="N22" s="98">
        <v>0.5</v>
      </c>
      <c r="O22" s="98">
        <v>0.5</v>
      </c>
      <c r="P22" s="98">
        <v>0.5</v>
      </c>
      <c r="Q22" s="98">
        <v>0.5</v>
      </c>
      <c r="R22" s="98">
        <v>0.5</v>
      </c>
      <c r="S22" s="147">
        <v>0.5</v>
      </c>
      <c r="T22" s="98">
        <v>0.02</v>
      </c>
      <c r="U22" s="98">
        <v>0.02</v>
      </c>
      <c r="V22" s="98">
        <v>0.02</v>
      </c>
      <c r="W22" s="98">
        <v>0.02</v>
      </c>
      <c r="X22" s="98">
        <v>0.02</v>
      </c>
      <c r="Y22" s="147">
        <v>0.02</v>
      </c>
      <c r="Z22" s="99">
        <f t="shared" ref="Z22" si="28">B22*0.8</f>
        <v>20</v>
      </c>
      <c r="AA22" s="99">
        <f t="shared" ref="AA22" si="29">C22*0.8</f>
        <v>20</v>
      </c>
      <c r="AB22" s="99">
        <f t="shared" ref="AB22" si="30">D22*0.8</f>
        <v>20</v>
      </c>
      <c r="AC22" s="99">
        <f t="shared" ref="AC22" si="31">E22*0.8</f>
        <v>20</v>
      </c>
      <c r="AD22" s="99">
        <f t="shared" ref="AD22" si="32">F22*0.8</f>
        <v>20</v>
      </c>
      <c r="AE22" s="146">
        <f t="shared" ref="AE22" si="33">G22*0.8</f>
        <v>20</v>
      </c>
      <c r="AF22" s="107">
        <f t="shared" ref="AF22" si="34">IF($AJ$1=FALSE, IF(B22=0,0,((1-N22)*H22+T22*N22*(1-(1+H22)^-Z22)/(1-(1+T22)^-Z22))/(1-(1+H22)^-B22)), IF(B22=0,0,(H22*(1+H22)^B22)/((1+H22)^B22-1)))</f>
        <v>9.3678779051968114E-2</v>
      </c>
      <c r="AG22" s="107">
        <f t="shared" ref="AG22" si="35">IF($AJ$1=FALSE, IF(C22=0,0,((1-O22)*I22+U22*O22*(1-(1+I22)^-AA22)/(1-(1+U22)^-AA22))/(1-(1+I22)^-C22)), IF(C22=0,0,(I22*(1+I22)^C22)/((1+I22)^C22-1)))</f>
        <v>9.3678779051968114E-2</v>
      </c>
      <c r="AH22" s="107">
        <f t="shared" ref="AH22" si="36">IF($AJ$1=FALSE, IF(D22=0,0,((1-P22)*J22+V22*P22*(1-(1+J22)^-AB22)/(1-(1+V22)^-AB22))/(1-(1+J22)^-D22)), IF(D22=0,0,(J22*(1+J22)^D22)/((1+J22)^D22-1)))</f>
        <v>9.3678779051968114E-2</v>
      </c>
      <c r="AI22" s="210">
        <f t="shared" ref="AI22" si="37">IF($AJ$1=FALSE, IF(E22=0,0,((1-Q22)*K22+W22*Q22*(1-(1+K22)^-AC22)/(1-(1+W22)^-AC22))/(1-(1+K22)^-E22)), IF(E22=0,0,(K22*(1+K22)^E22)/((1+K22)^E22-1)))</f>
        <v>9.3678779051968114E-2</v>
      </c>
      <c r="AJ22" s="107">
        <f t="shared" ref="AJ22" si="38">IF($AJ$1=FALSE, IF(F22=0,0,((1-R22)*L22+X22*R22*(1-(1+L22)^-AD22)/(1-(1+X22)^-AD22))/(1-(1+L22)^-F22)), IF(F22=0,0,(L22*(1+L22)^F22)/((1+L22)^F22-1)))</f>
        <v>9.3678779051968114E-2</v>
      </c>
      <c r="AK22" s="150">
        <f t="shared" ref="AK22" si="39">IF($AJ$1=FALSE, IF(G22=0,0,((1-S22)*M22+Y22*S22*(1-(1+M22)^-AE22)/(1-(1+Y22)^-AE22))/(1-(1+M22)^-G22)), IF(G22=0,0,(M22*(1+M22)^G22)/((1+M22)^G22-1)))</f>
        <v>9.3678779051968114E-2</v>
      </c>
    </row>
    <row r="23" spans="1:37" x14ac:dyDescent="0.3">
      <c r="A23" s="100" t="s">
        <v>2007</v>
      </c>
      <c r="B23" s="99">
        <f>' Storage + Transport'!C63</f>
        <v>50</v>
      </c>
      <c r="C23" s="99">
        <f>' Storage + Transport'!D63</f>
        <v>50</v>
      </c>
      <c r="D23" s="99">
        <f>' Storage + Transport'!E63</f>
        <v>50</v>
      </c>
      <c r="E23" s="99">
        <f>' Storage + Transport'!F63</f>
        <v>50</v>
      </c>
      <c r="F23" s="99">
        <f>' Storage + Transport'!G63</f>
        <v>50</v>
      </c>
      <c r="G23" s="99">
        <f>' Storage + Transport'!H63</f>
        <v>50</v>
      </c>
      <c r="H23" s="98">
        <v>0.08</v>
      </c>
      <c r="I23" s="98">
        <v>0.08</v>
      </c>
      <c r="J23" s="98">
        <v>0.08</v>
      </c>
      <c r="K23" s="98">
        <f>$K$50</f>
        <v>7.5300000000000006E-2</v>
      </c>
      <c r="L23" s="98">
        <v>0.08</v>
      </c>
      <c r="M23" s="147">
        <v>0.08</v>
      </c>
      <c r="N23" s="98">
        <v>0.5</v>
      </c>
      <c r="O23" s="98">
        <v>0.5</v>
      </c>
      <c r="P23" s="98">
        <v>0.5</v>
      </c>
      <c r="Q23" s="98">
        <v>0.5</v>
      </c>
      <c r="R23" s="98">
        <v>0.5</v>
      </c>
      <c r="S23" s="147">
        <v>0.5</v>
      </c>
      <c r="T23" s="98">
        <v>0.02</v>
      </c>
      <c r="U23" s="98">
        <v>0.02</v>
      </c>
      <c r="V23" s="98">
        <v>0.02</v>
      </c>
      <c r="W23" s="98">
        <v>0.02</v>
      </c>
      <c r="X23" s="98">
        <v>0.02</v>
      </c>
      <c r="Y23" s="147">
        <v>0.02</v>
      </c>
      <c r="Z23" s="99">
        <f t="shared" ref="Z23" si="40">B23*0.8</f>
        <v>40</v>
      </c>
      <c r="AA23" s="99">
        <f t="shared" ref="AA23" si="41">C23*0.8</f>
        <v>40</v>
      </c>
      <c r="AB23" s="99">
        <f t="shared" ref="AB23" si="42">D23*0.8</f>
        <v>40</v>
      </c>
      <c r="AC23" s="99">
        <f t="shared" ref="AC23" si="43">E23*0.8</f>
        <v>40</v>
      </c>
      <c r="AD23" s="99">
        <f t="shared" ref="AD23" si="44">F23*0.8</f>
        <v>40</v>
      </c>
      <c r="AE23" s="146">
        <f t="shared" ref="AE23" si="45">G23*0.8</f>
        <v>40</v>
      </c>
      <c r="AF23" s="107">
        <f t="shared" ref="AF23" si="46">IF($AJ$1=FALSE, IF(B23=0,0,((1-N23)*H23+T23*N23*(1-(1+H23)^-Z23)/(1-(1+T23)^-Z23))/(1-(1+H23)^-B23)), IF(B23=0,0,(H23*(1+H23)^B23)/((1+H23)^B23-1)))</f>
        <v>8.174285816161557E-2</v>
      </c>
      <c r="AG23" s="107">
        <f t="shared" ref="AG23" si="47">IF($AJ$1=FALSE, IF(C23=0,0,((1-O23)*I23+U23*O23*(1-(1+I23)^-AA23)/(1-(1+U23)^-AA23))/(1-(1+I23)^-C23)), IF(C23=0,0,(I23*(1+I23)^C23)/((1+I23)^C23-1)))</f>
        <v>8.174285816161557E-2</v>
      </c>
      <c r="AH23" s="107">
        <f t="shared" ref="AH23" si="48">IF($AJ$1=FALSE, IF(D23=0,0,((1-P23)*J23+V23*P23*(1-(1+J23)^-AB23)/(1-(1+V23)^-AB23))/(1-(1+J23)^-D23)), IF(D23=0,0,(J23*(1+J23)^D23)/((1+J23)^D23-1)))</f>
        <v>8.174285816161557E-2</v>
      </c>
      <c r="AI23" s="210">
        <f t="shared" ref="AI23" si="49">IF($AJ$1=FALSE, IF(E23=0,0,((1-Q23)*K23+W23*Q23*(1-(1+K23)^-AC23)/(1-(1+W23)^-AC23))/(1-(1+K23)^-E23)), IF(E23=0,0,(K23*(1+K23)^E23)/((1+K23)^E23-1)))</f>
        <v>7.7351087237424163E-2</v>
      </c>
      <c r="AJ23" s="107">
        <f t="shared" ref="AJ23" si="50">IF($AJ$1=FALSE, IF(F23=0,0,((1-R23)*L23+X23*R23*(1-(1+L23)^-AD23)/(1-(1+X23)^-AD23))/(1-(1+L23)^-F23)), IF(F23=0,0,(L23*(1+L23)^F23)/((1+L23)^F23-1)))</f>
        <v>8.174285816161557E-2</v>
      </c>
      <c r="AK23" s="150">
        <f t="shared" ref="AK23" si="51">IF($AJ$1=FALSE, IF(G23=0,0,((1-S23)*M23+Y23*S23*(1-(1+M23)^-AE23)/(1-(1+Y23)^-AE23))/(1-(1+M23)^-G23)), IF(G23=0,0,(M23*(1+M23)^G23)/((1+M23)^G23-1)))</f>
        <v>8.174285816161557E-2</v>
      </c>
    </row>
    <row r="24" spans="1:37" x14ac:dyDescent="0.3">
      <c r="A24" s="100" t="s">
        <v>1507</v>
      </c>
      <c r="B24" s="99">
        <f>'Solar PV'!C10</f>
        <v>35</v>
      </c>
      <c r="C24" s="99">
        <f>'Solar PV'!D10</f>
        <v>35</v>
      </c>
      <c r="D24" s="99">
        <f>'Solar PV'!E10</f>
        <v>35</v>
      </c>
      <c r="E24" s="99">
        <f>'Solar PV'!F10</f>
        <v>40</v>
      </c>
      <c r="F24" s="99">
        <f>'Solar PV'!G10</f>
        <v>40</v>
      </c>
      <c r="G24" s="146">
        <f>'Solar PV'!H10</f>
        <v>40</v>
      </c>
      <c r="H24" s="98">
        <v>0.08</v>
      </c>
      <c r="I24" s="98">
        <v>0.08</v>
      </c>
      <c r="J24" s="98">
        <v>0.08</v>
      </c>
      <c r="K24" s="98">
        <f>$K$50</f>
        <v>7.5300000000000006E-2</v>
      </c>
      <c r="L24" s="98">
        <v>0.08</v>
      </c>
      <c r="M24" s="147">
        <v>0.08</v>
      </c>
      <c r="N24" s="98">
        <v>0.5</v>
      </c>
      <c r="O24" s="98">
        <v>0.5</v>
      </c>
      <c r="P24" s="98">
        <v>0.5</v>
      </c>
      <c r="Q24" s="98">
        <v>0.5</v>
      </c>
      <c r="R24" s="98">
        <v>0.5</v>
      </c>
      <c r="S24" s="147">
        <v>0.5</v>
      </c>
      <c r="T24" s="98">
        <v>0.02</v>
      </c>
      <c r="U24" s="98">
        <v>0.02</v>
      </c>
      <c r="V24" s="98">
        <v>0.02</v>
      </c>
      <c r="W24" s="98">
        <v>0.02</v>
      </c>
      <c r="X24" s="98">
        <v>0.02</v>
      </c>
      <c r="Y24" s="147">
        <v>0.02</v>
      </c>
      <c r="Z24" s="99">
        <f t="shared" si="24"/>
        <v>28</v>
      </c>
      <c r="AA24" s="99">
        <f t="shared" si="25"/>
        <v>28</v>
      </c>
      <c r="AB24" s="99">
        <f t="shared" si="26"/>
        <v>28</v>
      </c>
      <c r="AC24" s="99">
        <f t="shared" si="27"/>
        <v>32</v>
      </c>
      <c r="AD24" s="99">
        <f t="shared" si="6"/>
        <v>32</v>
      </c>
      <c r="AE24" s="146">
        <f t="shared" si="6"/>
        <v>32</v>
      </c>
      <c r="AF24" s="107">
        <f t="shared" si="7"/>
        <v>8.5803264560679798E-2</v>
      </c>
      <c r="AG24" s="107">
        <f t="shared" si="8"/>
        <v>8.5803264560679798E-2</v>
      </c>
      <c r="AH24" s="107">
        <f t="shared" si="9"/>
        <v>8.5803264560679798E-2</v>
      </c>
      <c r="AI24" s="210">
        <f t="shared" si="10"/>
        <v>7.9666036677694424E-2</v>
      </c>
      <c r="AJ24" s="107">
        <f t="shared" si="11"/>
        <v>8.3860161500585326E-2</v>
      </c>
      <c r="AK24" s="150">
        <f t="shared" si="11"/>
        <v>8.3860161500585326E-2</v>
      </c>
    </row>
    <row r="25" spans="1:37" x14ac:dyDescent="0.3">
      <c r="A25" s="100" t="s">
        <v>1508</v>
      </c>
      <c r="B25" s="99">
        <f>'Solar PV tracking'!C10</f>
        <v>35</v>
      </c>
      <c r="C25" s="99">
        <f>'Solar PV tracking'!D10</f>
        <v>35</v>
      </c>
      <c r="D25" s="99">
        <f>'Solar PV tracking'!E10</f>
        <v>35</v>
      </c>
      <c r="E25" s="99">
        <f>'Solar PV tracking'!F10</f>
        <v>40</v>
      </c>
      <c r="F25" s="99">
        <f>'Solar PV tracking'!G10</f>
        <v>40</v>
      </c>
      <c r="G25" s="146">
        <f>'Solar PV tracking'!H10</f>
        <v>40</v>
      </c>
      <c r="H25" s="98">
        <v>0.08</v>
      </c>
      <c r="I25" s="98">
        <v>0.08</v>
      </c>
      <c r="J25" s="98">
        <v>0.08</v>
      </c>
      <c r="K25" s="98">
        <f>$K$50</f>
        <v>7.5300000000000006E-2</v>
      </c>
      <c r="L25" s="98">
        <v>0.08</v>
      </c>
      <c r="M25" s="147">
        <v>0.08</v>
      </c>
      <c r="N25" s="98">
        <v>0.5</v>
      </c>
      <c r="O25" s="98">
        <v>0.5</v>
      </c>
      <c r="P25" s="98">
        <v>0.5</v>
      </c>
      <c r="Q25" s="98">
        <v>0.5</v>
      </c>
      <c r="R25" s="98">
        <v>0.5</v>
      </c>
      <c r="S25" s="147">
        <v>0.5</v>
      </c>
      <c r="T25" s="98">
        <v>0.02</v>
      </c>
      <c r="U25" s="98">
        <v>0.02</v>
      </c>
      <c r="V25" s="98">
        <v>0.02</v>
      </c>
      <c r="W25" s="98">
        <v>0.02</v>
      </c>
      <c r="X25" s="98">
        <v>0.02</v>
      </c>
      <c r="Y25" s="147">
        <v>0.02</v>
      </c>
      <c r="Z25" s="99">
        <f t="shared" ref="Z25" si="52">B25*0.8</f>
        <v>28</v>
      </c>
      <c r="AA25" s="99">
        <f t="shared" ref="AA25" si="53">C25*0.8</f>
        <v>28</v>
      </c>
      <c r="AB25" s="99">
        <f t="shared" ref="AB25" si="54">D25*0.8</f>
        <v>28</v>
      </c>
      <c r="AC25" s="99">
        <f t="shared" ref="AC25" si="55">E25*0.8</f>
        <v>32</v>
      </c>
      <c r="AD25" s="99">
        <f t="shared" si="6"/>
        <v>32</v>
      </c>
      <c r="AE25" s="146">
        <f t="shared" si="6"/>
        <v>32</v>
      </c>
      <c r="AF25" s="107">
        <f t="shared" si="7"/>
        <v>8.5803264560679798E-2</v>
      </c>
      <c r="AG25" s="107">
        <f t="shared" si="8"/>
        <v>8.5803264560679798E-2</v>
      </c>
      <c r="AH25" s="107">
        <f t="shared" si="9"/>
        <v>8.5803264560679798E-2</v>
      </c>
      <c r="AI25" s="210">
        <f t="shared" si="10"/>
        <v>7.9666036677694424E-2</v>
      </c>
      <c r="AJ25" s="107">
        <f t="shared" si="11"/>
        <v>8.3860161500585326E-2</v>
      </c>
      <c r="AK25" s="150">
        <f t="shared" si="11"/>
        <v>8.3860161500585326E-2</v>
      </c>
    </row>
    <row r="26" spans="1:37" x14ac:dyDescent="0.3">
      <c r="A26" s="100" t="s">
        <v>702</v>
      </c>
      <c r="B26" s="99">
        <f>Wind_on!C10</f>
        <v>25</v>
      </c>
      <c r="C26" s="99">
        <f>Wind_on!D10</f>
        <v>27</v>
      </c>
      <c r="D26" s="99">
        <f>Wind_on!E10</f>
        <v>35</v>
      </c>
      <c r="E26" s="99">
        <f>Wind_on!F10</f>
        <v>30</v>
      </c>
      <c r="F26" s="99">
        <f>Wind_on!G10</f>
        <v>30</v>
      </c>
      <c r="G26" s="146">
        <f>Wind_on!H10</f>
        <v>30</v>
      </c>
      <c r="H26" s="98">
        <v>0.08</v>
      </c>
      <c r="I26" s="98">
        <v>0.08</v>
      </c>
      <c r="J26" s="98">
        <v>0.08</v>
      </c>
      <c r="K26" s="98">
        <f>$K$50</f>
        <v>7.5300000000000006E-2</v>
      </c>
      <c r="L26" s="98">
        <v>0.08</v>
      </c>
      <c r="M26" s="147">
        <v>0.08</v>
      </c>
      <c r="N26" s="98">
        <v>0.5</v>
      </c>
      <c r="O26" s="98">
        <v>0.5</v>
      </c>
      <c r="P26" s="98">
        <v>0.5</v>
      </c>
      <c r="Q26" s="98">
        <v>0.5</v>
      </c>
      <c r="R26" s="98">
        <v>0.5</v>
      </c>
      <c r="S26" s="147">
        <v>0.5</v>
      </c>
      <c r="T26" s="98">
        <v>0.02</v>
      </c>
      <c r="U26" s="98">
        <v>0.02</v>
      </c>
      <c r="V26" s="98">
        <v>0.02</v>
      </c>
      <c r="W26" s="98">
        <v>0.02</v>
      </c>
      <c r="X26" s="98">
        <v>0.02</v>
      </c>
      <c r="Y26" s="147">
        <v>0.02</v>
      </c>
      <c r="Z26" s="99">
        <f t="shared" si="24"/>
        <v>20</v>
      </c>
      <c r="AA26" s="99">
        <f t="shared" si="25"/>
        <v>21.6</v>
      </c>
      <c r="AB26" s="99">
        <f t="shared" si="26"/>
        <v>28</v>
      </c>
      <c r="AC26" s="99">
        <f t="shared" si="27"/>
        <v>24</v>
      </c>
      <c r="AD26" s="99">
        <f t="shared" si="6"/>
        <v>24</v>
      </c>
      <c r="AE26" s="146">
        <f t="shared" si="6"/>
        <v>24</v>
      </c>
      <c r="AF26" s="107">
        <f t="shared" si="7"/>
        <v>9.3678779051968114E-2</v>
      </c>
      <c r="AG26" s="107">
        <f t="shared" si="8"/>
        <v>9.1448096207564403E-2</v>
      </c>
      <c r="AH26" s="107">
        <f t="shared" si="9"/>
        <v>8.5803264560679798E-2</v>
      </c>
      <c r="AI26" s="210">
        <f t="shared" si="10"/>
        <v>8.4918639638364407E-2</v>
      </c>
      <c r="AJ26" s="107">
        <f t="shared" si="11"/>
        <v>8.8827433387272267E-2</v>
      </c>
      <c r="AK26" s="150">
        <f t="shared" si="11"/>
        <v>8.8827433387272267E-2</v>
      </c>
    </row>
    <row r="27" spans="1:37" x14ac:dyDescent="0.3">
      <c r="A27" s="100" t="s">
        <v>703</v>
      </c>
      <c r="B27" s="99">
        <f>Wind_off!C14</f>
        <v>20</v>
      </c>
      <c r="C27" s="99">
        <f>Wind_off!D14</f>
        <v>27</v>
      </c>
      <c r="D27" s="99">
        <f>Wind_off!E14</f>
        <v>35</v>
      </c>
      <c r="E27" s="99">
        <f>Wind_off!F14</f>
        <v>30</v>
      </c>
      <c r="F27" s="99">
        <f>Wind_off!G14</f>
        <v>30</v>
      </c>
      <c r="G27" s="146">
        <f>Wind_off!H14</f>
        <v>30</v>
      </c>
      <c r="H27" s="98">
        <v>0.08</v>
      </c>
      <c r="I27" s="98">
        <v>0.08</v>
      </c>
      <c r="J27" s="98">
        <v>0.08</v>
      </c>
      <c r="K27" s="98">
        <f>$K$50</f>
        <v>7.5300000000000006E-2</v>
      </c>
      <c r="L27" s="98">
        <v>0.08</v>
      </c>
      <c r="M27" s="147">
        <v>0.08</v>
      </c>
      <c r="N27" s="98">
        <v>0.5</v>
      </c>
      <c r="O27" s="98">
        <v>0.5</v>
      </c>
      <c r="P27" s="98">
        <v>0.5</v>
      </c>
      <c r="Q27" s="98">
        <v>0.5</v>
      </c>
      <c r="R27" s="98">
        <v>0.5</v>
      </c>
      <c r="S27" s="147">
        <v>0.5</v>
      </c>
      <c r="T27" s="98">
        <v>0.02</v>
      </c>
      <c r="U27" s="98">
        <v>0.02</v>
      </c>
      <c r="V27" s="98">
        <v>0.02</v>
      </c>
      <c r="W27" s="98">
        <v>0.02</v>
      </c>
      <c r="X27" s="98">
        <v>0.02</v>
      </c>
      <c r="Y27" s="147">
        <v>0.02</v>
      </c>
      <c r="Z27" s="99">
        <f t="shared" ref="Z27" si="56">B27*0.8</f>
        <v>16</v>
      </c>
      <c r="AA27" s="99">
        <f t="shared" ref="AA27" si="57">C27*0.8</f>
        <v>21.6</v>
      </c>
      <c r="AB27" s="99">
        <f t="shared" ref="AB27" si="58">D27*0.8</f>
        <v>28</v>
      </c>
      <c r="AC27" s="99">
        <f t="shared" ref="AC27" si="59">E27*0.8</f>
        <v>24</v>
      </c>
      <c r="AD27" s="99">
        <f t="shared" ref="AD27:AD44" si="60">F27*0.8</f>
        <v>24</v>
      </c>
      <c r="AE27" s="146">
        <f t="shared" ref="AE27:AE44" si="61">G27*0.8</f>
        <v>24</v>
      </c>
      <c r="AF27" s="107">
        <f t="shared" si="7"/>
        <v>0.10185220882315059</v>
      </c>
      <c r="AG27" s="107">
        <f t="shared" si="8"/>
        <v>9.1448096207564403E-2</v>
      </c>
      <c r="AH27" s="107">
        <f t="shared" si="9"/>
        <v>8.5803264560679798E-2</v>
      </c>
      <c r="AI27" s="210">
        <f t="shared" si="10"/>
        <v>8.4918639638364407E-2</v>
      </c>
      <c r="AJ27" s="107">
        <f t="shared" ref="AJ27:AK27" si="62">IF($AJ$1=FALSE, IF(F27=0,0,((1-R27)*L27+X27*R27*(1-(1+L27)^-AD27)/(1-(1+X27)^-AD27))/(1-(1+L27)^-F27)), IF(F27=0,0,(L27*(1+L27)^F27)/((1+L27)^F27-1)))</f>
        <v>8.8827433387272267E-2</v>
      </c>
      <c r="AK27" s="150">
        <f t="shared" si="62"/>
        <v>8.8827433387272267E-2</v>
      </c>
    </row>
    <row r="28" spans="1:37" x14ac:dyDescent="0.3">
      <c r="A28" s="153" t="s">
        <v>1547</v>
      </c>
      <c r="B28" s="99">
        <f>Wind_turbines!C53</f>
        <v>27</v>
      </c>
      <c r="C28" s="99">
        <f>Wind_turbines!D53</f>
        <v>27</v>
      </c>
      <c r="D28" s="99">
        <f>Wind_turbines!E53</f>
        <v>27</v>
      </c>
      <c r="E28" s="99">
        <f>Wind_turbines!F53</f>
        <v>30</v>
      </c>
      <c r="F28" s="99">
        <f>Wind_turbines!G53</f>
        <v>30</v>
      </c>
      <c r="G28" s="146">
        <f>Wind_turbines!H53</f>
        <v>30</v>
      </c>
      <c r="H28" s="98">
        <v>0.08</v>
      </c>
      <c r="I28" s="98">
        <v>0.08</v>
      </c>
      <c r="J28" s="98">
        <v>0.08</v>
      </c>
      <c r="K28" s="98">
        <f>$K$50</f>
        <v>7.5300000000000006E-2</v>
      </c>
      <c r="L28" s="98">
        <v>0.08</v>
      </c>
      <c r="M28" s="147">
        <v>0.08</v>
      </c>
      <c r="N28" s="98">
        <v>0.5</v>
      </c>
      <c r="O28" s="98">
        <v>0.5</v>
      </c>
      <c r="P28" s="98">
        <v>0.5</v>
      </c>
      <c r="Q28" s="98">
        <v>0.5</v>
      </c>
      <c r="R28" s="98">
        <v>0.5</v>
      </c>
      <c r="S28" s="147">
        <v>0.5</v>
      </c>
      <c r="T28" s="98">
        <v>0.02</v>
      </c>
      <c r="U28" s="98">
        <v>0.02</v>
      </c>
      <c r="V28" s="98">
        <v>0.02</v>
      </c>
      <c r="W28" s="98">
        <v>0.02</v>
      </c>
      <c r="X28" s="98">
        <v>0.02</v>
      </c>
      <c r="Y28" s="147">
        <v>0.02</v>
      </c>
      <c r="Z28" s="99">
        <f t="shared" ref="Z28:Z39" si="63">B28*0.8</f>
        <v>21.6</v>
      </c>
      <c r="AA28" s="99">
        <f t="shared" ref="AA28:AA39" si="64">C28*0.8</f>
        <v>21.6</v>
      </c>
      <c r="AB28" s="99">
        <f t="shared" ref="AB28:AB39" si="65">D28*0.8</f>
        <v>21.6</v>
      </c>
      <c r="AC28" s="99">
        <f t="shared" ref="AC28:AC39" si="66">E28*0.8</f>
        <v>24</v>
      </c>
      <c r="AD28" s="99">
        <f t="shared" ref="AD28:AD39" si="67">F28*0.8</f>
        <v>24</v>
      </c>
      <c r="AE28" s="146">
        <f t="shared" ref="AE28:AE39" si="68">G28*0.8</f>
        <v>24</v>
      </c>
      <c r="AF28" s="107">
        <f t="shared" ref="AF28:AF44" si="69">IF($AJ$1=FALSE, IF(B28=0,0,((1-N28)*H28+T28*N28*(1-(1+H28)^-Z28)/(1-(1+T28)^-Z28))/(1-(1+H28)^-B28)), IF(B28=0,0,(H28*(1+H28)^B28)/((1+H28)^B28-1)))</f>
        <v>9.1448096207564403E-2</v>
      </c>
      <c r="AG28" s="107">
        <f t="shared" ref="AG28:AG44" si="70">IF($AJ$1=FALSE, IF(C28=0,0,((1-O28)*I28+U28*O28*(1-(1+I28)^-AA28)/(1-(1+U28)^-AA28))/(1-(1+I28)^-C28)), IF(C28=0,0,(I28*(1+I28)^C28)/((1+I28)^C28-1)))</f>
        <v>9.1448096207564403E-2</v>
      </c>
      <c r="AH28" s="107">
        <f t="shared" ref="AH28:AH44" si="71">IF($AJ$1=FALSE, IF(D28=0,0,((1-P28)*J28+V28*P28*(1-(1+J28)^-AB28)/(1-(1+V28)^-AB28))/(1-(1+J28)^-D28)), IF(D28=0,0,(J28*(1+J28)^D28)/((1+J28)^D28-1)))</f>
        <v>9.1448096207564403E-2</v>
      </c>
      <c r="AI28" s="210">
        <f t="shared" ref="AI28:AI44" si="72">IF($AJ$1=FALSE, IF(E28=0,0,((1-Q28)*K28+W28*Q28*(1-(1+K28)^-AC28)/(1-(1+W28)^-AC28))/(1-(1+K28)^-E28)), IF(E28=0,0,(K28*(1+K28)^E28)/((1+K28)^E28-1)))</f>
        <v>8.4918639638364407E-2</v>
      </c>
      <c r="AJ28" s="107">
        <f t="shared" ref="AJ28:AJ44" si="73">IF($AJ$1=FALSE, IF(F28=0,0,((1-R28)*L28+X28*R28*(1-(1+L28)^-AD28)/(1-(1+X28)^-AD28))/(1-(1+L28)^-F28)), IF(F28=0,0,(L28*(1+L28)^F28)/((1+L28)^F28-1)))</f>
        <v>8.8827433387272267E-2</v>
      </c>
      <c r="AK28" s="150">
        <f t="shared" ref="AK28:AK44" si="74">IF($AJ$1=FALSE, IF(G28=0,0,((1-S28)*M28+Y28*S28*(1-(1+M28)^-AE28)/(1-(1+Y28)^-AE28))/(1-(1+M28)^-G28)), IF(G28=0,0,(M28*(1+M28)^G28)/((1+M28)^G28-1)))</f>
        <v>8.8827433387272267E-2</v>
      </c>
    </row>
    <row r="29" spans="1:37" x14ac:dyDescent="0.3">
      <c r="A29" s="153" t="s">
        <v>1547</v>
      </c>
      <c r="B29" s="99">
        <f>Wind_turbines!C54</f>
        <v>27</v>
      </c>
      <c r="C29" s="99">
        <f>Wind_turbines!D54</f>
        <v>27</v>
      </c>
      <c r="D29" s="99">
        <f>Wind_turbines!E54</f>
        <v>27</v>
      </c>
      <c r="E29" s="99">
        <f>Wind_turbines!F54</f>
        <v>30</v>
      </c>
      <c r="F29" s="99">
        <f>Wind_turbines!G54</f>
        <v>30</v>
      </c>
      <c r="G29" s="146">
        <f>Wind_turbines!H54</f>
        <v>30</v>
      </c>
      <c r="H29" s="98">
        <v>0.08</v>
      </c>
      <c r="I29" s="98">
        <v>0.08</v>
      </c>
      <c r="J29" s="98">
        <v>0.08</v>
      </c>
      <c r="K29" s="98">
        <f>$K$50</f>
        <v>7.5300000000000006E-2</v>
      </c>
      <c r="L29" s="98">
        <v>0.08</v>
      </c>
      <c r="M29" s="147">
        <v>0.08</v>
      </c>
      <c r="N29" s="98">
        <v>0.5</v>
      </c>
      <c r="O29" s="98">
        <v>0.5</v>
      </c>
      <c r="P29" s="98">
        <v>0.5</v>
      </c>
      <c r="Q29" s="98">
        <v>0.5</v>
      </c>
      <c r="R29" s="98">
        <v>0.5</v>
      </c>
      <c r="S29" s="147">
        <v>0.5</v>
      </c>
      <c r="T29" s="98">
        <v>0.02</v>
      </c>
      <c r="U29" s="98">
        <v>0.02</v>
      </c>
      <c r="V29" s="98">
        <v>0.02</v>
      </c>
      <c r="W29" s="98">
        <v>0.02</v>
      </c>
      <c r="X29" s="98">
        <v>0.02</v>
      </c>
      <c r="Y29" s="147">
        <v>0.02</v>
      </c>
      <c r="Z29" s="99">
        <f t="shared" si="63"/>
        <v>21.6</v>
      </c>
      <c r="AA29" s="99">
        <f t="shared" si="64"/>
        <v>21.6</v>
      </c>
      <c r="AB29" s="99">
        <f t="shared" si="65"/>
        <v>21.6</v>
      </c>
      <c r="AC29" s="99">
        <f t="shared" si="66"/>
        <v>24</v>
      </c>
      <c r="AD29" s="99">
        <f t="shared" si="67"/>
        <v>24</v>
      </c>
      <c r="AE29" s="146">
        <f t="shared" si="68"/>
        <v>24</v>
      </c>
      <c r="AF29" s="107">
        <f t="shared" si="69"/>
        <v>9.1448096207564403E-2</v>
      </c>
      <c r="AG29" s="107">
        <f t="shared" si="70"/>
        <v>9.1448096207564403E-2</v>
      </c>
      <c r="AH29" s="107">
        <f t="shared" si="71"/>
        <v>9.1448096207564403E-2</v>
      </c>
      <c r="AI29" s="210">
        <f t="shared" si="72"/>
        <v>8.4918639638364407E-2</v>
      </c>
      <c r="AJ29" s="107">
        <f t="shared" si="73"/>
        <v>8.8827433387272267E-2</v>
      </c>
      <c r="AK29" s="150">
        <f t="shared" si="74"/>
        <v>8.8827433387272267E-2</v>
      </c>
    </row>
    <row r="30" spans="1:37" x14ac:dyDescent="0.3">
      <c r="A30" s="153" t="s">
        <v>1551</v>
      </c>
      <c r="B30" s="99">
        <f>Wind_turbines!C55</f>
        <v>27</v>
      </c>
      <c r="C30" s="99">
        <f>Wind_turbines!D55</f>
        <v>27</v>
      </c>
      <c r="D30" s="99">
        <f>Wind_turbines!E55</f>
        <v>27</v>
      </c>
      <c r="E30" s="99">
        <f>Wind_turbines!F55</f>
        <v>30</v>
      </c>
      <c r="F30" s="99">
        <f>Wind_turbines!G55</f>
        <v>30</v>
      </c>
      <c r="G30" s="146">
        <f>Wind_turbines!H55</f>
        <v>30</v>
      </c>
      <c r="H30" s="98">
        <v>0.08</v>
      </c>
      <c r="I30" s="98">
        <v>0.08</v>
      </c>
      <c r="J30" s="98">
        <v>0.08</v>
      </c>
      <c r="K30" s="98">
        <f>$K$50</f>
        <v>7.5300000000000006E-2</v>
      </c>
      <c r="L30" s="98">
        <v>0.08</v>
      </c>
      <c r="M30" s="147">
        <v>0.08</v>
      </c>
      <c r="N30" s="98">
        <v>0.5</v>
      </c>
      <c r="O30" s="98">
        <v>0.5</v>
      </c>
      <c r="P30" s="98">
        <v>0.5</v>
      </c>
      <c r="Q30" s="98">
        <v>0.5</v>
      </c>
      <c r="R30" s="98">
        <v>0.5</v>
      </c>
      <c r="S30" s="147">
        <v>0.5</v>
      </c>
      <c r="T30" s="98">
        <v>0.02</v>
      </c>
      <c r="U30" s="98">
        <v>0.02</v>
      </c>
      <c r="V30" s="98">
        <v>0.02</v>
      </c>
      <c r="W30" s="98">
        <v>0.02</v>
      </c>
      <c r="X30" s="98">
        <v>0.02</v>
      </c>
      <c r="Y30" s="147">
        <v>0.02</v>
      </c>
      <c r="Z30" s="99">
        <f t="shared" si="63"/>
        <v>21.6</v>
      </c>
      <c r="AA30" s="99">
        <f t="shared" si="64"/>
        <v>21.6</v>
      </c>
      <c r="AB30" s="99">
        <f t="shared" si="65"/>
        <v>21.6</v>
      </c>
      <c r="AC30" s="99">
        <f t="shared" si="66"/>
        <v>24</v>
      </c>
      <c r="AD30" s="99">
        <f t="shared" si="67"/>
        <v>24</v>
      </c>
      <c r="AE30" s="146">
        <f t="shared" si="68"/>
        <v>24</v>
      </c>
      <c r="AF30" s="107">
        <f t="shared" si="69"/>
        <v>9.1448096207564403E-2</v>
      </c>
      <c r="AG30" s="107">
        <f t="shared" si="70"/>
        <v>9.1448096207564403E-2</v>
      </c>
      <c r="AH30" s="107">
        <f t="shared" si="71"/>
        <v>9.1448096207564403E-2</v>
      </c>
      <c r="AI30" s="210">
        <f t="shared" si="72"/>
        <v>8.4918639638364407E-2</v>
      </c>
      <c r="AJ30" s="107">
        <f t="shared" si="73"/>
        <v>8.8827433387272267E-2</v>
      </c>
      <c r="AK30" s="150">
        <f t="shared" si="74"/>
        <v>8.8827433387272267E-2</v>
      </c>
    </row>
    <row r="31" spans="1:37" x14ac:dyDescent="0.3">
      <c r="A31" s="153" t="s">
        <v>1551</v>
      </c>
      <c r="B31" s="99">
        <f>Wind_turbines!C56</f>
        <v>27</v>
      </c>
      <c r="C31" s="99">
        <f>Wind_turbines!D56</f>
        <v>27</v>
      </c>
      <c r="D31" s="99">
        <f>Wind_turbines!E56</f>
        <v>27</v>
      </c>
      <c r="E31" s="99">
        <f>Wind_turbines!F56</f>
        <v>30</v>
      </c>
      <c r="F31" s="99">
        <f>Wind_turbines!G56</f>
        <v>30</v>
      </c>
      <c r="G31" s="146">
        <f>Wind_turbines!H56</f>
        <v>30</v>
      </c>
      <c r="H31" s="98">
        <v>0.08</v>
      </c>
      <c r="I31" s="98">
        <v>0.08</v>
      </c>
      <c r="J31" s="98">
        <v>0.08</v>
      </c>
      <c r="K31" s="98">
        <f>$K$50</f>
        <v>7.5300000000000006E-2</v>
      </c>
      <c r="L31" s="98">
        <v>0.08</v>
      </c>
      <c r="M31" s="147">
        <v>0.08</v>
      </c>
      <c r="N31" s="98">
        <v>0.5</v>
      </c>
      <c r="O31" s="98">
        <v>0.5</v>
      </c>
      <c r="P31" s="98">
        <v>0.5</v>
      </c>
      <c r="Q31" s="98">
        <v>0.5</v>
      </c>
      <c r="R31" s="98">
        <v>0.5</v>
      </c>
      <c r="S31" s="147">
        <v>0.5</v>
      </c>
      <c r="T31" s="98">
        <v>0.02</v>
      </c>
      <c r="U31" s="98">
        <v>0.02</v>
      </c>
      <c r="V31" s="98">
        <v>0.02</v>
      </c>
      <c r="W31" s="98">
        <v>0.02</v>
      </c>
      <c r="X31" s="98">
        <v>0.02</v>
      </c>
      <c r="Y31" s="147">
        <v>0.02</v>
      </c>
      <c r="Z31" s="99">
        <f t="shared" si="63"/>
        <v>21.6</v>
      </c>
      <c r="AA31" s="99">
        <f t="shared" si="64"/>
        <v>21.6</v>
      </c>
      <c r="AB31" s="99">
        <f t="shared" si="65"/>
        <v>21.6</v>
      </c>
      <c r="AC31" s="99">
        <f t="shared" si="66"/>
        <v>24</v>
      </c>
      <c r="AD31" s="99">
        <f t="shared" si="67"/>
        <v>24</v>
      </c>
      <c r="AE31" s="146">
        <f t="shared" si="68"/>
        <v>24</v>
      </c>
      <c r="AF31" s="107">
        <f t="shared" si="69"/>
        <v>9.1448096207564403E-2</v>
      </c>
      <c r="AG31" s="107">
        <f t="shared" si="70"/>
        <v>9.1448096207564403E-2</v>
      </c>
      <c r="AH31" s="107">
        <f t="shared" si="71"/>
        <v>9.1448096207564403E-2</v>
      </c>
      <c r="AI31" s="210">
        <f t="shared" si="72"/>
        <v>8.4918639638364407E-2</v>
      </c>
      <c r="AJ31" s="107">
        <f t="shared" si="73"/>
        <v>8.8827433387272267E-2</v>
      </c>
      <c r="AK31" s="150">
        <f t="shared" si="74"/>
        <v>8.8827433387272267E-2</v>
      </c>
    </row>
    <row r="32" spans="1:37" x14ac:dyDescent="0.3">
      <c r="A32" s="153" t="s">
        <v>1554</v>
      </c>
      <c r="B32" s="99">
        <f>Wind_turbines!C57</f>
        <v>27</v>
      </c>
      <c r="C32" s="99">
        <f>Wind_turbines!D57</f>
        <v>27</v>
      </c>
      <c r="D32" s="99">
        <f>Wind_turbines!E57</f>
        <v>27</v>
      </c>
      <c r="E32" s="99">
        <f>Wind_turbines!F57</f>
        <v>30</v>
      </c>
      <c r="F32" s="99">
        <f>Wind_turbines!G57</f>
        <v>30</v>
      </c>
      <c r="G32" s="146">
        <f>Wind_turbines!H57</f>
        <v>30</v>
      </c>
      <c r="H32" s="98">
        <v>0.08</v>
      </c>
      <c r="I32" s="98">
        <v>0.08</v>
      </c>
      <c r="J32" s="98">
        <v>0.08</v>
      </c>
      <c r="K32" s="98">
        <f>$K$50</f>
        <v>7.5300000000000006E-2</v>
      </c>
      <c r="L32" s="98">
        <v>0.08</v>
      </c>
      <c r="M32" s="147">
        <v>0.08</v>
      </c>
      <c r="N32" s="98">
        <v>0.5</v>
      </c>
      <c r="O32" s="98">
        <v>0.5</v>
      </c>
      <c r="P32" s="98">
        <v>0.5</v>
      </c>
      <c r="Q32" s="98">
        <v>0.5</v>
      </c>
      <c r="R32" s="98">
        <v>0.5</v>
      </c>
      <c r="S32" s="147">
        <v>0.5</v>
      </c>
      <c r="T32" s="98">
        <v>0.02</v>
      </c>
      <c r="U32" s="98">
        <v>0.02</v>
      </c>
      <c r="V32" s="98">
        <v>0.02</v>
      </c>
      <c r="W32" s="98">
        <v>0.02</v>
      </c>
      <c r="X32" s="98">
        <v>0.02</v>
      </c>
      <c r="Y32" s="147">
        <v>0.02</v>
      </c>
      <c r="Z32" s="99">
        <f t="shared" si="63"/>
        <v>21.6</v>
      </c>
      <c r="AA32" s="99">
        <f t="shared" si="64"/>
        <v>21.6</v>
      </c>
      <c r="AB32" s="99">
        <f t="shared" si="65"/>
        <v>21.6</v>
      </c>
      <c r="AC32" s="99">
        <f t="shared" si="66"/>
        <v>24</v>
      </c>
      <c r="AD32" s="99">
        <f t="shared" si="67"/>
        <v>24</v>
      </c>
      <c r="AE32" s="146">
        <f t="shared" si="68"/>
        <v>24</v>
      </c>
      <c r="AF32" s="107">
        <f t="shared" si="69"/>
        <v>9.1448096207564403E-2</v>
      </c>
      <c r="AG32" s="107">
        <f t="shared" si="70"/>
        <v>9.1448096207564403E-2</v>
      </c>
      <c r="AH32" s="107">
        <f t="shared" si="71"/>
        <v>9.1448096207564403E-2</v>
      </c>
      <c r="AI32" s="210">
        <f t="shared" si="72"/>
        <v>8.4918639638364407E-2</v>
      </c>
      <c r="AJ32" s="107">
        <f t="shared" si="73"/>
        <v>8.8827433387272267E-2</v>
      </c>
      <c r="AK32" s="150">
        <f t="shared" si="74"/>
        <v>8.8827433387272267E-2</v>
      </c>
    </row>
    <row r="33" spans="1:37" x14ac:dyDescent="0.3">
      <c r="A33" s="153" t="s">
        <v>1554</v>
      </c>
      <c r="B33" s="99">
        <f>Wind_turbines!C58</f>
        <v>27</v>
      </c>
      <c r="C33" s="99">
        <f>Wind_turbines!D58</f>
        <v>27</v>
      </c>
      <c r="D33" s="99">
        <f>Wind_turbines!E58</f>
        <v>27</v>
      </c>
      <c r="E33" s="99">
        <f>Wind_turbines!F58</f>
        <v>30</v>
      </c>
      <c r="F33" s="99">
        <f>Wind_turbines!G58</f>
        <v>30</v>
      </c>
      <c r="G33" s="146">
        <f>Wind_turbines!H58</f>
        <v>30</v>
      </c>
      <c r="H33" s="98">
        <v>0.08</v>
      </c>
      <c r="I33" s="98">
        <v>0.08</v>
      </c>
      <c r="J33" s="98">
        <v>0.08</v>
      </c>
      <c r="K33" s="98">
        <f>$K$50</f>
        <v>7.5300000000000006E-2</v>
      </c>
      <c r="L33" s="98">
        <v>0.08</v>
      </c>
      <c r="M33" s="147">
        <v>0.08</v>
      </c>
      <c r="N33" s="98">
        <v>0.5</v>
      </c>
      <c r="O33" s="98">
        <v>0.5</v>
      </c>
      <c r="P33" s="98">
        <v>0.5</v>
      </c>
      <c r="Q33" s="98">
        <v>0.5</v>
      </c>
      <c r="R33" s="98">
        <v>0.5</v>
      </c>
      <c r="S33" s="147">
        <v>0.5</v>
      </c>
      <c r="T33" s="98">
        <v>0.02</v>
      </c>
      <c r="U33" s="98">
        <v>0.02</v>
      </c>
      <c r="V33" s="98">
        <v>0.02</v>
      </c>
      <c r="W33" s="98">
        <v>0.02</v>
      </c>
      <c r="X33" s="98">
        <v>0.02</v>
      </c>
      <c r="Y33" s="147">
        <v>0.02</v>
      </c>
      <c r="Z33" s="99">
        <f t="shared" si="63"/>
        <v>21.6</v>
      </c>
      <c r="AA33" s="99">
        <f t="shared" si="64"/>
        <v>21.6</v>
      </c>
      <c r="AB33" s="99">
        <f t="shared" si="65"/>
        <v>21.6</v>
      </c>
      <c r="AC33" s="99">
        <f t="shared" si="66"/>
        <v>24</v>
      </c>
      <c r="AD33" s="99">
        <f t="shared" si="67"/>
        <v>24</v>
      </c>
      <c r="AE33" s="146">
        <f t="shared" si="68"/>
        <v>24</v>
      </c>
      <c r="AF33" s="107">
        <f t="shared" si="69"/>
        <v>9.1448096207564403E-2</v>
      </c>
      <c r="AG33" s="107">
        <f t="shared" si="70"/>
        <v>9.1448096207564403E-2</v>
      </c>
      <c r="AH33" s="107">
        <f t="shared" si="71"/>
        <v>9.1448096207564403E-2</v>
      </c>
      <c r="AI33" s="210">
        <f t="shared" si="72"/>
        <v>8.4918639638364407E-2</v>
      </c>
      <c r="AJ33" s="107">
        <f t="shared" si="73"/>
        <v>8.8827433387272267E-2</v>
      </c>
      <c r="AK33" s="150">
        <f t="shared" si="74"/>
        <v>8.8827433387272267E-2</v>
      </c>
    </row>
    <row r="34" spans="1:37" x14ac:dyDescent="0.3">
      <c r="A34" s="153" t="s">
        <v>1557</v>
      </c>
      <c r="B34" s="99">
        <f>Wind_turbines!C59</f>
        <v>27</v>
      </c>
      <c r="C34" s="99">
        <f>Wind_turbines!D59</f>
        <v>27</v>
      </c>
      <c r="D34" s="99">
        <f>Wind_turbines!E59</f>
        <v>27</v>
      </c>
      <c r="E34" s="99">
        <f>Wind_turbines!F59</f>
        <v>30</v>
      </c>
      <c r="F34" s="99">
        <f>Wind_turbines!G59</f>
        <v>30</v>
      </c>
      <c r="G34" s="146">
        <f>Wind_turbines!H59</f>
        <v>30</v>
      </c>
      <c r="H34" s="98">
        <v>0.08</v>
      </c>
      <c r="I34" s="98">
        <v>0.08</v>
      </c>
      <c r="J34" s="98">
        <v>0.08</v>
      </c>
      <c r="K34" s="98">
        <f>$K$50</f>
        <v>7.5300000000000006E-2</v>
      </c>
      <c r="L34" s="98">
        <v>0.08</v>
      </c>
      <c r="M34" s="147">
        <v>0.08</v>
      </c>
      <c r="N34" s="98">
        <v>0.5</v>
      </c>
      <c r="O34" s="98">
        <v>0.5</v>
      </c>
      <c r="P34" s="98">
        <v>0.5</v>
      </c>
      <c r="Q34" s="98">
        <v>0.5</v>
      </c>
      <c r="R34" s="98">
        <v>0.5</v>
      </c>
      <c r="S34" s="147">
        <v>0.5</v>
      </c>
      <c r="T34" s="98">
        <v>0.02</v>
      </c>
      <c r="U34" s="98">
        <v>0.02</v>
      </c>
      <c r="V34" s="98">
        <v>0.02</v>
      </c>
      <c r="W34" s="98">
        <v>0.02</v>
      </c>
      <c r="X34" s="98">
        <v>0.02</v>
      </c>
      <c r="Y34" s="147">
        <v>0.02</v>
      </c>
      <c r="Z34" s="99">
        <f t="shared" si="63"/>
        <v>21.6</v>
      </c>
      <c r="AA34" s="99">
        <f t="shared" si="64"/>
        <v>21.6</v>
      </c>
      <c r="AB34" s="99">
        <f t="shared" si="65"/>
        <v>21.6</v>
      </c>
      <c r="AC34" s="99">
        <f t="shared" si="66"/>
        <v>24</v>
      </c>
      <c r="AD34" s="99">
        <f t="shared" si="67"/>
        <v>24</v>
      </c>
      <c r="AE34" s="146">
        <f t="shared" si="68"/>
        <v>24</v>
      </c>
      <c r="AF34" s="107">
        <f t="shared" si="69"/>
        <v>9.1448096207564403E-2</v>
      </c>
      <c r="AG34" s="107">
        <f t="shared" si="70"/>
        <v>9.1448096207564403E-2</v>
      </c>
      <c r="AH34" s="107">
        <f t="shared" si="71"/>
        <v>9.1448096207564403E-2</v>
      </c>
      <c r="AI34" s="210">
        <f t="shared" si="72"/>
        <v>8.4918639638364407E-2</v>
      </c>
      <c r="AJ34" s="107">
        <f t="shared" si="73"/>
        <v>8.8827433387272267E-2</v>
      </c>
      <c r="AK34" s="150">
        <f t="shared" si="74"/>
        <v>8.8827433387272267E-2</v>
      </c>
    </row>
    <row r="35" spans="1:37" x14ac:dyDescent="0.3">
      <c r="A35" s="153" t="s">
        <v>1557</v>
      </c>
      <c r="B35" s="99">
        <f>Wind_turbines!C60</f>
        <v>27</v>
      </c>
      <c r="C35" s="99">
        <f>Wind_turbines!D60</f>
        <v>27</v>
      </c>
      <c r="D35" s="99">
        <f>Wind_turbines!E60</f>
        <v>27</v>
      </c>
      <c r="E35" s="99">
        <f>Wind_turbines!F60</f>
        <v>30</v>
      </c>
      <c r="F35" s="99">
        <f>Wind_turbines!G60</f>
        <v>30</v>
      </c>
      <c r="G35" s="146">
        <f>Wind_turbines!H60</f>
        <v>30</v>
      </c>
      <c r="H35" s="98">
        <v>0.08</v>
      </c>
      <c r="I35" s="98">
        <v>0.08</v>
      </c>
      <c r="J35" s="98">
        <v>0.08</v>
      </c>
      <c r="K35" s="98">
        <f>$K$50</f>
        <v>7.5300000000000006E-2</v>
      </c>
      <c r="L35" s="98">
        <v>0.08</v>
      </c>
      <c r="M35" s="147">
        <v>0.08</v>
      </c>
      <c r="N35" s="98">
        <v>0.5</v>
      </c>
      <c r="O35" s="98">
        <v>0.5</v>
      </c>
      <c r="P35" s="98">
        <v>0.5</v>
      </c>
      <c r="Q35" s="98">
        <v>0.5</v>
      </c>
      <c r="R35" s="98">
        <v>0.5</v>
      </c>
      <c r="S35" s="147">
        <v>0.5</v>
      </c>
      <c r="T35" s="98">
        <v>0.02</v>
      </c>
      <c r="U35" s="98">
        <v>0.02</v>
      </c>
      <c r="V35" s="98">
        <v>0.02</v>
      </c>
      <c r="W35" s="98">
        <v>0.02</v>
      </c>
      <c r="X35" s="98">
        <v>0.02</v>
      </c>
      <c r="Y35" s="147">
        <v>0.02</v>
      </c>
      <c r="Z35" s="99">
        <f t="shared" si="63"/>
        <v>21.6</v>
      </c>
      <c r="AA35" s="99">
        <f t="shared" si="64"/>
        <v>21.6</v>
      </c>
      <c r="AB35" s="99">
        <f t="shared" si="65"/>
        <v>21.6</v>
      </c>
      <c r="AC35" s="99">
        <f t="shared" si="66"/>
        <v>24</v>
      </c>
      <c r="AD35" s="99">
        <f t="shared" si="67"/>
        <v>24</v>
      </c>
      <c r="AE35" s="146">
        <f t="shared" si="68"/>
        <v>24</v>
      </c>
      <c r="AF35" s="107">
        <f t="shared" si="69"/>
        <v>9.1448096207564403E-2</v>
      </c>
      <c r="AG35" s="107">
        <f t="shared" si="70"/>
        <v>9.1448096207564403E-2</v>
      </c>
      <c r="AH35" s="107">
        <f t="shared" si="71"/>
        <v>9.1448096207564403E-2</v>
      </c>
      <c r="AI35" s="210">
        <f t="shared" si="72"/>
        <v>8.4918639638364407E-2</v>
      </c>
      <c r="AJ35" s="107">
        <f t="shared" si="73"/>
        <v>8.8827433387272267E-2</v>
      </c>
      <c r="AK35" s="150">
        <f t="shared" si="74"/>
        <v>8.8827433387272267E-2</v>
      </c>
    </row>
    <row r="36" spans="1:37" x14ac:dyDescent="0.3">
      <c r="A36" s="153" t="s">
        <v>1561</v>
      </c>
      <c r="B36" s="99">
        <f>Wind_turbines!C61</f>
        <v>27</v>
      </c>
      <c r="C36" s="99">
        <f>Wind_turbines!D61</f>
        <v>27</v>
      </c>
      <c r="D36" s="99">
        <f>Wind_turbines!E61</f>
        <v>27</v>
      </c>
      <c r="E36" s="99">
        <f>Wind_turbines!F61</f>
        <v>30</v>
      </c>
      <c r="F36" s="99">
        <f>Wind_turbines!G61</f>
        <v>30</v>
      </c>
      <c r="G36" s="146">
        <f>Wind_turbines!H61</f>
        <v>30</v>
      </c>
      <c r="H36" s="98">
        <v>0.08</v>
      </c>
      <c r="I36" s="98">
        <v>0.08</v>
      </c>
      <c r="J36" s="98">
        <v>0.08</v>
      </c>
      <c r="K36" s="98">
        <f>$K$50</f>
        <v>7.5300000000000006E-2</v>
      </c>
      <c r="L36" s="98">
        <v>0.08</v>
      </c>
      <c r="M36" s="147">
        <v>0.08</v>
      </c>
      <c r="N36" s="98">
        <v>0.5</v>
      </c>
      <c r="O36" s="98">
        <v>0.5</v>
      </c>
      <c r="P36" s="98">
        <v>0.5</v>
      </c>
      <c r="Q36" s="98">
        <v>0.5</v>
      </c>
      <c r="R36" s="98">
        <v>0.5</v>
      </c>
      <c r="S36" s="147">
        <v>0.5</v>
      </c>
      <c r="T36" s="98">
        <v>0.02</v>
      </c>
      <c r="U36" s="98">
        <v>0.02</v>
      </c>
      <c r="V36" s="98">
        <v>0.02</v>
      </c>
      <c r="W36" s="98">
        <v>0.02</v>
      </c>
      <c r="X36" s="98">
        <v>0.02</v>
      </c>
      <c r="Y36" s="147">
        <v>0.02</v>
      </c>
      <c r="Z36" s="99">
        <f t="shared" si="63"/>
        <v>21.6</v>
      </c>
      <c r="AA36" s="99">
        <f t="shared" si="64"/>
        <v>21.6</v>
      </c>
      <c r="AB36" s="99">
        <f t="shared" si="65"/>
        <v>21.6</v>
      </c>
      <c r="AC36" s="99">
        <f t="shared" si="66"/>
        <v>24</v>
      </c>
      <c r="AD36" s="99">
        <f t="shared" si="67"/>
        <v>24</v>
      </c>
      <c r="AE36" s="146">
        <f t="shared" si="68"/>
        <v>24</v>
      </c>
      <c r="AF36" s="107">
        <f t="shared" si="69"/>
        <v>9.1448096207564403E-2</v>
      </c>
      <c r="AG36" s="107">
        <f t="shared" si="70"/>
        <v>9.1448096207564403E-2</v>
      </c>
      <c r="AH36" s="107">
        <f t="shared" si="71"/>
        <v>9.1448096207564403E-2</v>
      </c>
      <c r="AI36" s="210">
        <f t="shared" si="72"/>
        <v>8.4918639638364407E-2</v>
      </c>
      <c r="AJ36" s="107">
        <f t="shared" si="73"/>
        <v>8.8827433387272267E-2</v>
      </c>
      <c r="AK36" s="150">
        <f t="shared" si="74"/>
        <v>8.8827433387272267E-2</v>
      </c>
    </row>
    <row r="37" spans="1:37" x14ac:dyDescent="0.3">
      <c r="A37" s="153" t="s">
        <v>1561</v>
      </c>
      <c r="B37" s="99">
        <f>Wind_turbines!C62</f>
        <v>27</v>
      </c>
      <c r="C37" s="99">
        <f>Wind_turbines!D62</f>
        <v>27</v>
      </c>
      <c r="D37" s="99">
        <f>Wind_turbines!E62</f>
        <v>27</v>
      </c>
      <c r="E37" s="99">
        <f>Wind_turbines!F62</f>
        <v>30</v>
      </c>
      <c r="F37" s="99">
        <f>Wind_turbines!G62</f>
        <v>30</v>
      </c>
      <c r="G37" s="146">
        <f>Wind_turbines!H62</f>
        <v>30</v>
      </c>
      <c r="H37" s="98">
        <v>0.08</v>
      </c>
      <c r="I37" s="98">
        <v>0.08</v>
      </c>
      <c r="J37" s="98">
        <v>0.08</v>
      </c>
      <c r="K37" s="98">
        <f>$K$50</f>
        <v>7.5300000000000006E-2</v>
      </c>
      <c r="L37" s="98">
        <v>0.08</v>
      </c>
      <c r="M37" s="147">
        <v>0.08</v>
      </c>
      <c r="N37" s="98">
        <v>0.5</v>
      </c>
      <c r="O37" s="98">
        <v>0.5</v>
      </c>
      <c r="P37" s="98">
        <v>0.5</v>
      </c>
      <c r="Q37" s="98">
        <v>0.5</v>
      </c>
      <c r="R37" s="98">
        <v>0.5</v>
      </c>
      <c r="S37" s="147">
        <v>0.5</v>
      </c>
      <c r="T37" s="98">
        <v>0.02</v>
      </c>
      <c r="U37" s="98">
        <v>0.02</v>
      </c>
      <c r="V37" s="98">
        <v>0.02</v>
      </c>
      <c r="W37" s="98">
        <v>0.02</v>
      </c>
      <c r="X37" s="98">
        <v>0.02</v>
      </c>
      <c r="Y37" s="147">
        <v>0.02</v>
      </c>
      <c r="Z37" s="99">
        <f t="shared" si="63"/>
        <v>21.6</v>
      </c>
      <c r="AA37" s="99">
        <f t="shared" si="64"/>
        <v>21.6</v>
      </c>
      <c r="AB37" s="99">
        <f t="shared" si="65"/>
        <v>21.6</v>
      </c>
      <c r="AC37" s="99">
        <f t="shared" si="66"/>
        <v>24</v>
      </c>
      <c r="AD37" s="99">
        <f t="shared" si="67"/>
        <v>24</v>
      </c>
      <c r="AE37" s="146">
        <f t="shared" si="68"/>
        <v>24</v>
      </c>
      <c r="AF37" s="107">
        <f t="shared" si="69"/>
        <v>9.1448096207564403E-2</v>
      </c>
      <c r="AG37" s="107">
        <f t="shared" si="70"/>
        <v>9.1448096207564403E-2</v>
      </c>
      <c r="AH37" s="107">
        <f t="shared" si="71"/>
        <v>9.1448096207564403E-2</v>
      </c>
      <c r="AI37" s="210">
        <f t="shared" si="72"/>
        <v>8.4918639638364407E-2</v>
      </c>
      <c r="AJ37" s="107">
        <f t="shared" si="73"/>
        <v>8.8827433387272267E-2</v>
      </c>
      <c r="AK37" s="150">
        <f t="shared" si="74"/>
        <v>8.8827433387272267E-2</v>
      </c>
    </row>
    <row r="38" spans="1:37" x14ac:dyDescent="0.3">
      <c r="A38" s="153" t="s">
        <v>1564</v>
      </c>
      <c r="B38" s="99">
        <f>Wind_turbines!C63</f>
        <v>27</v>
      </c>
      <c r="C38" s="99">
        <f>Wind_turbines!D63</f>
        <v>27</v>
      </c>
      <c r="D38" s="99">
        <f>Wind_turbines!E63</f>
        <v>27</v>
      </c>
      <c r="E38" s="99">
        <f>Wind_turbines!F63</f>
        <v>30</v>
      </c>
      <c r="F38" s="99">
        <f>Wind_turbines!G63</f>
        <v>30</v>
      </c>
      <c r="G38" s="146">
        <f>Wind_turbines!H63</f>
        <v>30</v>
      </c>
      <c r="H38" s="98">
        <v>0.08</v>
      </c>
      <c r="I38" s="98">
        <v>0.08</v>
      </c>
      <c r="J38" s="98">
        <v>0.08</v>
      </c>
      <c r="K38" s="98">
        <f>$K$50</f>
        <v>7.5300000000000006E-2</v>
      </c>
      <c r="L38" s="98">
        <v>0.08</v>
      </c>
      <c r="M38" s="147">
        <v>0.08</v>
      </c>
      <c r="N38" s="98">
        <v>0.5</v>
      </c>
      <c r="O38" s="98">
        <v>0.5</v>
      </c>
      <c r="P38" s="98">
        <v>0.5</v>
      </c>
      <c r="Q38" s="98">
        <v>0.5</v>
      </c>
      <c r="R38" s="98">
        <v>0.5</v>
      </c>
      <c r="S38" s="147">
        <v>0.5</v>
      </c>
      <c r="T38" s="98">
        <v>0.02</v>
      </c>
      <c r="U38" s="98">
        <v>0.02</v>
      </c>
      <c r="V38" s="98">
        <v>0.02</v>
      </c>
      <c r="W38" s="98">
        <v>0.02</v>
      </c>
      <c r="X38" s="98">
        <v>0.02</v>
      </c>
      <c r="Y38" s="147">
        <v>0.02</v>
      </c>
      <c r="Z38" s="99">
        <f t="shared" si="63"/>
        <v>21.6</v>
      </c>
      <c r="AA38" s="99">
        <f t="shared" si="64"/>
        <v>21.6</v>
      </c>
      <c r="AB38" s="99">
        <f t="shared" si="65"/>
        <v>21.6</v>
      </c>
      <c r="AC38" s="99">
        <f t="shared" si="66"/>
        <v>24</v>
      </c>
      <c r="AD38" s="99">
        <f t="shared" si="67"/>
        <v>24</v>
      </c>
      <c r="AE38" s="146">
        <f t="shared" si="68"/>
        <v>24</v>
      </c>
      <c r="AF38" s="107">
        <f t="shared" si="69"/>
        <v>9.1448096207564403E-2</v>
      </c>
      <c r="AG38" s="107">
        <f t="shared" si="70"/>
        <v>9.1448096207564403E-2</v>
      </c>
      <c r="AH38" s="107">
        <f t="shared" si="71"/>
        <v>9.1448096207564403E-2</v>
      </c>
      <c r="AI38" s="210">
        <f t="shared" si="72"/>
        <v>8.4918639638364407E-2</v>
      </c>
      <c r="AJ38" s="107">
        <f t="shared" si="73"/>
        <v>8.8827433387272267E-2</v>
      </c>
      <c r="AK38" s="150">
        <f t="shared" si="74"/>
        <v>8.8827433387272267E-2</v>
      </c>
    </row>
    <row r="39" spans="1:37" x14ac:dyDescent="0.3">
      <c r="A39" s="153" t="s">
        <v>1564</v>
      </c>
      <c r="B39" s="99">
        <f>Wind_turbines!C64</f>
        <v>27</v>
      </c>
      <c r="C39" s="99">
        <f>Wind_turbines!D64</f>
        <v>27</v>
      </c>
      <c r="D39" s="99">
        <f>Wind_turbines!E64</f>
        <v>27</v>
      </c>
      <c r="E39" s="99">
        <f>Wind_turbines!F64</f>
        <v>30</v>
      </c>
      <c r="F39" s="99">
        <f>Wind_turbines!G64</f>
        <v>30</v>
      </c>
      <c r="G39" s="146">
        <f>Wind_turbines!H64</f>
        <v>30</v>
      </c>
      <c r="H39" s="98">
        <v>0.08</v>
      </c>
      <c r="I39" s="98">
        <v>0.08</v>
      </c>
      <c r="J39" s="98">
        <v>0.08</v>
      </c>
      <c r="K39" s="98">
        <f>$K$50</f>
        <v>7.5300000000000006E-2</v>
      </c>
      <c r="L39" s="98">
        <v>0.08</v>
      </c>
      <c r="M39" s="147">
        <v>0.08</v>
      </c>
      <c r="N39" s="98">
        <v>0.5</v>
      </c>
      <c r="O39" s="98">
        <v>0.5</v>
      </c>
      <c r="P39" s="98">
        <v>0.5</v>
      </c>
      <c r="Q39" s="98">
        <v>0.5</v>
      </c>
      <c r="R39" s="98">
        <v>0.5</v>
      </c>
      <c r="S39" s="147">
        <v>0.5</v>
      </c>
      <c r="T39" s="98">
        <v>0.02</v>
      </c>
      <c r="U39" s="98">
        <v>0.02</v>
      </c>
      <c r="V39" s="98">
        <v>0.02</v>
      </c>
      <c r="W39" s="98">
        <v>0.02</v>
      </c>
      <c r="X39" s="98">
        <v>0.02</v>
      </c>
      <c r="Y39" s="147">
        <v>0.02</v>
      </c>
      <c r="Z39" s="99">
        <f t="shared" si="63"/>
        <v>21.6</v>
      </c>
      <c r="AA39" s="99">
        <f t="shared" si="64"/>
        <v>21.6</v>
      </c>
      <c r="AB39" s="99">
        <f t="shared" si="65"/>
        <v>21.6</v>
      </c>
      <c r="AC39" s="99">
        <f t="shared" si="66"/>
        <v>24</v>
      </c>
      <c r="AD39" s="99">
        <f t="shared" si="67"/>
        <v>24</v>
      </c>
      <c r="AE39" s="146">
        <f t="shared" si="68"/>
        <v>24</v>
      </c>
      <c r="AF39" s="107">
        <f t="shared" si="69"/>
        <v>9.1448096207564403E-2</v>
      </c>
      <c r="AG39" s="107">
        <f t="shared" si="70"/>
        <v>9.1448096207564403E-2</v>
      </c>
      <c r="AH39" s="107">
        <f t="shared" si="71"/>
        <v>9.1448096207564403E-2</v>
      </c>
      <c r="AI39" s="210">
        <f t="shared" si="72"/>
        <v>8.4918639638364407E-2</v>
      </c>
      <c r="AJ39" s="107">
        <f t="shared" si="73"/>
        <v>8.8827433387272267E-2</v>
      </c>
      <c r="AK39" s="150">
        <f t="shared" si="74"/>
        <v>8.8827433387272267E-2</v>
      </c>
    </row>
    <row r="40" spans="1:37" x14ac:dyDescent="0.3">
      <c r="A40" s="100" t="s">
        <v>1030</v>
      </c>
      <c r="B40" s="99">
        <v>30</v>
      </c>
      <c r="C40" s="99">
        <v>30</v>
      </c>
      <c r="D40" s="99">
        <v>30</v>
      </c>
      <c r="E40" s="99">
        <v>30</v>
      </c>
      <c r="F40" s="99">
        <v>30</v>
      </c>
      <c r="G40" s="99">
        <v>30</v>
      </c>
      <c r="H40" s="98">
        <v>0.08</v>
      </c>
      <c r="I40" s="98">
        <v>0.08</v>
      </c>
      <c r="J40" s="98">
        <v>0.08</v>
      </c>
      <c r="K40" s="98">
        <v>0.08</v>
      </c>
      <c r="L40" s="98">
        <v>0.08</v>
      </c>
      <c r="M40" s="147">
        <v>0.08</v>
      </c>
      <c r="N40" s="98">
        <v>0.5</v>
      </c>
      <c r="O40" s="98">
        <v>0.5</v>
      </c>
      <c r="P40" s="98">
        <v>0.5</v>
      </c>
      <c r="Q40" s="98">
        <v>0.5</v>
      </c>
      <c r="R40" s="98">
        <v>0.5</v>
      </c>
      <c r="S40" s="147">
        <v>0.5</v>
      </c>
      <c r="T40" s="98">
        <v>0.02</v>
      </c>
      <c r="U40" s="98">
        <v>0.02</v>
      </c>
      <c r="V40" s="98">
        <v>0.02</v>
      </c>
      <c r="W40" s="98">
        <v>0.02</v>
      </c>
      <c r="X40" s="98">
        <v>0.02</v>
      </c>
      <c r="Y40" s="147">
        <v>0.02</v>
      </c>
      <c r="Z40" s="99">
        <f t="shared" si="24"/>
        <v>24</v>
      </c>
      <c r="AA40" s="99">
        <f t="shared" si="25"/>
        <v>24</v>
      </c>
      <c r="AB40" s="99">
        <f t="shared" si="26"/>
        <v>24</v>
      </c>
      <c r="AC40" s="99">
        <f t="shared" si="27"/>
        <v>24</v>
      </c>
      <c r="AD40" s="99">
        <f t="shared" si="60"/>
        <v>24</v>
      </c>
      <c r="AE40" s="146">
        <f t="shared" si="61"/>
        <v>24</v>
      </c>
      <c r="AF40" s="107">
        <f t="shared" si="69"/>
        <v>8.8827433387272267E-2</v>
      </c>
      <c r="AG40" s="107">
        <f t="shared" si="70"/>
        <v>8.8827433387272267E-2</v>
      </c>
      <c r="AH40" s="107">
        <f t="shared" si="71"/>
        <v>8.8827433387272267E-2</v>
      </c>
      <c r="AI40" s="210">
        <f t="shared" si="72"/>
        <v>8.8827433387272267E-2</v>
      </c>
      <c r="AJ40" s="107">
        <f t="shared" si="73"/>
        <v>8.8827433387272267E-2</v>
      </c>
      <c r="AK40" s="150">
        <f t="shared" si="74"/>
        <v>8.8827433387272267E-2</v>
      </c>
    </row>
    <row r="41" spans="1:37" x14ac:dyDescent="0.3">
      <c r="A41" s="100" t="s">
        <v>1031</v>
      </c>
      <c r="B41" s="99">
        <v>0</v>
      </c>
      <c r="C41" s="99">
        <v>0</v>
      </c>
      <c r="D41" s="99">
        <v>0</v>
      </c>
      <c r="E41" s="99">
        <v>0</v>
      </c>
      <c r="F41" s="99">
        <v>0</v>
      </c>
      <c r="G41" s="146">
        <v>0</v>
      </c>
      <c r="H41" s="98">
        <v>0.08</v>
      </c>
      <c r="I41" s="98">
        <v>0.08</v>
      </c>
      <c r="J41" s="98">
        <v>0.08</v>
      </c>
      <c r="K41" s="98">
        <v>0.08</v>
      </c>
      <c r="L41" s="98">
        <v>0.08</v>
      </c>
      <c r="M41" s="147">
        <v>0.08</v>
      </c>
      <c r="N41" s="98">
        <v>0.5</v>
      </c>
      <c r="O41" s="98">
        <v>0.5</v>
      </c>
      <c r="P41" s="98">
        <v>0.5</v>
      </c>
      <c r="Q41" s="98">
        <v>0.5</v>
      </c>
      <c r="R41" s="98">
        <v>0.5</v>
      </c>
      <c r="S41" s="147">
        <v>0.5</v>
      </c>
      <c r="T41" s="98">
        <v>0.02</v>
      </c>
      <c r="U41" s="98">
        <v>0.02</v>
      </c>
      <c r="V41" s="98">
        <v>0.02</v>
      </c>
      <c r="W41" s="98">
        <v>0.02</v>
      </c>
      <c r="X41" s="98">
        <v>0.02</v>
      </c>
      <c r="Y41" s="147">
        <v>0.02</v>
      </c>
      <c r="Z41" s="99">
        <f t="shared" si="24"/>
        <v>0</v>
      </c>
      <c r="AA41" s="99">
        <f t="shared" si="25"/>
        <v>0</v>
      </c>
      <c r="AB41" s="99">
        <f t="shared" si="26"/>
        <v>0</v>
      </c>
      <c r="AC41" s="99">
        <f t="shared" si="27"/>
        <v>0</v>
      </c>
      <c r="AD41" s="99">
        <f t="shared" si="60"/>
        <v>0</v>
      </c>
      <c r="AE41" s="146">
        <f t="shared" si="61"/>
        <v>0</v>
      </c>
      <c r="AF41" s="107">
        <f t="shared" si="69"/>
        <v>0</v>
      </c>
      <c r="AG41" s="107">
        <f t="shared" si="70"/>
        <v>0</v>
      </c>
      <c r="AH41" s="107">
        <f t="shared" si="71"/>
        <v>0</v>
      </c>
      <c r="AI41" s="210">
        <f t="shared" si="72"/>
        <v>0</v>
      </c>
      <c r="AJ41" s="107">
        <f t="shared" si="73"/>
        <v>0</v>
      </c>
      <c r="AK41" s="150">
        <f t="shared" si="74"/>
        <v>0</v>
      </c>
    </row>
    <row r="42" spans="1:37" x14ac:dyDescent="0.3">
      <c r="A42" s="100" t="s">
        <v>1032</v>
      </c>
      <c r="B42" s="99">
        <v>0</v>
      </c>
      <c r="C42" s="99">
        <v>0</v>
      </c>
      <c r="D42" s="99">
        <v>0</v>
      </c>
      <c r="E42" s="99">
        <v>0</v>
      </c>
      <c r="F42" s="99">
        <v>0</v>
      </c>
      <c r="G42" s="146">
        <v>0</v>
      </c>
      <c r="H42" s="98">
        <v>0.08</v>
      </c>
      <c r="I42" s="98">
        <v>0.08</v>
      </c>
      <c r="J42" s="98">
        <v>0.08</v>
      </c>
      <c r="K42" s="98">
        <v>0.08</v>
      </c>
      <c r="L42" s="98">
        <v>0.08</v>
      </c>
      <c r="M42" s="147">
        <v>0.08</v>
      </c>
      <c r="N42" s="98">
        <v>0.5</v>
      </c>
      <c r="O42" s="98">
        <v>0.5</v>
      </c>
      <c r="P42" s="98">
        <v>0.5</v>
      </c>
      <c r="Q42" s="98">
        <v>0.5</v>
      </c>
      <c r="R42" s="98">
        <v>0.5</v>
      </c>
      <c r="S42" s="147">
        <v>0.5</v>
      </c>
      <c r="T42" s="98">
        <v>0.02</v>
      </c>
      <c r="U42" s="98">
        <v>0.02</v>
      </c>
      <c r="V42" s="98">
        <v>0.02</v>
      </c>
      <c r="W42" s="98">
        <v>0.02</v>
      </c>
      <c r="X42" s="98">
        <v>0.02</v>
      </c>
      <c r="Y42" s="147">
        <v>0.02</v>
      </c>
      <c r="Z42" s="99">
        <f t="shared" si="24"/>
        <v>0</v>
      </c>
      <c r="AA42" s="99">
        <f t="shared" si="25"/>
        <v>0</v>
      </c>
      <c r="AB42" s="99">
        <f t="shared" si="26"/>
        <v>0</v>
      </c>
      <c r="AC42" s="99">
        <f t="shared" si="27"/>
        <v>0</v>
      </c>
      <c r="AD42" s="99">
        <f t="shared" si="60"/>
        <v>0</v>
      </c>
      <c r="AE42" s="146">
        <f t="shared" si="61"/>
        <v>0</v>
      </c>
      <c r="AF42" s="107">
        <f t="shared" si="69"/>
        <v>0</v>
      </c>
      <c r="AG42" s="107">
        <f t="shared" si="70"/>
        <v>0</v>
      </c>
      <c r="AH42" s="107">
        <f t="shared" si="71"/>
        <v>0</v>
      </c>
      <c r="AI42" s="210">
        <f t="shared" si="72"/>
        <v>0</v>
      </c>
      <c r="AJ42" s="107">
        <f t="shared" si="73"/>
        <v>0</v>
      </c>
      <c r="AK42" s="150">
        <f t="shared" si="74"/>
        <v>0</v>
      </c>
    </row>
    <row r="43" spans="1:37" x14ac:dyDescent="0.3">
      <c r="A43" s="100" t="s">
        <v>1033</v>
      </c>
      <c r="B43" s="99">
        <v>0</v>
      </c>
      <c r="C43" s="99">
        <v>0</v>
      </c>
      <c r="D43" s="99">
        <v>0</v>
      </c>
      <c r="E43" s="99">
        <v>0</v>
      </c>
      <c r="F43" s="99">
        <v>0</v>
      </c>
      <c r="G43" s="146">
        <v>0</v>
      </c>
      <c r="H43" s="98">
        <v>0.08</v>
      </c>
      <c r="I43" s="98">
        <v>0.08</v>
      </c>
      <c r="J43" s="98">
        <v>0.08</v>
      </c>
      <c r="K43" s="98">
        <v>0.08</v>
      </c>
      <c r="L43" s="98">
        <v>0.08</v>
      </c>
      <c r="M43" s="147">
        <v>0.08</v>
      </c>
      <c r="N43" s="98">
        <v>0.5</v>
      </c>
      <c r="O43" s="98">
        <v>0.5</v>
      </c>
      <c r="P43" s="98">
        <v>0.5</v>
      </c>
      <c r="Q43" s="98">
        <v>0.5</v>
      </c>
      <c r="R43" s="98">
        <v>0.5</v>
      </c>
      <c r="S43" s="147">
        <v>0.5</v>
      </c>
      <c r="T43" s="98">
        <v>0.02</v>
      </c>
      <c r="U43" s="98">
        <v>0.02</v>
      </c>
      <c r="V43" s="98">
        <v>0.02</v>
      </c>
      <c r="W43" s="98">
        <v>0.02</v>
      </c>
      <c r="X43" s="98">
        <v>0.02</v>
      </c>
      <c r="Y43" s="147">
        <v>0.02</v>
      </c>
      <c r="Z43" s="99">
        <f t="shared" si="24"/>
        <v>0</v>
      </c>
      <c r="AA43" s="99">
        <f t="shared" si="25"/>
        <v>0</v>
      </c>
      <c r="AB43" s="99">
        <f t="shared" si="26"/>
        <v>0</v>
      </c>
      <c r="AC43" s="99">
        <f t="shared" si="27"/>
        <v>0</v>
      </c>
      <c r="AD43" s="99">
        <f t="shared" si="60"/>
        <v>0</v>
      </c>
      <c r="AE43" s="146">
        <f t="shared" si="61"/>
        <v>0</v>
      </c>
      <c r="AF43" s="107">
        <f t="shared" si="69"/>
        <v>0</v>
      </c>
      <c r="AG43" s="107">
        <f t="shared" si="70"/>
        <v>0</v>
      </c>
      <c r="AH43" s="107">
        <f t="shared" si="71"/>
        <v>0</v>
      </c>
      <c r="AI43" s="210">
        <f t="shared" si="72"/>
        <v>0</v>
      </c>
      <c r="AJ43" s="107">
        <f t="shared" si="73"/>
        <v>0</v>
      </c>
      <c r="AK43" s="150">
        <f t="shared" si="74"/>
        <v>0</v>
      </c>
    </row>
    <row r="44" spans="1:37" s="106" customFormat="1" x14ac:dyDescent="0.3">
      <c r="A44" s="101" t="s">
        <v>48</v>
      </c>
      <c r="B44" s="103">
        <f>' Storage + Transport'!C91</f>
        <v>15</v>
      </c>
      <c r="C44" s="103">
        <f>' Storage + Transport'!D91</f>
        <v>20</v>
      </c>
      <c r="D44" s="99">
        <f>' Storage + Transport'!E91</f>
        <v>25</v>
      </c>
      <c r="E44" s="99">
        <f>' Storage + Transport'!F91</f>
        <v>25</v>
      </c>
      <c r="F44" s="99">
        <f>' Storage + Transport'!G91</f>
        <v>30</v>
      </c>
      <c r="G44" s="146">
        <f>' Storage + Transport'!H91</f>
        <v>30</v>
      </c>
      <c r="H44" s="98">
        <v>0.08</v>
      </c>
      <c r="I44" s="98">
        <v>0.08</v>
      </c>
      <c r="J44" s="98">
        <v>0.08</v>
      </c>
      <c r="K44" s="98">
        <f>$K$50</f>
        <v>7.5300000000000006E-2</v>
      </c>
      <c r="L44" s="98">
        <v>0.08</v>
      </c>
      <c r="M44" s="147">
        <v>0.08</v>
      </c>
      <c r="N44" s="102">
        <v>0.5</v>
      </c>
      <c r="O44" s="102">
        <v>0.5</v>
      </c>
      <c r="P44" s="98">
        <v>0.5</v>
      </c>
      <c r="Q44" s="98">
        <v>0.5</v>
      </c>
      <c r="R44" s="98">
        <v>0.5</v>
      </c>
      <c r="S44" s="147">
        <v>0.5</v>
      </c>
      <c r="T44" s="102">
        <v>0.02</v>
      </c>
      <c r="U44" s="102">
        <v>0.02</v>
      </c>
      <c r="V44" s="98">
        <v>0.02</v>
      </c>
      <c r="W44" s="98">
        <v>0.02</v>
      </c>
      <c r="X44" s="98">
        <v>0.02</v>
      </c>
      <c r="Y44" s="147">
        <v>0.02</v>
      </c>
      <c r="Z44" s="99">
        <f t="shared" si="24"/>
        <v>12</v>
      </c>
      <c r="AA44" s="99">
        <f t="shared" si="25"/>
        <v>16</v>
      </c>
      <c r="AB44" s="99">
        <f t="shared" si="26"/>
        <v>20</v>
      </c>
      <c r="AC44" s="99">
        <f t="shared" si="27"/>
        <v>20</v>
      </c>
      <c r="AD44" s="99">
        <f t="shared" si="60"/>
        <v>24</v>
      </c>
      <c r="AE44" s="146">
        <f t="shared" si="61"/>
        <v>24</v>
      </c>
      <c r="AF44" s="107">
        <f t="shared" si="69"/>
        <v>0.11682954493601999</v>
      </c>
      <c r="AG44" s="107">
        <f t="shared" si="70"/>
        <v>0.10185220882315059</v>
      </c>
      <c r="AH44" s="107">
        <f t="shared" si="71"/>
        <v>9.3678779051968114E-2</v>
      </c>
      <c r="AI44" s="210">
        <f t="shared" si="72"/>
        <v>8.9946873351580109E-2</v>
      </c>
      <c r="AJ44" s="107">
        <f t="shared" si="73"/>
        <v>8.8827433387272267E-2</v>
      </c>
      <c r="AK44" s="150">
        <f t="shared" si="74"/>
        <v>8.8827433387272267E-2</v>
      </c>
    </row>
    <row r="49" spans="4:12" x14ac:dyDescent="0.3">
      <c r="D49" t="s">
        <v>2314</v>
      </c>
      <c r="E49" t="s">
        <v>2313</v>
      </c>
      <c r="F49" t="s">
        <v>2315</v>
      </c>
      <c r="G49" t="s">
        <v>2316</v>
      </c>
      <c r="K49" t="s">
        <v>2317</v>
      </c>
    </row>
    <row r="50" spans="4:12" x14ac:dyDescent="0.3">
      <c r="D50" s="209">
        <v>7.5300000000000006E-2</v>
      </c>
      <c r="E50" s="209">
        <v>8.2000000000000003E-2</v>
      </c>
      <c r="F50" s="209">
        <v>9.3399999999999997E-2</v>
      </c>
      <c r="G50" s="209">
        <v>7.4899999999999994E-2</v>
      </c>
      <c r="I50" s="209"/>
      <c r="J50" s="209"/>
      <c r="K50" s="209">
        <f>D50</f>
        <v>7.5300000000000006E-2</v>
      </c>
      <c r="L50" s="209"/>
    </row>
  </sheetData>
  <mergeCells count="7">
    <mergeCell ref="AF3:AK3"/>
    <mergeCell ref="A3:A4"/>
    <mergeCell ref="B3:G3"/>
    <mergeCell ref="H3:M3"/>
    <mergeCell ref="N3:S3"/>
    <mergeCell ref="T3:Y3"/>
    <mergeCell ref="Z3:AE3"/>
  </mergeCells>
  <conditionalFormatting sqref="AJ1:AJ2">
    <cfRule type="cellIs" dxfId="5" priority="1" operator="equal">
      <formula>FALSE</formula>
    </cfRule>
    <cfRule type="cellIs" dxfId="4" priority="2" operator="equal">
      <formula>TRUE</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E50"/>
  <sheetViews>
    <sheetView workbookViewId="0">
      <pane xSplit="4" ySplit="6" topLeftCell="AD7" activePane="bottomRight" state="frozen"/>
      <selection pane="topRight" activeCell="E1" sqref="E1"/>
      <selection pane="bottomLeft" activeCell="A7" sqref="A7"/>
      <selection pane="bottomRight" activeCell="G14" sqref="G14"/>
    </sheetView>
  </sheetViews>
  <sheetFormatPr defaultColWidth="8.77734375" defaultRowHeight="14.4" x14ac:dyDescent="0.3"/>
  <cols>
    <col min="1" max="1" width="24.21875" customWidth="1"/>
    <col min="2" max="2" width="20.21875" style="39" customWidth="1"/>
    <col min="3" max="3" width="12.77734375" style="37" customWidth="1"/>
    <col min="4" max="4" width="34.109375" style="17" customWidth="1"/>
    <col min="5" max="5" width="12.77734375" style="25" customWidth="1"/>
    <col min="6" max="6" width="14.21875" style="17" customWidth="1"/>
    <col min="7" max="7" width="29.77734375" style="17" customWidth="1"/>
    <col min="8" max="8" width="36.21875" style="17" customWidth="1"/>
    <col min="9" max="9" width="21.33203125" customWidth="1"/>
    <col min="10" max="10" width="20.21875" customWidth="1"/>
    <col min="11" max="11" width="9.5546875" customWidth="1"/>
    <col min="12" max="12" width="11.77734375" customWidth="1"/>
    <col min="13" max="13" width="12.21875" customWidth="1"/>
    <col min="14" max="19" width="10.21875" customWidth="1"/>
    <col min="20" max="20" width="9.21875" customWidth="1"/>
    <col min="21" max="21" width="10.5546875" customWidth="1"/>
    <col min="22" max="22" width="8.77734375" customWidth="1"/>
    <col min="23" max="23" width="7.88671875" customWidth="1"/>
    <col min="24" max="24" width="7.5546875" customWidth="1"/>
    <col min="25" max="25" width="6.6640625" customWidth="1"/>
    <col min="26" max="26" width="14" customWidth="1"/>
    <col min="27" max="27" width="10.5546875" customWidth="1"/>
    <col min="28" max="28" width="8.77734375" customWidth="1"/>
    <col min="29" max="29" width="7.88671875" customWidth="1"/>
    <col min="30" max="30" width="7.5546875" customWidth="1"/>
    <col min="31" max="31" width="6.6640625" customWidth="1"/>
    <col min="33" max="33" width="10.5546875" customWidth="1"/>
    <col min="34" max="34" width="8.77734375" customWidth="1"/>
    <col min="35" max="35" width="7.88671875" customWidth="1"/>
    <col min="36" max="36" width="7.5546875" customWidth="1"/>
    <col min="37" max="37" width="6.6640625" customWidth="1"/>
    <col min="39" max="39" width="10.5546875" customWidth="1"/>
    <col min="40" max="40" width="8.77734375" customWidth="1"/>
    <col min="41" max="41" width="7.88671875" customWidth="1"/>
    <col min="42" max="42" width="7.5546875" customWidth="1"/>
    <col min="43" max="43" width="7.88671875" customWidth="1"/>
    <col min="45" max="45" width="10.5546875" customWidth="1"/>
    <col min="46" max="46" width="8.77734375" customWidth="1"/>
    <col min="47" max="47" width="7.88671875" customWidth="1"/>
    <col min="48" max="48" width="7.5546875" customWidth="1"/>
    <col min="49" max="49" width="6.6640625" customWidth="1"/>
    <col min="50" max="50" width="11.21875" customWidth="1"/>
    <col min="51" max="51" width="10.5546875" customWidth="1"/>
    <col min="52" max="52" width="8.77734375" customWidth="1"/>
    <col min="53" max="53" width="7.88671875" customWidth="1"/>
    <col min="54" max="54" width="7.5546875" customWidth="1"/>
    <col min="55" max="55" width="6.6640625" customWidth="1"/>
    <col min="56" max="56" width="19.5546875" customWidth="1"/>
    <col min="57" max="57" width="10.5546875" customWidth="1"/>
    <col min="58" max="58" width="8.77734375" customWidth="1"/>
    <col min="59" max="59" width="7.88671875" customWidth="1"/>
    <col min="60" max="60" width="7.5546875" customWidth="1"/>
    <col min="61" max="61" width="6.6640625" customWidth="1"/>
    <col min="62" max="62" width="11.77734375" customWidth="1"/>
    <col min="63" max="63" width="10.5546875" customWidth="1"/>
    <col min="64" max="64" width="8.77734375" customWidth="1"/>
    <col min="65" max="65" width="7.88671875" customWidth="1"/>
    <col min="66" max="66" width="7.5546875" customWidth="1"/>
    <col min="67" max="67" width="6.6640625" customWidth="1"/>
    <col min="68" max="68" width="10.77734375" customWidth="1"/>
    <col min="69" max="69" width="10.5546875" customWidth="1"/>
    <col min="70" max="70" width="8.77734375" customWidth="1"/>
    <col min="71" max="71" width="7.88671875" customWidth="1"/>
    <col min="72" max="72" width="7.5546875" customWidth="1"/>
    <col min="73" max="73" width="6.6640625" customWidth="1"/>
    <col min="74" max="74" width="12.88671875" customWidth="1"/>
    <col min="75" max="75" width="10.5546875" customWidth="1"/>
    <col min="76" max="76" width="8.77734375" customWidth="1"/>
    <col min="77" max="77" width="7.88671875" customWidth="1"/>
    <col min="78" max="78" width="7.5546875" customWidth="1"/>
    <col min="79" max="79" width="6.6640625" customWidth="1"/>
    <col min="80" max="80" width="14.21875" customWidth="1"/>
    <col min="81" max="81" width="10.5546875" customWidth="1"/>
    <col min="82" max="82" width="8.77734375" customWidth="1"/>
    <col min="83" max="83" width="7.88671875" customWidth="1"/>
    <col min="84" max="84" width="7.5546875" customWidth="1"/>
    <col min="85" max="85" width="6.6640625" customWidth="1"/>
    <col min="86" max="86" width="15.21875" customWidth="1"/>
    <col min="87" max="87" width="10.5546875" customWidth="1"/>
    <col min="88" max="88" width="8.77734375" customWidth="1"/>
    <col min="89" max="89" width="7.88671875" customWidth="1"/>
    <col min="90" max="90" width="7.5546875" customWidth="1"/>
    <col min="91" max="91" width="6.6640625" customWidth="1"/>
    <col min="92" max="92" width="18.21875" customWidth="1"/>
    <col min="93" max="93" width="10.5546875" customWidth="1"/>
    <col min="94" max="94" width="8.77734375" customWidth="1"/>
    <col min="95" max="95" width="7.88671875" customWidth="1"/>
    <col min="96" max="96" width="7.5546875" customWidth="1"/>
    <col min="97" max="97" width="6.6640625" customWidth="1"/>
    <col min="98" max="98" width="14.21875" customWidth="1"/>
    <col min="99" max="99" width="10.5546875" customWidth="1"/>
    <col min="100" max="100" width="8.77734375" customWidth="1"/>
    <col min="101" max="101" width="9.21875" customWidth="1"/>
    <col min="102" max="102" width="7.5546875" customWidth="1"/>
    <col min="103" max="103" width="6.6640625" customWidth="1"/>
    <col min="105" max="105" width="10.5546875" customWidth="1"/>
    <col min="106" max="106" width="8.77734375" customWidth="1"/>
    <col min="107" max="107" width="7.88671875" customWidth="1"/>
    <col min="108" max="108" width="7.5546875" customWidth="1"/>
    <col min="109" max="109" width="6.6640625" customWidth="1"/>
    <col min="110" max="110" width="13.44140625" customWidth="1"/>
    <col min="111" max="111" width="11.21875" customWidth="1"/>
  </cols>
  <sheetData>
    <row r="1" spans="1:109" x14ac:dyDescent="0.3">
      <c r="A1" s="187"/>
      <c r="B1" s="187"/>
      <c r="E1" s="13"/>
    </row>
    <row r="2" spans="1:109" x14ac:dyDescent="0.3">
      <c r="A2" s="60" t="s">
        <v>1987</v>
      </c>
      <c r="B2" s="60">
        <v>2030</v>
      </c>
      <c r="C2" s="58">
        <v>2040</v>
      </c>
      <c r="D2" s="58">
        <v>2050</v>
      </c>
      <c r="E2" s="13"/>
    </row>
    <row r="3" spans="1:109" ht="16.05" customHeight="1" x14ac:dyDescent="0.3">
      <c r="A3" s="182">
        <v>1</v>
      </c>
      <c r="B3" s="79">
        <f>$A$3+(($D$3-$A$3)/($D$2-2020))*(B2-2020)</f>
        <v>0.66700000000000004</v>
      </c>
      <c r="C3" s="79">
        <f>$A$3+(($D$3-$A$3)/($D$2-2020))*(C2-2020)</f>
        <v>0.33399999999999996</v>
      </c>
      <c r="D3" s="183">
        <v>1E-3</v>
      </c>
      <c r="E3" s="13"/>
      <c r="F3" s="89" t="s">
        <v>1999</v>
      </c>
      <c r="G3" s="89" t="s">
        <v>2000</v>
      </c>
      <c r="H3" s="89" t="s">
        <v>2006</v>
      </c>
      <c r="I3" s="88" t="s">
        <v>1903</v>
      </c>
      <c r="J3" s="88" t="s">
        <v>561</v>
      </c>
      <c r="K3" s="88" t="s">
        <v>565</v>
      </c>
      <c r="L3" s="88" t="s">
        <v>756</v>
      </c>
      <c r="M3" s="88" t="s">
        <v>43</v>
      </c>
      <c r="N3" s="202" t="s">
        <v>564</v>
      </c>
      <c r="O3" s="202"/>
      <c r="P3" s="202"/>
      <c r="Q3" s="202"/>
      <c r="R3" s="202"/>
      <c r="S3" s="202"/>
      <c r="T3" s="202" t="s">
        <v>1904</v>
      </c>
      <c r="U3" s="202"/>
      <c r="V3" s="202"/>
      <c r="W3" s="202"/>
      <c r="X3" s="202"/>
      <c r="Y3" s="202"/>
      <c r="Z3" s="202" t="s">
        <v>1912</v>
      </c>
      <c r="AA3" s="202"/>
      <c r="AB3" s="202"/>
      <c r="AC3" s="202"/>
      <c r="AD3" s="202"/>
      <c r="AE3" s="202"/>
      <c r="AF3" s="202" t="s">
        <v>1905</v>
      </c>
      <c r="AG3" s="202"/>
      <c r="AH3" s="202"/>
      <c r="AI3" s="202"/>
      <c r="AJ3" s="202"/>
      <c r="AK3" s="202"/>
      <c r="AL3" s="202" t="s">
        <v>1906</v>
      </c>
      <c r="AM3" s="202"/>
      <c r="AN3" s="202"/>
      <c r="AO3" s="202"/>
      <c r="AP3" s="202"/>
      <c r="AQ3" s="202"/>
      <c r="AR3" s="202" t="s">
        <v>1907</v>
      </c>
      <c r="AS3" s="202"/>
      <c r="AT3" s="202"/>
      <c r="AU3" s="202"/>
      <c r="AV3" s="202"/>
      <c r="AW3" s="202"/>
      <c r="AX3" s="202" t="s">
        <v>1908</v>
      </c>
      <c r="AY3" s="202"/>
      <c r="AZ3" s="202"/>
      <c r="BA3" s="202"/>
      <c r="BB3" s="202"/>
      <c r="BC3" s="202"/>
      <c r="BD3" s="202" t="s">
        <v>1911</v>
      </c>
      <c r="BE3" s="202"/>
      <c r="BF3" s="202"/>
      <c r="BG3" s="202"/>
      <c r="BH3" s="202"/>
      <c r="BI3" s="202"/>
      <c r="BJ3" s="202" t="s">
        <v>1909</v>
      </c>
      <c r="BK3" s="202"/>
      <c r="BL3" s="202"/>
      <c r="BM3" s="202"/>
      <c r="BN3" s="202"/>
      <c r="BO3" s="202"/>
      <c r="BP3" s="202" t="s">
        <v>2037</v>
      </c>
      <c r="BQ3" s="202"/>
      <c r="BR3" s="202"/>
      <c r="BS3" s="202"/>
      <c r="BT3" s="202"/>
      <c r="BU3" s="202"/>
      <c r="BV3" s="202" t="s">
        <v>1910</v>
      </c>
      <c r="BW3" s="202"/>
      <c r="BX3" s="202"/>
      <c r="BY3" s="202"/>
      <c r="BZ3" s="202"/>
      <c r="CA3" s="202"/>
      <c r="CB3" s="202" t="s">
        <v>1913</v>
      </c>
      <c r="CC3" s="202"/>
      <c r="CD3" s="202"/>
      <c r="CE3" s="202"/>
      <c r="CF3" s="202"/>
      <c r="CG3" s="202"/>
      <c r="CH3" s="202" t="s">
        <v>2001</v>
      </c>
      <c r="CI3" s="202"/>
      <c r="CJ3" s="202"/>
      <c r="CK3" s="202"/>
      <c r="CL3" s="202"/>
      <c r="CM3" s="202"/>
      <c r="CN3" s="202" t="s">
        <v>2002</v>
      </c>
      <c r="CO3" s="202"/>
      <c r="CP3" s="202"/>
      <c r="CQ3" s="202"/>
      <c r="CR3" s="202"/>
      <c r="CS3" s="202"/>
      <c r="CT3" s="202" t="s">
        <v>1914</v>
      </c>
      <c r="CU3" s="202"/>
      <c r="CV3" s="202"/>
      <c r="CW3" s="202"/>
      <c r="CX3" s="202"/>
      <c r="CY3" s="202"/>
      <c r="CZ3" s="202" t="s">
        <v>103</v>
      </c>
      <c r="DA3" s="202"/>
      <c r="DB3" s="202"/>
      <c r="DC3" s="202"/>
      <c r="DD3" s="202"/>
      <c r="DE3" s="202"/>
    </row>
    <row r="4" spans="1:109" s="88" customFormat="1" ht="15" customHeight="1" x14ac:dyDescent="0.3">
      <c r="C4" s="87"/>
      <c r="D4" s="87"/>
      <c r="E4" s="181" t="s">
        <v>560</v>
      </c>
      <c r="F4" s="184" t="s">
        <v>1999</v>
      </c>
      <c r="G4" s="184" t="str">
        <f>G3</f>
        <v>Unit tag</v>
      </c>
      <c r="H4" s="184" t="str">
        <f>H3</f>
        <v>Fuel energy content LHV (MJ/kg fuel)</v>
      </c>
      <c r="I4" s="185" t="s">
        <v>1903</v>
      </c>
      <c r="J4" s="185" t="s">
        <v>561</v>
      </c>
      <c r="K4" s="185" t="s">
        <v>565</v>
      </c>
      <c r="L4" s="185" t="s">
        <v>756</v>
      </c>
      <c r="M4" s="185" t="s">
        <v>43</v>
      </c>
      <c r="N4" s="185" t="s">
        <v>564</v>
      </c>
      <c r="O4" s="185" t="s">
        <v>564</v>
      </c>
      <c r="P4" s="185" t="s">
        <v>564</v>
      </c>
      <c r="Q4" s="185" t="s">
        <v>564</v>
      </c>
      <c r="R4" s="185" t="s">
        <v>564</v>
      </c>
      <c r="S4" s="185" t="s">
        <v>564</v>
      </c>
      <c r="T4" s="185" t="s">
        <v>1904</v>
      </c>
      <c r="U4" s="185" t="s">
        <v>1904</v>
      </c>
      <c r="V4" s="185" t="s">
        <v>1904</v>
      </c>
      <c r="W4" s="185" t="s">
        <v>1904</v>
      </c>
      <c r="X4" s="185" t="s">
        <v>1904</v>
      </c>
      <c r="Y4" s="185" t="s">
        <v>1904</v>
      </c>
      <c r="Z4" s="185" t="s">
        <v>1912</v>
      </c>
      <c r="AA4" s="185" t="s">
        <v>1912</v>
      </c>
      <c r="AB4" s="185" t="s">
        <v>1912</v>
      </c>
      <c r="AC4" s="185" t="s">
        <v>1912</v>
      </c>
      <c r="AD4" s="185" t="s">
        <v>1912</v>
      </c>
      <c r="AE4" s="185" t="s">
        <v>1912</v>
      </c>
      <c r="AF4" s="185" t="s">
        <v>1905</v>
      </c>
      <c r="AG4" s="185" t="s">
        <v>1905</v>
      </c>
      <c r="AH4" s="185" t="s">
        <v>1905</v>
      </c>
      <c r="AI4" s="185" t="s">
        <v>1905</v>
      </c>
      <c r="AJ4" s="185" t="s">
        <v>1905</v>
      </c>
      <c r="AK4" s="185" t="s">
        <v>1905</v>
      </c>
      <c r="AL4" s="185" t="s">
        <v>1906</v>
      </c>
      <c r="AM4" s="185" t="s">
        <v>1906</v>
      </c>
      <c r="AN4" s="185" t="s">
        <v>1906</v>
      </c>
      <c r="AO4" s="185" t="s">
        <v>1906</v>
      </c>
      <c r="AP4" s="185" t="s">
        <v>1906</v>
      </c>
      <c r="AQ4" s="185" t="s">
        <v>1906</v>
      </c>
      <c r="AR4" s="185" t="s">
        <v>1907</v>
      </c>
      <c r="AS4" s="185" t="s">
        <v>1907</v>
      </c>
      <c r="AT4" s="185" t="s">
        <v>1907</v>
      </c>
      <c r="AU4" s="185" t="s">
        <v>1907</v>
      </c>
      <c r="AV4" s="185" t="s">
        <v>1907</v>
      </c>
      <c r="AW4" s="185" t="s">
        <v>1907</v>
      </c>
      <c r="AX4" s="185" t="s">
        <v>1908</v>
      </c>
      <c r="AY4" s="185" t="s">
        <v>1908</v>
      </c>
      <c r="AZ4" s="185" t="s">
        <v>1908</v>
      </c>
      <c r="BA4" s="185" t="s">
        <v>1908</v>
      </c>
      <c r="BB4" s="185" t="s">
        <v>1908</v>
      </c>
      <c r="BC4" s="185" t="s">
        <v>1908</v>
      </c>
      <c r="BD4" s="185" t="s">
        <v>1911</v>
      </c>
      <c r="BE4" s="185" t="s">
        <v>1911</v>
      </c>
      <c r="BF4" s="185" t="s">
        <v>1911</v>
      </c>
      <c r="BG4" s="185" t="s">
        <v>1911</v>
      </c>
      <c r="BH4" s="185" t="s">
        <v>1911</v>
      </c>
      <c r="BI4" s="185" t="s">
        <v>1911</v>
      </c>
      <c r="BJ4" s="185" t="s">
        <v>1909</v>
      </c>
      <c r="BK4" s="185" t="s">
        <v>1909</v>
      </c>
      <c r="BL4" s="185" t="s">
        <v>1909</v>
      </c>
      <c r="BM4" s="185" t="s">
        <v>1909</v>
      </c>
      <c r="BN4" s="185" t="s">
        <v>1909</v>
      </c>
      <c r="BO4" s="185" t="s">
        <v>1909</v>
      </c>
      <c r="BP4" s="185" t="s">
        <v>2037</v>
      </c>
      <c r="BQ4" s="185" t="s">
        <v>2037</v>
      </c>
      <c r="BR4" s="185" t="s">
        <v>2037</v>
      </c>
      <c r="BS4" s="185" t="s">
        <v>2037</v>
      </c>
      <c r="BT4" s="185" t="s">
        <v>2037</v>
      </c>
      <c r="BU4" s="185" t="s">
        <v>2037</v>
      </c>
      <c r="BV4" s="185" t="s">
        <v>1910</v>
      </c>
      <c r="BW4" s="185" t="s">
        <v>1910</v>
      </c>
      <c r="BX4" s="185" t="s">
        <v>1910</v>
      </c>
      <c r="BY4" s="185" t="s">
        <v>1910</v>
      </c>
      <c r="BZ4" s="185" t="s">
        <v>1910</v>
      </c>
      <c r="CA4" s="185" t="s">
        <v>1910</v>
      </c>
      <c r="CB4" s="185" t="s">
        <v>1913</v>
      </c>
      <c r="CC4" s="185" t="s">
        <v>1913</v>
      </c>
      <c r="CD4" s="185" t="s">
        <v>1913</v>
      </c>
      <c r="CE4" s="185" t="s">
        <v>1913</v>
      </c>
      <c r="CF4" s="185" t="s">
        <v>1913</v>
      </c>
      <c r="CG4" s="185" t="s">
        <v>1913</v>
      </c>
      <c r="CH4" s="185" t="s">
        <v>2001</v>
      </c>
      <c r="CI4" s="185" t="s">
        <v>2001</v>
      </c>
      <c r="CJ4" s="185" t="s">
        <v>2001</v>
      </c>
      <c r="CK4" s="185" t="s">
        <v>2001</v>
      </c>
      <c r="CL4" s="185" t="s">
        <v>2001</v>
      </c>
      <c r="CM4" s="185" t="s">
        <v>2001</v>
      </c>
      <c r="CN4" s="185" t="s">
        <v>2002</v>
      </c>
      <c r="CO4" s="185" t="s">
        <v>2002</v>
      </c>
      <c r="CP4" s="185" t="s">
        <v>2002</v>
      </c>
      <c r="CQ4" s="185" t="s">
        <v>2002</v>
      </c>
      <c r="CR4" s="185" t="s">
        <v>2002</v>
      </c>
      <c r="CS4" s="185" t="s">
        <v>2002</v>
      </c>
      <c r="CT4" s="185" t="s">
        <v>1914</v>
      </c>
      <c r="CU4" s="185" t="s">
        <v>1914</v>
      </c>
      <c r="CV4" s="185" t="s">
        <v>1914</v>
      </c>
      <c r="CW4" s="185" t="s">
        <v>1914</v>
      </c>
      <c r="CX4" s="185" t="s">
        <v>1914</v>
      </c>
      <c r="CY4" s="185" t="s">
        <v>1914</v>
      </c>
      <c r="CZ4" s="185" t="s">
        <v>103</v>
      </c>
      <c r="DA4" s="185" t="s">
        <v>103</v>
      </c>
      <c r="DB4" s="185" t="s">
        <v>103</v>
      </c>
      <c r="DC4" s="185" t="s">
        <v>103</v>
      </c>
      <c r="DD4" s="185" t="s">
        <v>103</v>
      </c>
      <c r="DE4" s="185" t="s">
        <v>103</v>
      </c>
    </row>
    <row r="5" spans="1:109" s="88" customFormat="1" ht="13.95" customHeight="1" x14ac:dyDescent="0.3">
      <c r="A5" s="35" t="s">
        <v>562</v>
      </c>
      <c r="B5" s="87"/>
      <c r="C5" s="87"/>
      <c r="D5" s="87"/>
      <c r="E5" s="181" t="s">
        <v>2003</v>
      </c>
      <c r="F5" s="186" t="s">
        <v>2004</v>
      </c>
      <c r="G5" s="186" t="s">
        <v>2004</v>
      </c>
      <c r="H5" s="186" t="s">
        <v>2004</v>
      </c>
      <c r="I5" s="186" t="s">
        <v>2004</v>
      </c>
      <c r="J5" s="186" t="s">
        <v>2004</v>
      </c>
      <c r="K5" s="186" t="s">
        <v>2004</v>
      </c>
      <c r="L5" s="186" t="s">
        <v>2004</v>
      </c>
      <c r="M5" s="186" t="s">
        <v>2004</v>
      </c>
      <c r="N5" s="15" t="s">
        <v>1900</v>
      </c>
      <c r="O5" s="15" t="str">
        <f>"2020"</f>
        <v>2020</v>
      </c>
      <c r="P5" s="15" t="s">
        <v>1901</v>
      </c>
      <c r="Q5" s="15" t="str">
        <f>"2030"</f>
        <v>2030</v>
      </c>
      <c r="R5" s="15" t="str">
        <f>"2040"</f>
        <v>2040</v>
      </c>
      <c r="S5" s="15" t="str">
        <f>"2050"</f>
        <v>2050</v>
      </c>
      <c r="T5" s="15" t="s">
        <v>1900</v>
      </c>
      <c r="U5" s="15" t="str">
        <f>"2020"</f>
        <v>2020</v>
      </c>
      <c r="V5" s="15" t="s">
        <v>1901</v>
      </c>
      <c r="W5" s="15" t="str">
        <f>"2030"</f>
        <v>2030</v>
      </c>
      <c r="X5" s="15" t="str">
        <f>"2040"</f>
        <v>2040</v>
      </c>
      <c r="Y5" s="15" t="str">
        <f>"2050"</f>
        <v>2050</v>
      </c>
      <c r="Z5" s="15" t="s">
        <v>1900</v>
      </c>
      <c r="AA5" s="15" t="str">
        <f>"2020"</f>
        <v>2020</v>
      </c>
      <c r="AB5" s="15" t="s">
        <v>1901</v>
      </c>
      <c r="AC5" s="15" t="str">
        <f>"2030"</f>
        <v>2030</v>
      </c>
      <c r="AD5" s="15" t="str">
        <f>"2040"</f>
        <v>2040</v>
      </c>
      <c r="AE5" s="15" t="str">
        <f>"2050"</f>
        <v>2050</v>
      </c>
      <c r="AF5" s="15" t="s">
        <v>1900</v>
      </c>
      <c r="AG5" s="15" t="str">
        <f>"2020"</f>
        <v>2020</v>
      </c>
      <c r="AH5" s="15" t="s">
        <v>1901</v>
      </c>
      <c r="AI5" s="15" t="str">
        <f>"2030"</f>
        <v>2030</v>
      </c>
      <c r="AJ5" s="15" t="str">
        <f>"2040"</f>
        <v>2040</v>
      </c>
      <c r="AK5" s="15" t="str">
        <f>"2050"</f>
        <v>2050</v>
      </c>
      <c r="AL5" s="15" t="s">
        <v>1900</v>
      </c>
      <c r="AM5" s="15" t="str">
        <f>"2020"</f>
        <v>2020</v>
      </c>
      <c r="AN5" s="15" t="s">
        <v>1901</v>
      </c>
      <c r="AO5" s="15" t="str">
        <f>"2030"</f>
        <v>2030</v>
      </c>
      <c r="AP5" s="15" t="str">
        <f>"2040"</f>
        <v>2040</v>
      </c>
      <c r="AQ5" s="15" t="str">
        <f>"2050"</f>
        <v>2050</v>
      </c>
      <c r="AR5" s="15" t="s">
        <v>1900</v>
      </c>
      <c r="AS5" s="15" t="str">
        <f>"2020"</f>
        <v>2020</v>
      </c>
      <c r="AT5" s="15" t="s">
        <v>1901</v>
      </c>
      <c r="AU5" s="15" t="str">
        <f>"2030"</f>
        <v>2030</v>
      </c>
      <c r="AV5" s="15" t="str">
        <f>"2040"</f>
        <v>2040</v>
      </c>
      <c r="AW5" s="15" t="str">
        <f>"2050"</f>
        <v>2050</v>
      </c>
      <c r="AX5" s="15" t="s">
        <v>1900</v>
      </c>
      <c r="AY5" s="15" t="str">
        <f>"2020"</f>
        <v>2020</v>
      </c>
      <c r="AZ5" s="15" t="s">
        <v>1901</v>
      </c>
      <c r="BA5" s="15" t="str">
        <f>"2030"</f>
        <v>2030</v>
      </c>
      <c r="BB5" s="15" t="str">
        <f>"2040"</f>
        <v>2040</v>
      </c>
      <c r="BC5" s="15" t="str">
        <f>"2050"</f>
        <v>2050</v>
      </c>
      <c r="BD5" s="15" t="s">
        <v>1900</v>
      </c>
      <c r="BE5" s="15" t="str">
        <f>"2020"</f>
        <v>2020</v>
      </c>
      <c r="BF5" s="15" t="s">
        <v>1901</v>
      </c>
      <c r="BG5" s="15" t="str">
        <f>"2030"</f>
        <v>2030</v>
      </c>
      <c r="BH5" s="15" t="str">
        <f>"2040"</f>
        <v>2040</v>
      </c>
      <c r="BI5" s="15" t="str">
        <f>"2050"</f>
        <v>2050</v>
      </c>
      <c r="BJ5" s="15" t="s">
        <v>1900</v>
      </c>
      <c r="BK5" s="15" t="str">
        <f>"2020"</f>
        <v>2020</v>
      </c>
      <c r="BL5" s="15" t="s">
        <v>1901</v>
      </c>
      <c r="BM5" s="15" t="str">
        <f>"2030"</f>
        <v>2030</v>
      </c>
      <c r="BN5" s="15" t="str">
        <f>"2040"</f>
        <v>2040</v>
      </c>
      <c r="BO5" s="15" t="str">
        <f>"2050"</f>
        <v>2050</v>
      </c>
      <c r="BP5" s="15" t="s">
        <v>1900</v>
      </c>
      <c r="BQ5" s="15" t="str">
        <f>"2020"</f>
        <v>2020</v>
      </c>
      <c r="BR5" s="15" t="s">
        <v>1901</v>
      </c>
      <c r="BS5" s="15" t="str">
        <f>"2030"</f>
        <v>2030</v>
      </c>
      <c r="BT5" s="15" t="str">
        <f>"2040"</f>
        <v>2040</v>
      </c>
      <c r="BU5" s="15" t="str">
        <f>"2050"</f>
        <v>2050</v>
      </c>
      <c r="BV5" s="15" t="s">
        <v>1900</v>
      </c>
      <c r="BW5" s="15" t="str">
        <f>"2020"</f>
        <v>2020</v>
      </c>
      <c r="BX5" s="15" t="s">
        <v>1901</v>
      </c>
      <c r="BY5" s="15" t="str">
        <f>"2030"</f>
        <v>2030</v>
      </c>
      <c r="BZ5" s="15" t="str">
        <f>"2040"</f>
        <v>2040</v>
      </c>
      <c r="CA5" s="15" t="str">
        <f>"2050"</f>
        <v>2050</v>
      </c>
      <c r="CB5" s="15" t="s">
        <v>1900</v>
      </c>
      <c r="CC5" s="15" t="str">
        <f>"2020"</f>
        <v>2020</v>
      </c>
      <c r="CD5" s="15" t="s">
        <v>1901</v>
      </c>
      <c r="CE5" s="15" t="str">
        <f>"2030"</f>
        <v>2030</v>
      </c>
      <c r="CF5" s="15" t="str">
        <f>"2040"</f>
        <v>2040</v>
      </c>
      <c r="CG5" s="15" t="str">
        <f>"2050"</f>
        <v>2050</v>
      </c>
      <c r="CH5" s="15" t="s">
        <v>1900</v>
      </c>
      <c r="CI5" s="15" t="str">
        <f>"2020"</f>
        <v>2020</v>
      </c>
      <c r="CJ5" s="15" t="s">
        <v>1901</v>
      </c>
      <c r="CK5" s="15" t="str">
        <f>"2030"</f>
        <v>2030</v>
      </c>
      <c r="CL5" s="15" t="str">
        <f>"2040"</f>
        <v>2040</v>
      </c>
      <c r="CM5" s="15" t="str">
        <f>"2050"</f>
        <v>2050</v>
      </c>
      <c r="CN5" s="15" t="s">
        <v>1900</v>
      </c>
      <c r="CO5" s="15" t="str">
        <f>"2020"</f>
        <v>2020</v>
      </c>
      <c r="CP5" s="15" t="s">
        <v>1901</v>
      </c>
      <c r="CQ5" s="15" t="str">
        <f>"2030"</f>
        <v>2030</v>
      </c>
      <c r="CR5" s="15" t="str">
        <f>"2040"</f>
        <v>2040</v>
      </c>
      <c r="CS5" s="15" t="str">
        <f>"2050"</f>
        <v>2050</v>
      </c>
      <c r="CT5" s="15" t="s">
        <v>1900</v>
      </c>
      <c r="CU5" s="15" t="str">
        <f>"2020"</f>
        <v>2020</v>
      </c>
      <c r="CV5" s="15" t="s">
        <v>1901</v>
      </c>
      <c r="CW5" s="15" t="str">
        <f>"2030"</f>
        <v>2030</v>
      </c>
      <c r="CX5" s="15" t="str">
        <f>"2040"</f>
        <v>2040</v>
      </c>
      <c r="CY5" s="15" t="str">
        <f>"2050"</f>
        <v>2050</v>
      </c>
      <c r="CZ5" s="15" t="s">
        <v>1900</v>
      </c>
      <c r="DA5" s="15" t="str">
        <f>"2020"</f>
        <v>2020</v>
      </c>
      <c r="DB5" s="15" t="s">
        <v>1901</v>
      </c>
      <c r="DC5" s="15" t="str">
        <f>"2030"</f>
        <v>2030</v>
      </c>
      <c r="DD5" s="15" t="str">
        <f>"2040"</f>
        <v>2040</v>
      </c>
      <c r="DE5" s="15" t="str">
        <f>"2050"</f>
        <v>2050</v>
      </c>
    </row>
    <row r="6" spans="1:109" s="88" customFormat="1" ht="129.6" hidden="1" x14ac:dyDescent="0.3">
      <c r="B6" s="87"/>
      <c r="C6" s="87"/>
      <c r="D6" s="87"/>
      <c r="E6" s="181"/>
      <c r="F6" s="186" t="str">
        <f>F4&amp;F5</f>
        <v>Used (1 or 0)All</v>
      </c>
      <c r="G6" s="186" t="str">
        <f t="shared" ref="G6:BS6" si="0">G4&amp;G5</f>
        <v>Unit tagAll</v>
      </c>
      <c r="H6" s="186"/>
      <c r="I6" s="186" t="str">
        <f t="shared" si="0"/>
        <v>Yearly demand (kg fuel)All</v>
      </c>
      <c r="J6" s="186" t="str">
        <f t="shared" si="0"/>
        <v>Produced fromAll</v>
      </c>
      <c r="K6" s="186" t="str">
        <f t="shared" si="0"/>
        <v>El balanceAll</v>
      </c>
      <c r="L6" s="186" t="str">
        <f t="shared" si="0"/>
        <v>Heat balanceAll</v>
      </c>
      <c r="M6" s="186" t="str">
        <f t="shared" si="0"/>
        <v>Max CapacityAll</v>
      </c>
      <c r="N6" s="186" t="str">
        <f t="shared" si="0"/>
        <v>H2 balance2020 min</v>
      </c>
      <c r="O6" s="186" t="str">
        <f t="shared" si="0"/>
        <v>H2 balance2020</v>
      </c>
      <c r="P6" s="186" t="str">
        <f t="shared" si="0"/>
        <v>H2 balance2020 max</v>
      </c>
      <c r="Q6" s="186" t="str">
        <f t="shared" si="0"/>
        <v>H2 balance2030</v>
      </c>
      <c r="R6" s="186" t="str">
        <f t="shared" si="0"/>
        <v>H2 balance2040</v>
      </c>
      <c r="S6" s="186" t="str">
        <f t="shared" si="0"/>
        <v>H2 balance2050</v>
      </c>
      <c r="T6" s="186" t="str">
        <f t="shared" si="0"/>
        <v>Fuel production rate (kg output/kg input)2020 min</v>
      </c>
      <c r="U6" s="186" t="str">
        <f t="shared" si="0"/>
        <v>Fuel production rate (kg output/kg input)2020</v>
      </c>
      <c r="V6" s="186" t="str">
        <f t="shared" si="0"/>
        <v>Fuel production rate (kg output/kg input)2020 max</v>
      </c>
      <c r="W6" s="186" t="str">
        <f t="shared" si="0"/>
        <v>Fuel production rate (kg output/kg input)2030</v>
      </c>
      <c r="X6" s="186" t="str">
        <f t="shared" si="0"/>
        <v>Fuel production rate (kg output/kg input)2040</v>
      </c>
      <c r="Y6" s="186" t="str">
        <f t="shared" si="0"/>
        <v>Fuel production rate (kg output/kg input)2050</v>
      </c>
      <c r="Z6" s="186" t="str">
        <f t="shared" si="0"/>
        <v>Heat generated (kWh/output)2020 min</v>
      </c>
      <c r="AA6" s="186" t="str">
        <f t="shared" si="0"/>
        <v>Heat generated (kWh/output)2020</v>
      </c>
      <c r="AB6" s="186" t="str">
        <f t="shared" si="0"/>
        <v>Heat generated (kWh/output)2020 max</v>
      </c>
      <c r="AC6" s="186" t="str">
        <f t="shared" si="0"/>
        <v>Heat generated (kWh/output)2030</v>
      </c>
      <c r="AD6" s="186" t="str">
        <f t="shared" si="0"/>
        <v>Heat generated (kWh/output)2040</v>
      </c>
      <c r="AE6" s="186" t="str">
        <f t="shared" si="0"/>
        <v>Heat generated (kWh/output)2050</v>
      </c>
      <c r="AF6" s="186" t="str">
        <f t="shared" si="0"/>
        <v>Load min (% of max capacity)2020 min</v>
      </c>
      <c r="AG6" s="186" t="str">
        <f t="shared" si="0"/>
        <v>Load min (% of max capacity)2020</v>
      </c>
      <c r="AH6" s="186" t="str">
        <f t="shared" si="0"/>
        <v>Load min (% of max capacity)2020 max</v>
      </c>
      <c r="AI6" s="186" t="str">
        <f t="shared" si="0"/>
        <v>Load min (% of max capacity)2030</v>
      </c>
      <c r="AJ6" s="186" t="str">
        <f t="shared" si="0"/>
        <v>Load min (% of max capacity)2040</v>
      </c>
      <c r="AK6" s="186" t="str">
        <f t="shared" si="0"/>
        <v>Load min (% of max capacity)2050</v>
      </c>
      <c r="AL6" s="186" t="str">
        <f t="shared" si="0"/>
        <v>Load max (% of max capacity)2020 min</v>
      </c>
      <c r="AM6" s="186" t="str">
        <f t="shared" si="0"/>
        <v>Load max (% of max capacity)2020</v>
      </c>
      <c r="AN6" s="186" t="str">
        <f t="shared" si="0"/>
        <v>Load max (% of max capacity)2020 max</v>
      </c>
      <c r="AO6" s="186" t="str">
        <f t="shared" si="0"/>
        <v>Load max (% of max capacity)2030</v>
      </c>
      <c r="AP6" s="186" t="str">
        <f t="shared" si="0"/>
        <v>Load max (% of max capacity)2040</v>
      </c>
      <c r="AQ6" s="186" t="str">
        <f t="shared" si="0"/>
        <v>Load max (% of max capacity)2050</v>
      </c>
      <c r="AR6" s="186" t="str">
        <f t="shared" si="0"/>
        <v>Ramp up (% of capacity /h)2020 min</v>
      </c>
      <c r="AS6" s="186" t="str">
        <f t="shared" si="0"/>
        <v>Ramp up (% of capacity /h)2020</v>
      </c>
      <c r="AT6" s="186" t="str">
        <f t="shared" si="0"/>
        <v>Ramp up (% of capacity /h)2020 max</v>
      </c>
      <c r="AU6" s="186" t="str">
        <f t="shared" si="0"/>
        <v>Ramp up (% of capacity /h)2030</v>
      </c>
      <c r="AV6" s="186" t="str">
        <f t="shared" si="0"/>
        <v>Ramp up (% of capacity /h)2040</v>
      </c>
      <c r="AW6" s="186" t="str">
        <f t="shared" si="0"/>
        <v>Ramp up (% of capacity /h)2050</v>
      </c>
      <c r="AX6" s="186" t="str">
        <f t="shared" si="0"/>
        <v>Ramp down (% of capacity /h)2020 min</v>
      </c>
      <c r="AY6" s="186" t="str">
        <f t="shared" si="0"/>
        <v>Ramp down (% of capacity /h)2020</v>
      </c>
      <c r="AZ6" s="186" t="str">
        <f t="shared" si="0"/>
        <v>Ramp down (% of capacity /h)2020 max</v>
      </c>
      <c r="BA6" s="186" t="str">
        <f t="shared" si="0"/>
        <v>Ramp down (% of capacity /h)2030</v>
      </c>
      <c r="BB6" s="186" t="str">
        <f t="shared" si="0"/>
        <v>Ramp down (% of capacity /h)2040</v>
      </c>
      <c r="BC6" s="186" t="str">
        <f t="shared" si="0"/>
        <v>Ramp down (% of capacity /h)2050</v>
      </c>
      <c r="BD6" s="186" t="str">
        <f t="shared" si="0"/>
        <v>Electrical consumption (kWh/output)2020 min</v>
      </c>
      <c r="BE6" s="186" t="str">
        <f t="shared" si="0"/>
        <v>Electrical consumption (kWh/output)2020</v>
      </c>
      <c r="BF6" s="186" t="str">
        <f t="shared" si="0"/>
        <v>Electrical consumption (kWh/output)2020 max</v>
      </c>
      <c r="BG6" s="186" t="str">
        <f t="shared" si="0"/>
        <v>Electrical consumption (kWh/output)2030</v>
      </c>
      <c r="BH6" s="186" t="str">
        <f t="shared" si="0"/>
        <v>Electrical consumption (kWh/output)2040</v>
      </c>
      <c r="BI6" s="186" t="str">
        <f t="shared" si="0"/>
        <v>Electrical consumption (kWh/output)2050</v>
      </c>
      <c r="BJ6" s="186" t="str">
        <f t="shared" si="0"/>
        <v>Investment (€/Capacity installed)2020 min</v>
      </c>
      <c r="BK6" s="186" t="str">
        <f t="shared" si="0"/>
        <v>Investment (€/Capacity installed)2020</v>
      </c>
      <c r="BL6" s="186" t="str">
        <f t="shared" si="0"/>
        <v>Investment (€/Capacity installed)2020 max</v>
      </c>
      <c r="BM6" s="186" t="str">
        <f t="shared" si="0"/>
        <v>Investment (€/Capacity installed)2030</v>
      </c>
      <c r="BN6" s="186" t="str">
        <f t="shared" si="0"/>
        <v>Investment (€/Capacity installed)2040</v>
      </c>
      <c r="BO6" s="186" t="str">
        <f t="shared" si="0"/>
        <v>Investment (€/Capacity installed)2050</v>
      </c>
      <c r="BP6" s="186" t="str">
        <f t="shared" si="0"/>
        <v>Fixed cost (€/Capacity installed/y)2020 min</v>
      </c>
      <c r="BQ6" s="186" t="str">
        <f t="shared" si="0"/>
        <v>Fixed cost (€/Capacity installed/y)2020</v>
      </c>
      <c r="BR6" s="186" t="str">
        <f t="shared" si="0"/>
        <v>Fixed cost (€/Capacity installed/y)2020 max</v>
      </c>
      <c r="BS6" s="186" t="str">
        <f t="shared" si="0"/>
        <v>Fixed cost (€/Capacity installed/y)2030</v>
      </c>
      <c r="BT6" s="186" t="str">
        <f t="shared" ref="BT6:DE6" si="1">BT4&amp;BT5</f>
        <v>Fixed cost (€/Capacity installed/y)2040</v>
      </c>
      <c r="BU6" s="186" t="str">
        <f t="shared" si="1"/>
        <v>Fixed cost (€/Capacity installed/y)2050</v>
      </c>
      <c r="BV6" s="186" t="str">
        <f t="shared" si="1"/>
        <v>Variable cost (€/Output)2020 min</v>
      </c>
      <c r="BW6" s="186" t="str">
        <f t="shared" si="1"/>
        <v>Variable cost (€/Output)2020</v>
      </c>
      <c r="BX6" s="186" t="str">
        <f t="shared" si="1"/>
        <v>Variable cost (€/Output)2020 max</v>
      </c>
      <c r="BY6" s="186" t="str">
        <f t="shared" si="1"/>
        <v>Variable cost (€/Output)2030</v>
      </c>
      <c r="BZ6" s="186" t="str">
        <f t="shared" si="1"/>
        <v>Variable cost (€/Output)2040</v>
      </c>
      <c r="CA6" s="186" t="str">
        <f t="shared" si="1"/>
        <v>Variable cost (€/Output)2050</v>
      </c>
      <c r="CB6" s="186" t="str">
        <f t="shared" si="1"/>
        <v>Fuel selling price (€/output)2020 min</v>
      </c>
      <c r="CC6" s="186" t="str">
        <f t="shared" si="1"/>
        <v>Fuel selling price (€/output)2020</v>
      </c>
      <c r="CD6" s="186" t="str">
        <f t="shared" si="1"/>
        <v>Fuel selling price (€/output)2020 max</v>
      </c>
      <c r="CE6" s="186" t="str">
        <f t="shared" si="1"/>
        <v>Fuel selling price (€/output)2030</v>
      </c>
      <c r="CF6" s="186" t="str">
        <f t="shared" si="1"/>
        <v>Fuel selling price (€/output)2040</v>
      </c>
      <c r="CG6" s="186" t="str">
        <f t="shared" si="1"/>
        <v>Fuel selling price (€/output)2050</v>
      </c>
      <c r="CH6" s="186" t="str">
        <f t="shared" si="1"/>
        <v>Fuel buying price (€/output)2020 min</v>
      </c>
      <c r="CI6" s="186" t="str">
        <f t="shared" si="1"/>
        <v>Fuel buying price (€/output)2020</v>
      </c>
      <c r="CJ6" s="186" t="str">
        <f t="shared" si="1"/>
        <v>Fuel buying price (€/output)2020 max</v>
      </c>
      <c r="CK6" s="186" t="str">
        <f t="shared" si="1"/>
        <v>Fuel buying price (€/output)2030</v>
      </c>
      <c r="CL6" s="186" t="str">
        <f t="shared" si="1"/>
        <v>Fuel buying price (€/output)2040</v>
      </c>
      <c r="CM6" s="186" t="str">
        <f t="shared" si="1"/>
        <v>Fuel buying price (€/output)2050</v>
      </c>
      <c r="CN6" s="186" t="str">
        <f t="shared" si="1"/>
        <v>CO2e infrastructure (kg CO2e/Capacity/y)2020 min</v>
      </c>
      <c r="CO6" s="186" t="str">
        <f t="shared" si="1"/>
        <v>CO2e infrastructure (kg CO2e/Capacity/y)2020</v>
      </c>
      <c r="CP6" s="186" t="str">
        <f t="shared" si="1"/>
        <v>CO2e infrastructure (kg CO2e/Capacity/y)2020 max</v>
      </c>
      <c r="CQ6" s="186" t="str">
        <f t="shared" si="1"/>
        <v>CO2e infrastructure (kg CO2e/Capacity/y)2030</v>
      </c>
      <c r="CR6" s="186" t="str">
        <f t="shared" si="1"/>
        <v>CO2e infrastructure (kg CO2e/Capacity/y)2040</v>
      </c>
      <c r="CS6" s="186" t="str">
        <f t="shared" si="1"/>
        <v>CO2e infrastructure (kg CO2e/Capacity/y)2050</v>
      </c>
      <c r="CT6" s="186" t="str">
        <f t="shared" si="1"/>
        <v>CO2e process (kg CO2e/output)2020 min</v>
      </c>
      <c r="CU6" s="186" t="str">
        <f t="shared" si="1"/>
        <v>CO2e process (kg CO2e/output)2020</v>
      </c>
      <c r="CV6" s="186" t="str">
        <f t="shared" si="1"/>
        <v>CO2e process (kg CO2e/output)2020 max</v>
      </c>
      <c r="CW6" s="186" t="str">
        <f t="shared" si="1"/>
        <v>CO2e process (kg CO2e/output)2030</v>
      </c>
      <c r="CX6" s="186" t="str">
        <f t="shared" si="1"/>
        <v>CO2e process (kg CO2e/output)2040</v>
      </c>
      <c r="CY6" s="186" t="str">
        <f t="shared" si="1"/>
        <v>CO2e process (kg CO2e/output)2050</v>
      </c>
      <c r="CZ6" s="186" t="str">
        <f t="shared" si="1"/>
        <v>Annuity factor2020 min</v>
      </c>
      <c r="DA6" s="186" t="str">
        <f t="shared" si="1"/>
        <v>Annuity factor2020</v>
      </c>
      <c r="DB6" s="186" t="str">
        <f t="shared" si="1"/>
        <v>Annuity factor2020 max</v>
      </c>
      <c r="DC6" s="186" t="str">
        <f t="shared" si="1"/>
        <v>Annuity factor2030</v>
      </c>
      <c r="DD6" s="186" t="str">
        <f t="shared" si="1"/>
        <v>Annuity factor2040</v>
      </c>
      <c r="DE6" s="186" t="str">
        <f t="shared" si="1"/>
        <v>Annuity factor2050</v>
      </c>
    </row>
    <row r="7" spans="1:109" s="24" customFormat="1" ht="28.8" x14ac:dyDescent="0.3">
      <c r="B7" s="86" t="s">
        <v>563</v>
      </c>
      <c r="C7" s="85" t="s">
        <v>751</v>
      </c>
      <c r="D7" s="86" t="s">
        <v>104</v>
      </c>
      <c r="E7" s="85" t="s">
        <v>559</v>
      </c>
      <c r="F7" s="24">
        <f>COLUMN(F4)-COLUMN($E$7)</f>
        <v>1</v>
      </c>
      <c r="G7" s="24">
        <f t="shared" ref="G7:BX7" si="2">COLUMN(G4)-COLUMN($E$7)</f>
        <v>2</v>
      </c>
      <c r="H7" s="24">
        <f t="shared" si="2"/>
        <v>3</v>
      </c>
      <c r="I7" s="24">
        <f t="shared" si="2"/>
        <v>4</v>
      </c>
      <c r="J7" s="24">
        <f t="shared" si="2"/>
        <v>5</v>
      </c>
      <c r="K7" s="24">
        <f t="shared" si="2"/>
        <v>6</v>
      </c>
      <c r="L7" s="24">
        <f t="shared" si="2"/>
        <v>7</v>
      </c>
      <c r="M7" s="24">
        <f t="shared" si="2"/>
        <v>8</v>
      </c>
      <c r="N7" s="24">
        <f>COLUMN(N4)-COLUMN($E$7)</f>
        <v>9</v>
      </c>
      <c r="O7" s="24">
        <f t="shared" ref="O7:S7" si="3">COLUMN(O4)-COLUMN($E$7)</f>
        <v>10</v>
      </c>
      <c r="P7" s="24">
        <f t="shared" si="3"/>
        <v>11</v>
      </c>
      <c r="Q7" s="24">
        <f t="shared" si="3"/>
        <v>12</v>
      </c>
      <c r="R7" s="24">
        <f t="shared" si="3"/>
        <v>13</v>
      </c>
      <c r="S7" s="24">
        <f t="shared" si="3"/>
        <v>14</v>
      </c>
      <c r="T7" s="24">
        <f t="shared" si="2"/>
        <v>15</v>
      </c>
      <c r="U7" s="24">
        <f t="shared" si="2"/>
        <v>16</v>
      </c>
      <c r="V7" s="24">
        <f t="shared" si="2"/>
        <v>17</v>
      </c>
      <c r="W7" s="24">
        <f t="shared" si="2"/>
        <v>18</v>
      </c>
      <c r="X7" s="24">
        <f t="shared" si="2"/>
        <v>19</v>
      </c>
      <c r="Y7" s="24">
        <f t="shared" si="2"/>
        <v>20</v>
      </c>
      <c r="Z7" s="24">
        <f t="shared" si="2"/>
        <v>21</v>
      </c>
      <c r="AA7" s="24">
        <f t="shared" si="2"/>
        <v>22</v>
      </c>
      <c r="AB7" s="24">
        <f t="shared" si="2"/>
        <v>23</v>
      </c>
      <c r="AC7" s="24">
        <f t="shared" si="2"/>
        <v>24</v>
      </c>
      <c r="AD7" s="24">
        <f t="shared" si="2"/>
        <v>25</v>
      </c>
      <c r="AE7" s="24">
        <f t="shared" si="2"/>
        <v>26</v>
      </c>
      <c r="AF7" s="24">
        <f t="shared" si="2"/>
        <v>27</v>
      </c>
      <c r="AG7" s="24">
        <f t="shared" si="2"/>
        <v>28</v>
      </c>
      <c r="AH7" s="24">
        <f t="shared" si="2"/>
        <v>29</v>
      </c>
      <c r="AI7" s="24">
        <f t="shared" si="2"/>
        <v>30</v>
      </c>
      <c r="AJ7" s="24">
        <f t="shared" si="2"/>
        <v>31</v>
      </c>
      <c r="AK7" s="24">
        <f t="shared" si="2"/>
        <v>32</v>
      </c>
      <c r="AL7" s="24">
        <f t="shared" si="2"/>
        <v>33</v>
      </c>
      <c r="AM7" s="24">
        <f t="shared" si="2"/>
        <v>34</v>
      </c>
      <c r="AN7" s="24">
        <f t="shared" si="2"/>
        <v>35</v>
      </c>
      <c r="AO7" s="24">
        <f t="shared" si="2"/>
        <v>36</v>
      </c>
      <c r="AP7" s="24">
        <f t="shared" si="2"/>
        <v>37</v>
      </c>
      <c r="AQ7" s="24">
        <f t="shared" si="2"/>
        <v>38</v>
      </c>
      <c r="AR7" s="24">
        <f t="shared" si="2"/>
        <v>39</v>
      </c>
      <c r="AS7" s="24">
        <f t="shared" si="2"/>
        <v>40</v>
      </c>
      <c r="AT7" s="24">
        <f t="shared" si="2"/>
        <v>41</v>
      </c>
      <c r="AU7" s="24">
        <f t="shared" si="2"/>
        <v>42</v>
      </c>
      <c r="AV7" s="24">
        <f t="shared" si="2"/>
        <v>43</v>
      </c>
      <c r="AW7" s="24">
        <f t="shared" si="2"/>
        <v>44</v>
      </c>
      <c r="AX7" s="24">
        <f t="shared" si="2"/>
        <v>45</v>
      </c>
      <c r="AY7" s="24">
        <f t="shared" si="2"/>
        <v>46</v>
      </c>
      <c r="AZ7" s="24">
        <f t="shared" si="2"/>
        <v>47</v>
      </c>
      <c r="BA7" s="24">
        <f t="shared" si="2"/>
        <v>48</v>
      </c>
      <c r="BB7" s="24">
        <f t="shared" si="2"/>
        <v>49</v>
      </c>
      <c r="BC7" s="24">
        <f t="shared" si="2"/>
        <v>50</v>
      </c>
      <c r="BD7" s="24">
        <f t="shared" si="2"/>
        <v>51</v>
      </c>
      <c r="BE7" s="24">
        <f t="shared" si="2"/>
        <v>52</v>
      </c>
      <c r="BF7" s="24">
        <f t="shared" si="2"/>
        <v>53</v>
      </c>
      <c r="BG7" s="24">
        <f t="shared" si="2"/>
        <v>54</v>
      </c>
      <c r="BH7" s="24">
        <f t="shared" si="2"/>
        <v>55</v>
      </c>
      <c r="BI7" s="24">
        <f t="shared" si="2"/>
        <v>56</v>
      </c>
      <c r="BJ7" s="24">
        <f t="shared" si="2"/>
        <v>57</v>
      </c>
      <c r="BK7" s="24">
        <f t="shared" si="2"/>
        <v>58</v>
      </c>
      <c r="BL7" s="24">
        <f t="shared" si="2"/>
        <v>59</v>
      </c>
      <c r="BM7" s="24">
        <f t="shared" si="2"/>
        <v>60</v>
      </c>
      <c r="BN7" s="24">
        <f t="shared" si="2"/>
        <v>61</v>
      </c>
      <c r="BO7" s="24">
        <f t="shared" si="2"/>
        <v>62</v>
      </c>
      <c r="BP7" s="24">
        <f t="shared" si="2"/>
        <v>63</v>
      </c>
      <c r="BQ7" s="24">
        <f t="shared" si="2"/>
        <v>64</v>
      </c>
      <c r="BR7" s="24">
        <f t="shared" si="2"/>
        <v>65</v>
      </c>
      <c r="BS7" s="24">
        <f t="shared" si="2"/>
        <v>66</v>
      </c>
      <c r="BT7" s="24">
        <f t="shared" si="2"/>
        <v>67</v>
      </c>
      <c r="BU7" s="24">
        <f t="shared" si="2"/>
        <v>68</v>
      </c>
      <c r="BV7" s="24">
        <f t="shared" si="2"/>
        <v>69</v>
      </c>
      <c r="BW7" s="24">
        <f t="shared" si="2"/>
        <v>70</v>
      </c>
      <c r="BX7" s="24">
        <f t="shared" si="2"/>
        <v>71</v>
      </c>
      <c r="BY7" s="24">
        <f t="shared" ref="BY7:DE7" si="4">COLUMN(BY4)-COLUMN($E$7)</f>
        <v>72</v>
      </c>
      <c r="BZ7" s="24">
        <f t="shared" si="4"/>
        <v>73</v>
      </c>
      <c r="CA7" s="24">
        <f t="shared" si="4"/>
        <v>74</v>
      </c>
      <c r="CB7" s="24">
        <f t="shared" si="4"/>
        <v>75</v>
      </c>
      <c r="CC7" s="24">
        <f t="shared" si="4"/>
        <v>76</v>
      </c>
      <c r="CD7" s="24">
        <f t="shared" si="4"/>
        <v>77</v>
      </c>
      <c r="CE7" s="24">
        <f t="shared" si="4"/>
        <v>78</v>
      </c>
      <c r="CF7" s="24">
        <f t="shared" si="4"/>
        <v>79</v>
      </c>
      <c r="CG7" s="24">
        <f t="shared" si="4"/>
        <v>80</v>
      </c>
      <c r="CH7" s="24">
        <f t="shared" si="4"/>
        <v>81</v>
      </c>
      <c r="CI7" s="24">
        <f t="shared" si="4"/>
        <v>82</v>
      </c>
      <c r="CJ7" s="24">
        <f t="shared" si="4"/>
        <v>83</v>
      </c>
      <c r="CK7" s="24">
        <f t="shared" si="4"/>
        <v>84</v>
      </c>
      <c r="CL7" s="24">
        <f t="shared" si="4"/>
        <v>85</v>
      </c>
      <c r="CM7" s="24">
        <f t="shared" si="4"/>
        <v>86</v>
      </c>
      <c r="CN7" s="24">
        <f t="shared" si="4"/>
        <v>87</v>
      </c>
      <c r="CO7" s="24">
        <f t="shared" si="4"/>
        <v>88</v>
      </c>
      <c r="CP7" s="24">
        <f t="shared" si="4"/>
        <v>89</v>
      </c>
      <c r="CQ7" s="24">
        <f t="shared" si="4"/>
        <v>90</v>
      </c>
      <c r="CR7" s="24">
        <f t="shared" si="4"/>
        <v>91</v>
      </c>
      <c r="CS7" s="24">
        <f t="shared" si="4"/>
        <v>92</v>
      </c>
      <c r="CT7" s="24">
        <f t="shared" si="4"/>
        <v>93</v>
      </c>
      <c r="CU7" s="24">
        <f t="shared" si="4"/>
        <v>94</v>
      </c>
      <c r="CV7" s="24">
        <f t="shared" si="4"/>
        <v>95</v>
      </c>
      <c r="CW7" s="24">
        <f t="shared" si="4"/>
        <v>96</v>
      </c>
      <c r="CX7" s="24">
        <f t="shared" si="4"/>
        <v>97</v>
      </c>
      <c r="CY7" s="24">
        <f t="shared" si="4"/>
        <v>98</v>
      </c>
      <c r="CZ7" s="24">
        <f t="shared" si="4"/>
        <v>99</v>
      </c>
      <c r="DA7" s="24">
        <f t="shared" si="4"/>
        <v>100</v>
      </c>
      <c r="DB7" s="24">
        <f t="shared" si="4"/>
        <v>101</v>
      </c>
      <c r="DC7" s="24">
        <f t="shared" si="4"/>
        <v>102</v>
      </c>
      <c r="DD7" s="24">
        <f t="shared" si="4"/>
        <v>103</v>
      </c>
      <c r="DE7" s="24">
        <f t="shared" si="4"/>
        <v>104</v>
      </c>
    </row>
    <row r="8" spans="1:109" ht="14.55" customHeight="1" x14ac:dyDescent="0.3">
      <c r="A8" s="201" t="s">
        <v>569</v>
      </c>
      <c r="B8" s="39" t="s">
        <v>1988</v>
      </c>
      <c r="C8" s="37" t="str">
        <f>IF(I8&lt;&gt;0,"Min_demand","-")</f>
        <v>-</v>
      </c>
      <c r="D8" s="17" t="s">
        <v>1915</v>
      </c>
      <c r="E8" s="25">
        <f>ROW(D8)-ROW($E$7)</f>
        <v>1</v>
      </c>
      <c r="F8" s="13">
        <v>1</v>
      </c>
      <c r="G8" s="13" t="s">
        <v>1917</v>
      </c>
      <c r="H8" s="13">
        <v>0</v>
      </c>
      <c r="I8">
        <v>0</v>
      </c>
      <c r="J8" s="5" t="str">
        <f>B10</f>
        <v>Product/Reactant1</v>
      </c>
      <c r="K8">
        <v>0</v>
      </c>
      <c r="L8">
        <v>0</v>
      </c>
      <c r="M8">
        <f>IF('MeOH plant + CO2'!C27="inf",2*M10,'MeOH plant + CO2'!C27)</f>
        <v>40000</v>
      </c>
      <c r="N8">
        <v>0</v>
      </c>
      <c r="O8">
        <v>0</v>
      </c>
      <c r="P8">
        <v>0</v>
      </c>
      <c r="Q8">
        <v>0</v>
      </c>
      <c r="R8">
        <v>0</v>
      </c>
      <c r="S8">
        <v>0</v>
      </c>
      <c r="T8">
        <f>'MeOH plant + CO2'!C33</f>
        <v>1.46</v>
      </c>
      <c r="U8">
        <f>'MeOH plant + CO2'!D33</f>
        <v>1.46</v>
      </c>
      <c r="V8">
        <f>'MeOH plant + CO2'!E33</f>
        <v>1.46</v>
      </c>
      <c r="W8">
        <f>'MeOH plant + CO2'!F33</f>
        <v>1.46</v>
      </c>
      <c r="X8">
        <f>'MeOH plant + CO2'!G33</f>
        <v>1.46</v>
      </c>
      <c r="Y8">
        <f>'MeOH plant + CO2'!I33</f>
        <v>1.46</v>
      </c>
      <c r="Z8">
        <v>0</v>
      </c>
      <c r="AA8">
        <v>0</v>
      </c>
      <c r="AB8">
        <v>0</v>
      </c>
      <c r="AC8">
        <v>0</v>
      </c>
      <c r="AD8">
        <v>0</v>
      </c>
      <c r="AE8">
        <v>0</v>
      </c>
      <c r="AF8" s="79">
        <f>'MeOH plant + CO2'!C28</f>
        <v>0</v>
      </c>
      <c r="AG8" s="79">
        <f>'MeOH plant + CO2'!D28</f>
        <v>0</v>
      </c>
      <c r="AH8" s="79">
        <f>'MeOH plant + CO2'!E28</f>
        <v>0</v>
      </c>
      <c r="AI8" s="79">
        <f>'MeOH plant + CO2'!F28</f>
        <v>0</v>
      </c>
      <c r="AJ8" s="79">
        <f>'MeOH plant + CO2'!G28</f>
        <v>0</v>
      </c>
      <c r="AK8" s="79">
        <f>'MeOH plant + CO2'!I28</f>
        <v>0</v>
      </c>
      <c r="AL8" s="79">
        <f>'MeOH plant + CO2'!C29</f>
        <v>1</v>
      </c>
      <c r="AM8" s="79">
        <f>'MeOH plant + CO2'!D29</f>
        <v>1</v>
      </c>
      <c r="AN8" s="79">
        <f>'MeOH plant + CO2'!E29</f>
        <v>1</v>
      </c>
      <c r="AO8" s="79">
        <f>'MeOH plant + CO2'!F29</f>
        <v>1</v>
      </c>
      <c r="AP8" s="79">
        <f>'MeOH plant + CO2'!G29</f>
        <v>1</v>
      </c>
      <c r="AQ8" s="79">
        <f>'MeOH plant + CO2'!I29</f>
        <v>1</v>
      </c>
      <c r="AR8" s="79">
        <f>'MeOH plant + CO2'!C30</f>
        <v>1</v>
      </c>
      <c r="AS8" s="79">
        <f>'MeOH plant + CO2'!D30</f>
        <v>1</v>
      </c>
      <c r="AT8" s="79">
        <f>'MeOH plant + CO2'!E30</f>
        <v>1</v>
      </c>
      <c r="AU8" s="79">
        <f>'MeOH plant + CO2'!F30</f>
        <v>1</v>
      </c>
      <c r="AV8" s="79">
        <f>'MeOH plant + CO2'!G30</f>
        <v>1</v>
      </c>
      <c r="AW8" s="79">
        <f>'MeOH plant + CO2'!I30</f>
        <v>1</v>
      </c>
      <c r="AX8" s="79">
        <f>'MeOH plant + CO2'!C31</f>
        <v>1</v>
      </c>
      <c r="AY8" s="79">
        <f>'MeOH plant + CO2'!D31</f>
        <v>1</v>
      </c>
      <c r="AZ8" s="79">
        <f>'MeOH plant + CO2'!E31</f>
        <v>1</v>
      </c>
      <c r="BA8" s="79">
        <f>'MeOH plant + CO2'!F31</f>
        <v>1</v>
      </c>
      <c r="BB8" s="79">
        <f>'MeOH plant + CO2'!G31</f>
        <v>1</v>
      </c>
      <c r="BC8" s="79">
        <f>'MeOH plant + CO2'!I31</f>
        <v>1</v>
      </c>
      <c r="BD8" s="82">
        <f>'MeOH plant + CO2'!C32</f>
        <v>0.5</v>
      </c>
      <c r="BE8" s="82">
        <f>'MeOH plant + CO2'!D32</f>
        <v>0.5</v>
      </c>
      <c r="BF8" s="82">
        <f>'MeOH plant + CO2'!E32</f>
        <v>0.2</v>
      </c>
      <c r="BG8" s="82">
        <f>'MeOH plant + CO2'!F32</f>
        <v>0.47</v>
      </c>
      <c r="BH8" s="82">
        <f>'MeOH plant + CO2'!G32</f>
        <v>0.45</v>
      </c>
      <c r="BI8" s="82">
        <f>'MeOH plant + CO2'!I32</f>
        <v>0.43</v>
      </c>
      <c r="BJ8">
        <f>'MeOH plant + CO2'!C34</f>
        <v>7000</v>
      </c>
      <c r="BK8">
        <f>'MeOH plant + CO2'!D34</f>
        <v>7000</v>
      </c>
      <c r="BL8">
        <f>'MeOH plant + CO2'!E34</f>
        <v>7000</v>
      </c>
      <c r="BM8">
        <f>'MeOH plant + CO2'!F34</f>
        <v>6000</v>
      </c>
      <c r="BN8">
        <f>'MeOH plant + CO2'!G34</f>
        <v>5000</v>
      </c>
      <c r="BO8">
        <f>'MeOH plant + CO2'!I34</f>
        <v>4000</v>
      </c>
      <c r="BP8">
        <f>'MeOH plant + CO2'!C35</f>
        <v>350</v>
      </c>
      <c r="BQ8">
        <f>'MeOH plant + CO2'!D35</f>
        <v>350</v>
      </c>
      <c r="BR8">
        <f>'MeOH plant + CO2'!E35</f>
        <v>350</v>
      </c>
      <c r="BS8">
        <f>'MeOH plant + CO2'!F35</f>
        <v>300</v>
      </c>
      <c r="BT8">
        <f>'MeOH plant + CO2'!G35</f>
        <v>250</v>
      </c>
      <c r="BU8">
        <f>'MeOH plant + CO2'!I35</f>
        <v>200</v>
      </c>
      <c r="BV8">
        <f>'MeOH plant + CO2'!C36</f>
        <v>0</v>
      </c>
      <c r="BW8">
        <f>'MeOH plant + CO2'!D36</f>
        <v>0</v>
      </c>
      <c r="BX8">
        <f>'MeOH plant + CO2'!E36</f>
        <v>0</v>
      </c>
      <c r="BY8">
        <f>'MeOH plant + CO2'!F36</f>
        <v>0</v>
      </c>
      <c r="BZ8">
        <f>'MeOH plant + CO2'!G36</f>
        <v>0</v>
      </c>
      <c r="CA8">
        <f>'MeOH plant + CO2'!I36</f>
        <v>0</v>
      </c>
      <c r="CB8">
        <f>'MeOH plant + CO2'!C37</f>
        <v>0</v>
      </c>
      <c r="CC8">
        <f>'MeOH plant + CO2'!D37</f>
        <v>0</v>
      </c>
      <c r="CD8">
        <f>'MeOH plant + CO2'!E37</f>
        <v>0</v>
      </c>
      <c r="CE8">
        <f>'MeOH plant + CO2'!F37</f>
        <v>0</v>
      </c>
      <c r="CF8">
        <f>'MeOH plant + CO2'!G37</f>
        <v>0</v>
      </c>
      <c r="CG8">
        <f>'MeOH plant + CO2'!I37</f>
        <v>0</v>
      </c>
      <c r="CH8">
        <f>'MeOH plant + CO2'!C38</f>
        <v>0</v>
      </c>
      <c r="CI8">
        <f>'MeOH plant + CO2'!D38</f>
        <v>0</v>
      </c>
      <c r="CJ8">
        <f>'MeOH plant + CO2'!E38</f>
        <v>0</v>
      </c>
      <c r="CK8">
        <f>'MeOH plant + CO2'!F38</f>
        <v>0</v>
      </c>
      <c r="CL8">
        <f>'MeOH plant + CO2'!G38</f>
        <v>0</v>
      </c>
      <c r="CM8">
        <f>'MeOH plant + CO2'!I38</f>
        <v>0</v>
      </c>
      <c r="CN8">
        <f>'MeOH plant + CO2'!C41</f>
        <v>0</v>
      </c>
      <c r="CO8">
        <f>'MeOH plant + CO2'!D41</f>
        <v>0</v>
      </c>
      <c r="CP8">
        <f>'MeOH plant + CO2'!E41</f>
        <v>0</v>
      </c>
      <c r="CQ8">
        <f t="shared" ref="CQ8:CS9" si="5">$CO8*B$3</f>
        <v>0</v>
      </c>
      <c r="CR8">
        <f t="shared" si="5"/>
        <v>0</v>
      </c>
      <c r="CS8">
        <f t="shared" si="5"/>
        <v>0</v>
      </c>
      <c r="CT8">
        <f>'MeOH plant + CO2'!C42</f>
        <v>5.6800000000000002E-3</v>
      </c>
      <c r="CU8">
        <f>'MeOH plant + CO2'!D42</f>
        <v>5.6800000000000002E-3</v>
      </c>
      <c r="CV8">
        <f>'MeOH plant + CO2'!E42</f>
        <v>5.6800000000000002E-3</v>
      </c>
      <c r="CW8">
        <f>$CU8*B$3</f>
        <v>3.7885600000000003E-3</v>
      </c>
      <c r="CX8">
        <f>$CU8*C$3</f>
        <v>1.8971199999999998E-3</v>
      </c>
      <c r="CY8">
        <f>$CU8*D$3</f>
        <v>5.6800000000000007E-6</v>
      </c>
      <c r="CZ8">
        <f>'MeOH plant + CO2'!C40</f>
        <v>0.10185220882315059</v>
      </c>
      <c r="DA8">
        <f>'MeOH plant + CO2'!D40</f>
        <v>0.10185220882315059</v>
      </c>
      <c r="DB8">
        <f>'MeOH plant + CO2'!E40</f>
        <v>0.10185220882315059</v>
      </c>
      <c r="DC8">
        <f>'MeOH plant + CO2'!F40</f>
        <v>0.10185220882315059</v>
      </c>
      <c r="DD8">
        <f>'MeOH plant + CO2'!G40</f>
        <v>0.10185220882315059</v>
      </c>
      <c r="DE8">
        <f>'MeOH plant + CO2'!I40</f>
        <v>0.10185220882315059</v>
      </c>
    </row>
    <row r="9" spans="1:109" x14ac:dyDescent="0.3">
      <c r="A9" s="201"/>
      <c r="B9" s="39" t="s">
        <v>1988</v>
      </c>
      <c r="C9" s="37" t="str">
        <f>IF(I9&lt;&gt;0,"Min_demand","-")</f>
        <v>-</v>
      </c>
      <c r="D9" s="17" t="s">
        <v>1938</v>
      </c>
      <c r="E9" s="25">
        <f>ROW(D9)-ROW($E$7)</f>
        <v>2</v>
      </c>
      <c r="F9" s="13">
        <v>1</v>
      </c>
      <c r="G9" s="13" t="s">
        <v>1918</v>
      </c>
      <c r="H9" s="13">
        <v>0</v>
      </c>
      <c r="I9">
        <v>0</v>
      </c>
      <c r="J9" s="5" t="str">
        <f>B10</f>
        <v>Product/Reactant1</v>
      </c>
      <c r="K9">
        <v>0</v>
      </c>
      <c r="L9">
        <v>0</v>
      </c>
      <c r="M9">
        <f>M8</f>
        <v>40000</v>
      </c>
      <c r="N9">
        <v>0</v>
      </c>
      <c r="O9">
        <v>0</v>
      </c>
      <c r="P9">
        <v>0</v>
      </c>
      <c r="Q9">
        <v>0</v>
      </c>
      <c r="R9">
        <v>0</v>
      </c>
      <c r="S9">
        <v>0</v>
      </c>
      <c r="T9">
        <f>'MeOH plant + CO2'!C53</f>
        <v>1.46</v>
      </c>
      <c r="U9">
        <f>'MeOH plant + CO2'!D53</f>
        <v>1.46</v>
      </c>
      <c r="V9">
        <f>'MeOH plant + CO2'!E53</f>
        <v>1.46</v>
      </c>
      <c r="W9">
        <f>'MeOH plant + CO2'!F53</f>
        <v>1.46</v>
      </c>
      <c r="X9">
        <f>'MeOH plant + CO2'!G53</f>
        <v>1.46</v>
      </c>
      <c r="Y9">
        <f>'MeOH plant + CO2'!I53</f>
        <v>1.46</v>
      </c>
      <c r="Z9">
        <v>0</v>
      </c>
      <c r="AA9">
        <v>0</v>
      </c>
      <c r="AB9">
        <v>0</v>
      </c>
      <c r="AC9">
        <v>0</v>
      </c>
      <c r="AD9">
        <v>0</v>
      </c>
      <c r="AE9">
        <v>0</v>
      </c>
      <c r="AF9" s="79">
        <f>'MeOH plant + CO2'!C48</f>
        <v>0</v>
      </c>
      <c r="AG9" s="79">
        <f>'MeOH plant + CO2'!D48</f>
        <v>0</v>
      </c>
      <c r="AH9" s="79">
        <f>'MeOH plant + CO2'!E48</f>
        <v>0</v>
      </c>
      <c r="AI9" s="79">
        <f>'MeOH plant + CO2'!F48</f>
        <v>0</v>
      </c>
      <c r="AJ9" s="79">
        <f>'MeOH plant + CO2'!G48</f>
        <v>0</v>
      </c>
      <c r="AK9" s="79">
        <f>'MeOH plant + CO2'!I48</f>
        <v>0</v>
      </c>
      <c r="AL9" s="79">
        <f>'MeOH plant + CO2'!C49</f>
        <v>1</v>
      </c>
      <c r="AM9" s="79">
        <f>'MeOH plant + CO2'!D49</f>
        <v>1</v>
      </c>
      <c r="AN9" s="79">
        <f>'MeOH plant + CO2'!E49</f>
        <v>1</v>
      </c>
      <c r="AO9" s="79">
        <f>'MeOH plant + CO2'!F49</f>
        <v>1</v>
      </c>
      <c r="AP9" s="79">
        <f>'MeOH plant + CO2'!G49</f>
        <v>1</v>
      </c>
      <c r="AQ9" s="79">
        <f>'MeOH plant + CO2'!I49</f>
        <v>1</v>
      </c>
      <c r="AR9" s="79">
        <f>'MeOH plant + CO2'!C50</f>
        <v>1</v>
      </c>
      <c r="AS9" s="79">
        <f>'MeOH plant + CO2'!D50</f>
        <v>1</v>
      </c>
      <c r="AT9" s="79">
        <f>'MeOH plant + CO2'!E50</f>
        <v>1</v>
      </c>
      <c r="AU9" s="79">
        <f>'MeOH plant + CO2'!F50</f>
        <v>1</v>
      </c>
      <c r="AV9" s="79">
        <f>'MeOH plant + CO2'!G50</f>
        <v>1</v>
      </c>
      <c r="AW9" s="79">
        <f>'MeOH plant + CO2'!I50</f>
        <v>1</v>
      </c>
      <c r="AX9" s="79">
        <f>'MeOH plant + CO2'!C51</f>
        <v>1</v>
      </c>
      <c r="AY9" s="79">
        <f>'MeOH plant + CO2'!D51</f>
        <v>1</v>
      </c>
      <c r="AZ9" s="79">
        <f>'MeOH plant + CO2'!E51</f>
        <v>1</v>
      </c>
      <c r="BA9" s="79">
        <f>'MeOH plant + CO2'!F51</f>
        <v>1</v>
      </c>
      <c r="BB9" s="79">
        <f>'MeOH plant + CO2'!G51</f>
        <v>1</v>
      </c>
      <c r="BC9" s="79">
        <f>'MeOH plant + CO2'!I51</f>
        <v>1</v>
      </c>
      <c r="BD9" s="82">
        <f>'MeOH plant + CO2'!C52</f>
        <v>0.14500000000000002</v>
      </c>
      <c r="BE9" s="82">
        <f>'MeOH plant + CO2'!D52</f>
        <v>0.13</v>
      </c>
      <c r="BF9" s="82">
        <f>'MeOH plant + CO2'!E52</f>
        <v>0.11499999999999999</v>
      </c>
      <c r="BG9" s="82">
        <f>'MeOH plant + CO2'!F52</f>
        <v>0.11000000000000001</v>
      </c>
      <c r="BH9" s="82">
        <f>'MeOH plant + CO2'!G52</f>
        <v>9.8000000000000004E-2</v>
      </c>
      <c r="BI9" s="82">
        <f>'MeOH plant + CO2'!I52</f>
        <v>9.5000000000000001E-2</v>
      </c>
      <c r="BJ9">
        <f>'MeOH plant + CO2'!C54</f>
        <v>2700</v>
      </c>
      <c r="BK9">
        <f>'MeOH plant + CO2'!D54</f>
        <v>2700</v>
      </c>
      <c r="BL9">
        <f>'MeOH plant + CO2'!E54</f>
        <v>2700</v>
      </c>
      <c r="BM9">
        <f>'MeOH plant + CO2'!F54</f>
        <v>2300</v>
      </c>
      <c r="BN9">
        <f>'MeOH plant + CO2'!G54</f>
        <v>2000</v>
      </c>
      <c r="BO9">
        <f>'MeOH plant + CO2'!I54</f>
        <v>1600</v>
      </c>
      <c r="BP9">
        <f>'MeOH plant + CO2'!C55</f>
        <v>81</v>
      </c>
      <c r="BQ9">
        <f>'MeOH plant + CO2'!D55</f>
        <v>81</v>
      </c>
      <c r="BR9">
        <f>'MeOH plant + CO2'!E55</f>
        <v>81</v>
      </c>
      <c r="BS9">
        <f>'MeOH plant + CO2'!F55</f>
        <v>69</v>
      </c>
      <c r="BT9">
        <f>'MeOH plant + CO2'!G55</f>
        <v>60</v>
      </c>
      <c r="BU9">
        <f>'MeOH plant + CO2'!I55</f>
        <v>48</v>
      </c>
      <c r="BV9">
        <f>'MeOH plant + CO2'!C56</f>
        <v>2.5000000000000001E-3</v>
      </c>
      <c r="BW9">
        <f>'MeOH plant + CO2'!D56</f>
        <v>2.5000000000000001E-3</v>
      </c>
      <c r="BX9">
        <f>'MeOH plant + CO2'!E56</f>
        <v>2.5000000000000001E-3</v>
      </c>
      <c r="BY9">
        <f>'MeOH plant + CO2'!F56</f>
        <v>2.5000000000000001E-3</v>
      </c>
      <c r="BZ9">
        <f>'MeOH plant + CO2'!G56</f>
        <v>2.5000000000000001E-3</v>
      </c>
      <c r="CA9">
        <f>'MeOH plant + CO2'!I56</f>
        <v>2.5000000000000001E-3</v>
      </c>
      <c r="CB9">
        <f>'MeOH plant + CO2'!C57</f>
        <v>0</v>
      </c>
      <c r="CC9">
        <f>'MeOH plant + CO2'!D57</f>
        <v>0</v>
      </c>
      <c r="CD9">
        <f>'MeOH plant + CO2'!E57</f>
        <v>0</v>
      </c>
      <c r="CE9">
        <f>'MeOH plant + CO2'!F57</f>
        <v>0</v>
      </c>
      <c r="CF9">
        <f>'MeOH plant + CO2'!G57</f>
        <v>0</v>
      </c>
      <c r="CG9">
        <f>'MeOH plant + CO2'!I57</f>
        <v>0</v>
      </c>
      <c r="CH9">
        <f>'MeOH plant + CO2'!C58</f>
        <v>0</v>
      </c>
      <c r="CI9">
        <f>'MeOH plant + CO2'!D58</f>
        <v>0</v>
      </c>
      <c r="CJ9">
        <f>'MeOH plant + CO2'!E58</f>
        <v>0</v>
      </c>
      <c r="CK9">
        <f>'MeOH plant + CO2'!F58</f>
        <v>0</v>
      </c>
      <c r="CL9">
        <f>'MeOH plant + CO2'!G58</f>
        <v>0</v>
      </c>
      <c r="CM9">
        <f>'MeOH plant + CO2'!I58</f>
        <v>0</v>
      </c>
      <c r="CN9">
        <f>'MeOH plant + CO2'!C61</f>
        <v>0</v>
      </c>
      <c r="CO9">
        <f>'MeOH plant + CO2'!D61</f>
        <v>0</v>
      </c>
      <c r="CP9">
        <f>'MeOH plant + CO2'!E61</f>
        <v>0</v>
      </c>
      <c r="CQ9">
        <f t="shared" si="5"/>
        <v>0</v>
      </c>
      <c r="CR9">
        <f t="shared" si="5"/>
        <v>0</v>
      </c>
      <c r="CS9">
        <f t="shared" si="5"/>
        <v>0</v>
      </c>
      <c r="CT9" s="170">
        <f>'MeOH plant + CO2'!C62</f>
        <v>2.8400000000000002E-4</v>
      </c>
      <c r="CU9" s="170">
        <f>'MeOH plant + CO2'!D62</f>
        <v>2.8400000000000002E-4</v>
      </c>
      <c r="CV9" s="170">
        <f>'MeOH plant + CO2'!E62</f>
        <v>2.8400000000000002E-4</v>
      </c>
      <c r="CW9">
        <f>$CU9*B$3</f>
        <v>1.8942800000000003E-4</v>
      </c>
      <c r="CX9">
        <f t="shared" ref="CX9" si="6">$CU9*C$3</f>
        <v>9.4856000000000001E-5</v>
      </c>
      <c r="CY9">
        <f t="shared" ref="CY9" si="7">$CU9*D$3</f>
        <v>2.84E-7</v>
      </c>
      <c r="CZ9">
        <f>'MeOH plant + CO2'!C60</f>
        <v>0.10185220882315059</v>
      </c>
      <c r="DA9">
        <f>'MeOH plant + CO2'!D60</f>
        <v>0.10185220882315059</v>
      </c>
      <c r="DB9">
        <f>'MeOH plant + CO2'!E60</f>
        <v>0.10185220882315059</v>
      </c>
      <c r="DC9">
        <f>'MeOH plant + CO2'!F60</f>
        <v>0.10185220882315059</v>
      </c>
      <c r="DD9">
        <f>'MeOH plant + CO2'!G60</f>
        <v>0.10185220882315059</v>
      </c>
      <c r="DE9">
        <f>'MeOH plant + CO2'!I60</f>
        <v>0.10185220882315059</v>
      </c>
    </row>
    <row r="10" spans="1:109" x14ac:dyDescent="0.3">
      <c r="A10" s="201"/>
      <c r="B10" s="39" t="s">
        <v>1989</v>
      </c>
      <c r="C10" s="37" t="s">
        <v>1997</v>
      </c>
      <c r="D10" s="17" t="s">
        <v>1934</v>
      </c>
      <c r="E10" s="25">
        <f t="shared" ref="E10:E50" si="8">ROW(D10)-ROW($E$7)</f>
        <v>3</v>
      </c>
      <c r="F10" s="13">
        <v>1</v>
      </c>
      <c r="G10" s="13" t="s">
        <v>1919</v>
      </c>
      <c r="H10" s="13">
        <v>19.899999999999999</v>
      </c>
      <c r="I10">
        <f>400000*1000*F10</f>
        <v>400000000</v>
      </c>
      <c r="J10" s="5" t="str">
        <f>B20</f>
        <v>Reactant2</v>
      </c>
      <c r="K10">
        <v>0</v>
      </c>
      <c r="L10">
        <v>1</v>
      </c>
      <c r="M10">
        <f>'MeOH plant + CO2'!C7</f>
        <v>20000</v>
      </c>
      <c r="N10">
        <v>0</v>
      </c>
      <c r="O10">
        <v>0</v>
      </c>
      <c r="P10">
        <v>0</v>
      </c>
      <c r="Q10">
        <v>0</v>
      </c>
      <c r="R10">
        <v>0</v>
      </c>
      <c r="S10">
        <v>0</v>
      </c>
      <c r="T10">
        <f>'MeOH plant + CO2'!C14</f>
        <v>5.0251256281407031</v>
      </c>
      <c r="U10">
        <f>'MeOH plant + CO2'!D14</f>
        <v>5.0251256281407031</v>
      </c>
      <c r="V10">
        <f>'MeOH plant + CO2'!E14</f>
        <v>5.0251256281407031</v>
      </c>
      <c r="W10">
        <f>'MeOH plant + CO2'!F14</f>
        <v>5.0251256281407031</v>
      </c>
      <c r="X10">
        <f>'MeOH plant + CO2'!G14</f>
        <v>5.0251256281407031</v>
      </c>
      <c r="Y10">
        <f>'MeOH plant + CO2'!I14</f>
        <v>5.0251256281407031</v>
      </c>
      <c r="Z10">
        <f>'MeOH plant + CO2'!C12</f>
        <v>0.68</v>
      </c>
      <c r="AA10">
        <f>'MeOH plant + CO2'!D12</f>
        <v>0.68</v>
      </c>
      <c r="AB10">
        <f>'MeOH plant + CO2'!E12</f>
        <v>0.68</v>
      </c>
      <c r="AC10">
        <f>'MeOH plant + CO2'!F12</f>
        <v>0.68</v>
      </c>
      <c r="AD10">
        <f>'MeOH plant + CO2'!G12</f>
        <v>0.68</v>
      </c>
      <c r="AE10">
        <f>'MeOH plant + CO2'!I12</f>
        <v>0.68</v>
      </c>
      <c r="AF10" s="79">
        <f>'MeOH plant + CO2'!C8</f>
        <v>1</v>
      </c>
      <c r="AG10" s="79">
        <f>'MeOH plant + CO2'!D8</f>
        <v>0.4</v>
      </c>
      <c r="AH10" s="79">
        <f>'MeOH plant + CO2'!E8</f>
        <v>0.2</v>
      </c>
      <c r="AI10" s="79">
        <f>'MeOH plant + CO2'!F8</f>
        <v>0.1</v>
      </c>
      <c r="AJ10" s="79">
        <f>'MeOH plant + CO2'!G8</f>
        <v>0.1</v>
      </c>
      <c r="AK10" s="79">
        <f>'MeOH plant + CO2'!I8</f>
        <v>0.1</v>
      </c>
      <c r="AL10" s="79">
        <f>'MeOH plant + CO2'!C9</f>
        <v>1</v>
      </c>
      <c r="AM10" s="79">
        <f>'MeOH plant + CO2'!D9</f>
        <v>1</v>
      </c>
      <c r="AN10" s="79">
        <f>'MeOH plant + CO2'!E9</f>
        <v>1</v>
      </c>
      <c r="AO10" s="79">
        <f>'MeOH plant + CO2'!F9</f>
        <v>1</v>
      </c>
      <c r="AP10" s="79">
        <f>'MeOH plant + CO2'!G9</f>
        <v>1</v>
      </c>
      <c r="AQ10" s="79">
        <f>'MeOH plant + CO2'!I9</f>
        <v>1</v>
      </c>
      <c r="AR10" s="79">
        <f>'MeOH plant + CO2'!C10</f>
        <v>1</v>
      </c>
      <c r="AS10" s="79">
        <f>'MeOH plant + CO2'!D10</f>
        <v>1</v>
      </c>
      <c r="AT10" s="79">
        <f>'MeOH plant + CO2'!E10</f>
        <v>1</v>
      </c>
      <c r="AU10" s="79">
        <f>'MeOH plant + CO2'!F10</f>
        <v>1</v>
      </c>
      <c r="AV10" s="79">
        <f>'MeOH plant + CO2'!G10</f>
        <v>1</v>
      </c>
      <c r="AW10" s="79">
        <f>'MeOH plant + CO2'!I10</f>
        <v>1</v>
      </c>
      <c r="AX10" s="79">
        <f>'MeOH plant + CO2'!C11</f>
        <v>1</v>
      </c>
      <c r="AY10" s="79">
        <f>'MeOH plant + CO2'!D11</f>
        <v>1</v>
      </c>
      <c r="AZ10" s="79">
        <f>'MeOH plant + CO2'!E11</f>
        <v>1</v>
      </c>
      <c r="BA10" s="79">
        <f>'MeOH plant + CO2'!F11</f>
        <v>1</v>
      </c>
      <c r="BB10" s="79">
        <f>'MeOH plant + CO2'!G11</f>
        <v>1</v>
      </c>
      <c r="BC10" s="79">
        <f>'MeOH plant + CO2'!I11</f>
        <v>1</v>
      </c>
      <c r="BD10" s="82">
        <f>'MeOH plant + CO2'!C13</f>
        <v>0.316</v>
      </c>
      <c r="BE10" s="82">
        <f>'MeOH plant + CO2'!D13</f>
        <v>0.316</v>
      </c>
      <c r="BF10" s="82">
        <f>'MeOH plant + CO2'!E13</f>
        <v>0.316</v>
      </c>
      <c r="BG10" s="82">
        <f>'MeOH plant + CO2'!F13</f>
        <v>0.316</v>
      </c>
      <c r="BH10" s="82">
        <f>'MeOH plant + CO2'!G13</f>
        <v>0.316</v>
      </c>
      <c r="BI10" s="82">
        <f>'MeOH plant + CO2'!I13</f>
        <v>0.316</v>
      </c>
      <c r="BJ10">
        <f>'MeOH plant + CO2'!C15</f>
        <v>4167.5719007116822</v>
      </c>
      <c r="BK10">
        <f>'MeOH plant + CO2'!D15</f>
        <v>4167.5719007116822</v>
      </c>
      <c r="BL10">
        <f>'MeOH plant + CO2'!E15</f>
        <v>4167.5719007116822</v>
      </c>
      <c r="BM10">
        <f>'MeOH plant + CO2'!F15</f>
        <v>4167.5719007116822</v>
      </c>
      <c r="BN10">
        <f>'MeOH plant + CO2'!G15</f>
        <v>4167.5719007116822</v>
      </c>
      <c r="BO10">
        <f>'MeOH plant + CO2'!I15</f>
        <v>4167.5719007116822</v>
      </c>
      <c r="BP10">
        <f>'MeOH plant + CO2'!C16</f>
        <v>617.88115461308803</v>
      </c>
      <c r="BQ10">
        <f>'MeOH plant + CO2'!D16</f>
        <v>617.88115461308803</v>
      </c>
      <c r="BR10">
        <f>'MeOH plant + CO2'!E16</f>
        <v>617.88115461308803</v>
      </c>
      <c r="BS10">
        <f>'MeOH plant + CO2'!F16</f>
        <v>617.88115461308803</v>
      </c>
      <c r="BT10">
        <f>'MeOH plant + CO2'!G16</f>
        <v>617.88115461308803</v>
      </c>
      <c r="BU10">
        <f>'MeOH plant + CO2'!I16</f>
        <v>617.88115461308803</v>
      </c>
      <c r="BV10">
        <f>'MeOH plant + CO2'!C17</f>
        <v>2.7037493490713421E-2</v>
      </c>
      <c r="BW10">
        <f>'MeOH plant + CO2'!D17</f>
        <v>2.7037493490713421E-2</v>
      </c>
      <c r="BX10">
        <f>'MeOH plant + CO2'!E17</f>
        <v>2.7037493490713421E-2</v>
      </c>
      <c r="BY10">
        <f>'MeOH plant + CO2'!F17</f>
        <v>2.7037493490713421E-2</v>
      </c>
      <c r="BZ10">
        <f>'MeOH plant + CO2'!G17</f>
        <v>2.7037493490713421E-2</v>
      </c>
      <c r="CA10">
        <f>'MeOH plant + CO2'!I17</f>
        <v>2.7037493490713421E-2</v>
      </c>
      <c r="CB10">
        <f>'MeOH plant + CO2'!C18</f>
        <v>0</v>
      </c>
      <c r="CC10">
        <f>'MeOH plant + CO2'!D18</f>
        <v>0</v>
      </c>
      <c r="CD10">
        <f>'MeOH plant + CO2'!E18</f>
        <v>0</v>
      </c>
      <c r="CE10">
        <f>'MeOH plant + CO2'!F18</f>
        <v>0</v>
      </c>
      <c r="CF10">
        <f>'MeOH plant + CO2'!G18</f>
        <v>0</v>
      </c>
      <c r="CG10">
        <f>'MeOH plant + CO2'!I18</f>
        <v>0</v>
      </c>
      <c r="CH10">
        <v>0</v>
      </c>
      <c r="CI10">
        <v>0</v>
      </c>
      <c r="CJ10">
        <v>0</v>
      </c>
      <c r="CK10">
        <v>0</v>
      </c>
      <c r="CL10">
        <v>0</v>
      </c>
      <c r="CM10">
        <v>0</v>
      </c>
      <c r="CN10">
        <f>'MeOH plant + CO2'!C21</f>
        <v>18.474666666666668</v>
      </c>
      <c r="CO10">
        <f>'MeOH plant + CO2'!D21</f>
        <v>18.474666666666668</v>
      </c>
      <c r="CP10">
        <f>'MeOH plant + CO2'!E21</f>
        <v>18.474666666666668</v>
      </c>
      <c r="CQ10">
        <f>$CO10*B$3</f>
        <v>12.322602666666668</v>
      </c>
      <c r="CR10">
        <f t="shared" ref="CR10" si="9">$CO10*C$3</f>
        <v>6.1705386666666664</v>
      </c>
      <c r="CS10">
        <f t="shared" ref="CS10" si="10">$CO10*D$3</f>
        <v>1.8474666666666667E-2</v>
      </c>
      <c r="CT10">
        <f>'MeOH plant + CO2'!C22</f>
        <v>0</v>
      </c>
      <c r="CU10">
        <f>'MeOH plant + CO2'!D22</f>
        <v>0</v>
      </c>
      <c r="CV10">
        <f>'MeOH plant + CO2'!E22</f>
        <v>0</v>
      </c>
      <c r="CW10">
        <f t="shared" ref="CW10:CW50" si="11">$CU10*B$3</f>
        <v>0</v>
      </c>
      <c r="CX10">
        <f t="shared" ref="CX10:CX50" si="12">$CU10*C$3</f>
        <v>0</v>
      </c>
      <c r="CY10">
        <f t="shared" ref="CY10:CY50" si="13">$CU10*D$3</f>
        <v>0</v>
      </c>
      <c r="CZ10">
        <f>'MeOH plant + CO2'!C20</f>
        <v>0.10185220882315059</v>
      </c>
      <c r="DA10">
        <f>'MeOH plant + CO2'!D20</f>
        <v>9.3678779051968114E-2</v>
      </c>
      <c r="DB10">
        <f>'MeOH plant + CO2'!E20</f>
        <v>9.3678779051968114E-2</v>
      </c>
      <c r="DC10">
        <f>'MeOH plant + CO2'!F20</f>
        <v>9.3678779051968114E-2</v>
      </c>
      <c r="DD10">
        <f>'MeOH plant + CO2'!G20</f>
        <v>9.3678779051968114E-2</v>
      </c>
      <c r="DE10">
        <f>'MeOH plant + CO2'!I20</f>
        <v>9.3678779051968114E-2</v>
      </c>
    </row>
    <row r="11" spans="1:109" x14ac:dyDescent="0.3">
      <c r="A11" s="201"/>
      <c r="B11" s="39" t="s">
        <v>1989</v>
      </c>
      <c r="C11" s="37" t="s">
        <v>1997</v>
      </c>
      <c r="D11" s="17" t="s">
        <v>1937</v>
      </c>
      <c r="E11" s="25">
        <f t="shared" si="8"/>
        <v>4</v>
      </c>
      <c r="F11" s="13">
        <v>1</v>
      </c>
      <c r="G11" s="13" t="s">
        <v>1920</v>
      </c>
      <c r="H11" s="13">
        <v>19.899999999999999</v>
      </c>
      <c r="I11">
        <f>400000*1000*F11</f>
        <v>400000000</v>
      </c>
      <c r="J11" s="5" t="str">
        <f>B18</f>
        <v>Product/Reactant3</v>
      </c>
      <c r="K11">
        <v>0</v>
      </c>
      <c r="L11">
        <v>1</v>
      </c>
      <c r="M11">
        <f>M10</f>
        <v>20000</v>
      </c>
      <c r="N11">
        <v>0</v>
      </c>
      <c r="O11">
        <v>0</v>
      </c>
      <c r="P11">
        <v>0</v>
      </c>
      <c r="Q11">
        <v>0</v>
      </c>
      <c r="R11">
        <v>0</v>
      </c>
      <c r="S11">
        <v>0</v>
      </c>
      <c r="T11">
        <v>5.0251256281407031</v>
      </c>
      <c r="U11">
        <v>5.0251256281407031</v>
      </c>
      <c r="V11">
        <v>5.0251256281407031</v>
      </c>
      <c r="W11">
        <v>5.0251256281407031</v>
      </c>
      <c r="X11">
        <v>5.0251256281407031</v>
      </c>
      <c r="Y11">
        <v>5.0251256281407031</v>
      </c>
      <c r="Z11">
        <v>0.68</v>
      </c>
      <c r="AA11">
        <v>0.68</v>
      </c>
      <c r="AB11">
        <v>0.68</v>
      </c>
      <c r="AC11">
        <v>0.68</v>
      </c>
      <c r="AD11">
        <v>0.68</v>
      </c>
      <c r="AE11">
        <v>0.68</v>
      </c>
      <c r="AF11" s="79">
        <v>1</v>
      </c>
      <c r="AG11" s="79">
        <v>0.4</v>
      </c>
      <c r="AH11" s="79">
        <v>0.2</v>
      </c>
      <c r="AI11" s="79">
        <v>0.1</v>
      </c>
      <c r="AJ11" s="79">
        <v>0.1</v>
      </c>
      <c r="AK11" s="79">
        <v>0.1</v>
      </c>
      <c r="AL11" s="79">
        <v>1</v>
      </c>
      <c r="AM11" s="79">
        <v>1</v>
      </c>
      <c r="AN11" s="79">
        <v>1</v>
      </c>
      <c r="AO11" s="79">
        <v>1</v>
      </c>
      <c r="AP11" s="79">
        <v>1</v>
      </c>
      <c r="AQ11" s="79">
        <v>1</v>
      </c>
      <c r="AR11" s="79">
        <v>1</v>
      </c>
      <c r="AS11" s="79">
        <v>1</v>
      </c>
      <c r="AT11" s="79">
        <v>1</v>
      </c>
      <c r="AU11" s="79">
        <v>1</v>
      </c>
      <c r="AV11" s="79">
        <v>1</v>
      </c>
      <c r="AW11" s="79">
        <v>1</v>
      </c>
      <c r="AX11" s="79">
        <v>1</v>
      </c>
      <c r="AY11" s="79">
        <v>1</v>
      </c>
      <c r="AZ11" s="79">
        <v>1</v>
      </c>
      <c r="BA11" s="79">
        <v>1</v>
      </c>
      <c r="BB11" s="79">
        <v>1</v>
      </c>
      <c r="BC11" s="79">
        <v>1</v>
      </c>
      <c r="BD11" s="82">
        <v>0.316</v>
      </c>
      <c r="BE11" s="82">
        <v>0.316</v>
      </c>
      <c r="BF11" s="82">
        <v>0.316</v>
      </c>
      <c r="BG11" s="82">
        <v>0.316</v>
      </c>
      <c r="BH11" s="82">
        <v>0.316</v>
      </c>
      <c r="BI11" s="82">
        <v>0.316</v>
      </c>
      <c r="BJ11">
        <v>4167.5719007116822</v>
      </c>
      <c r="BK11">
        <v>4167.5719007116822</v>
      </c>
      <c r="BL11">
        <v>4167.5719007116822</v>
      </c>
      <c r="BM11">
        <v>4167.5719007116822</v>
      </c>
      <c r="BN11">
        <v>4167.5719007116822</v>
      </c>
      <c r="BO11">
        <v>4167.5719007116822</v>
      </c>
      <c r="BP11">
        <v>617.88115461308803</v>
      </c>
      <c r="BQ11">
        <v>617.88115461308803</v>
      </c>
      <c r="BR11">
        <v>617.88115461308803</v>
      </c>
      <c r="BS11">
        <v>617.88115461308803</v>
      </c>
      <c r="BT11">
        <v>617.88115461308803</v>
      </c>
      <c r="BU11">
        <v>617.88115461308803</v>
      </c>
      <c r="BV11">
        <v>2.7037493490713421E-2</v>
      </c>
      <c r="BW11">
        <v>2.7037493490713421E-2</v>
      </c>
      <c r="BX11">
        <v>2.7037493490713421E-2</v>
      </c>
      <c r="BY11">
        <v>2.7037493490713421E-2</v>
      </c>
      <c r="BZ11">
        <v>2.7037493490713421E-2</v>
      </c>
      <c r="CA11">
        <v>2.7037493490713421E-2</v>
      </c>
      <c r="CB11">
        <v>0</v>
      </c>
      <c r="CC11">
        <v>0</v>
      </c>
      <c r="CD11">
        <v>0</v>
      </c>
      <c r="CE11">
        <v>0</v>
      </c>
      <c r="CF11">
        <v>0</v>
      </c>
      <c r="CG11">
        <v>0</v>
      </c>
      <c r="CH11">
        <v>0</v>
      </c>
      <c r="CI11">
        <v>0</v>
      </c>
      <c r="CJ11">
        <v>0</v>
      </c>
      <c r="CK11">
        <v>0</v>
      </c>
      <c r="CL11">
        <v>0</v>
      </c>
      <c r="CM11">
        <v>0</v>
      </c>
      <c r="CN11">
        <v>18.474666666666668</v>
      </c>
      <c r="CO11">
        <v>18.474666666666668</v>
      </c>
      <c r="CP11">
        <v>18.474666666666668</v>
      </c>
      <c r="CQ11">
        <f t="shared" ref="CQ11:CQ50" si="14">$CO11*B$3</f>
        <v>12.322602666666668</v>
      </c>
      <c r="CR11">
        <f t="shared" ref="CR11:CR50" si="15">$CO11*C$3</f>
        <v>6.1705386666666664</v>
      </c>
      <c r="CS11">
        <f t="shared" ref="CS11:CS50" si="16">$CO11*D$3</f>
        <v>1.8474666666666667E-2</v>
      </c>
      <c r="CT11">
        <v>0</v>
      </c>
      <c r="CU11">
        <v>0</v>
      </c>
      <c r="CV11">
        <v>0</v>
      </c>
      <c r="CW11">
        <f t="shared" si="11"/>
        <v>0</v>
      </c>
      <c r="CX11">
        <f t="shared" si="12"/>
        <v>0</v>
      </c>
      <c r="CY11">
        <f t="shared" si="13"/>
        <v>0</v>
      </c>
      <c r="CZ11">
        <v>0.10185220882315059</v>
      </c>
      <c r="DA11">
        <v>9.3678779051968114E-2</v>
      </c>
      <c r="DB11">
        <v>9.3678779051968114E-2</v>
      </c>
      <c r="DC11">
        <v>9.3678779051968114E-2</v>
      </c>
      <c r="DD11">
        <v>9.3678779051968114E-2</v>
      </c>
      <c r="DE11">
        <v>9.3678779051968114E-2</v>
      </c>
    </row>
    <row r="12" spans="1:109" x14ac:dyDescent="0.3">
      <c r="A12" s="201"/>
      <c r="B12" s="39" t="s">
        <v>1988</v>
      </c>
      <c r="C12" s="37" t="str">
        <f>IF(I12&lt;&gt;0,"Min_demand","-")</f>
        <v>-</v>
      </c>
      <c r="D12" s="17" t="s">
        <v>1632</v>
      </c>
      <c r="E12" s="25">
        <f t="shared" si="8"/>
        <v>5</v>
      </c>
      <c r="F12" s="13">
        <v>1</v>
      </c>
      <c r="G12" s="13" t="s">
        <v>1632</v>
      </c>
      <c r="H12" s="13">
        <v>0</v>
      </c>
      <c r="I12">
        <v>0</v>
      </c>
      <c r="J12" s="5" t="str">
        <f>B13</f>
        <v>Product/Reactant4</v>
      </c>
      <c r="K12">
        <v>0</v>
      </c>
      <c r="L12">
        <v>0</v>
      </c>
      <c r="M12">
        <f>M8</f>
        <v>40000</v>
      </c>
      <c r="N12">
        <v>0</v>
      </c>
      <c r="O12">
        <v>0</v>
      </c>
      <c r="P12">
        <v>0</v>
      </c>
      <c r="Q12">
        <v>0</v>
      </c>
      <c r="R12">
        <v>0</v>
      </c>
      <c r="S12">
        <v>0</v>
      </c>
      <c r="T12">
        <f>'Bio-eMeOH plant'!C50</f>
        <v>0.79985805535841015</v>
      </c>
      <c r="U12">
        <f>'Bio-eMeOH plant'!D50</f>
        <v>0.79985805535841015</v>
      </c>
      <c r="V12">
        <f>'Bio-eMeOH plant'!E50</f>
        <v>0.79985805535841015</v>
      </c>
      <c r="W12">
        <f>'Bio-eMeOH plant'!F50</f>
        <v>0.79985805535841015</v>
      </c>
      <c r="X12">
        <f>'Bio-eMeOH plant'!G50</f>
        <v>0.79985805535841015</v>
      </c>
      <c r="Y12">
        <f>'Bio-eMeOH plant'!H50</f>
        <v>0.79985805535841015</v>
      </c>
      <c r="Z12">
        <v>0</v>
      </c>
      <c r="AA12">
        <v>0</v>
      </c>
      <c r="AB12">
        <v>0</v>
      </c>
      <c r="AC12">
        <v>0</v>
      </c>
      <c r="AD12">
        <v>0</v>
      </c>
      <c r="AE12">
        <v>0</v>
      </c>
      <c r="AF12" s="79">
        <f>'Bio-eMeOH plant'!C45</f>
        <v>0</v>
      </c>
      <c r="AG12" s="79">
        <f>'Bio-eMeOH plant'!D45</f>
        <v>0</v>
      </c>
      <c r="AH12" s="79">
        <f>'Bio-eMeOH plant'!E45</f>
        <v>0</v>
      </c>
      <c r="AI12" s="79">
        <f>'Bio-eMeOH plant'!F45</f>
        <v>0</v>
      </c>
      <c r="AJ12" s="79">
        <f>'Bio-eMeOH plant'!G45</f>
        <v>0</v>
      </c>
      <c r="AK12" s="79">
        <f>'Bio-eMeOH plant'!H45</f>
        <v>0</v>
      </c>
      <c r="AL12" s="79">
        <f>'Bio-eMeOH plant'!C46</f>
        <v>1</v>
      </c>
      <c r="AM12" s="79">
        <f>'Bio-eMeOH plant'!D46</f>
        <v>1</v>
      </c>
      <c r="AN12" s="79">
        <f>'Bio-eMeOH plant'!E46</f>
        <v>1</v>
      </c>
      <c r="AO12" s="79">
        <f>'Bio-eMeOH plant'!F46</f>
        <v>1</v>
      </c>
      <c r="AP12" s="79">
        <f>'Bio-eMeOH plant'!G46</f>
        <v>1</v>
      </c>
      <c r="AQ12" s="79">
        <f>'Bio-eMeOH plant'!H46</f>
        <v>1</v>
      </c>
      <c r="AR12" s="79">
        <f>'Bio-eMeOH plant'!C47</f>
        <v>1</v>
      </c>
      <c r="AS12" s="79">
        <f>'Bio-eMeOH plant'!D47</f>
        <v>1</v>
      </c>
      <c r="AT12" s="79">
        <f>'Bio-eMeOH plant'!E47</f>
        <v>1</v>
      </c>
      <c r="AU12" s="79">
        <f>'Bio-eMeOH plant'!F47</f>
        <v>1</v>
      </c>
      <c r="AV12" s="79">
        <f>'Bio-eMeOH plant'!G47</f>
        <v>1</v>
      </c>
      <c r="AW12" s="79">
        <f>'Bio-eMeOH plant'!H47</f>
        <v>1</v>
      </c>
      <c r="AX12" s="79">
        <f>'Bio-eMeOH plant'!C48</f>
        <v>1</v>
      </c>
      <c r="AY12" s="79">
        <f>'Bio-eMeOH plant'!D48</f>
        <v>1</v>
      </c>
      <c r="AZ12" s="79">
        <f>'Bio-eMeOH plant'!E48</f>
        <v>1</v>
      </c>
      <c r="BA12" s="79">
        <f>'Bio-eMeOH plant'!F48</f>
        <v>1</v>
      </c>
      <c r="BB12" s="79">
        <f>'Bio-eMeOH plant'!G48</f>
        <v>1</v>
      </c>
      <c r="BC12" s="79">
        <f>'Bio-eMeOH plant'!H48</f>
        <v>1</v>
      </c>
      <c r="BD12" s="82">
        <f>'Bio-eMeOH plant'!C49</f>
        <v>0</v>
      </c>
      <c r="BE12" s="82">
        <f>'Bio-eMeOH plant'!D49</f>
        <v>0</v>
      </c>
      <c r="BF12" s="82">
        <f>'Bio-eMeOH plant'!E49</f>
        <v>0</v>
      </c>
      <c r="BG12" s="82">
        <f>'Bio-eMeOH plant'!F49</f>
        <v>0</v>
      </c>
      <c r="BH12" s="82">
        <f>'Bio-eMeOH plant'!G49</f>
        <v>0</v>
      </c>
      <c r="BI12" s="82">
        <f>'Bio-eMeOH plant'!H49</f>
        <v>0</v>
      </c>
      <c r="BJ12">
        <f>'Bio-eMeOH plant'!C51</f>
        <v>0</v>
      </c>
      <c r="BK12">
        <f>'Bio-eMeOH plant'!D51</f>
        <v>0</v>
      </c>
      <c r="BL12">
        <f>'Bio-eMeOH plant'!E51</f>
        <v>0</v>
      </c>
      <c r="BM12">
        <f>'Bio-eMeOH plant'!F51</f>
        <v>0</v>
      </c>
      <c r="BN12">
        <f>'Bio-eMeOH plant'!G51</f>
        <v>0</v>
      </c>
      <c r="BO12">
        <f>'Bio-eMeOH plant'!H51</f>
        <v>0</v>
      </c>
      <c r="BP12">
        <f>'Bio-eMeOH plant'!C52</f>
        <v>0</v>
      </c>
      <c r="BQ12">
        <f>'Bio-eMeOH plant'!D52</f>
        <v>0</v>
      </c>
      <c r="BR12">
        <f>'Bio-eMeOH plant'!E52</f>
        <v>0</v>
      </c>
      <c r="BS12">
        <f>'Bio-eMeOH plant'!F52</f>
        <v>0</v>
      </c>
      <c r="BT12">
        <f>'Bio-eMeOH plant'!G52</f>
        <v>0</v>
      </c>
      <c r="BU12">
        <f>'Bio-eMeOH plant'!H52</f>
        <v>0</v>
      </c>
      <c r="BV12">
        <f>'Bio-eMeOH plant'!C53</f>
        <v>0</v>
      </c>
      <c r="BW12">
        <f>'Bio-eMeOH plant'!D53</f>
        <v>0</v>
      </c>
      <c r="BX12">
        <f>'Bio-eMeOH plant'!E53</f>
        <v>0</v>
      </c>
      <c r="BY12">
        <f>'Bio-eMeOH plant'!F53</f>
        <v>0</v>
      </c>
      <c r="BZ12">
        <f>'Bio-eMeOH plant'!G53</f>
        <v>0</v>
      </c>
      <c r="CA12">
        <f>'Bio-eMeOH plant'!H53</f>
        <v>0</v>
      </c>
      <c r="CB12">
        <v>0</v>
      </c>
      <c r="CC12">
        <v>0</v>
      </c>
      <c r="CD12">
        <v>0</v>
      </c>
      <c r="CE12">
        <v>0</v>
      </c>
      <c r="CF12">
        <v>0</v>
      </c>
      <c r="CG12">
        <v>0</v>
      </c>
      <c r="CH12">
        <f>'Bio-eMeOH plant'!C54</f>
        <v>0.13625663392000001</v>
      </c>
      <c r="CI12">
        <f>'Bio-eMeOH plant'!D54</f>
        <v>0.12474198880000002</v>
      </c>
      <c r="CJ12">
        <f>'Bio-eMeOH plant'!E54</f>
        <v>0.10938912864000003</v>
      </c>
      <c r="CK12">
        <f>'Bio-eMeOH plant'!F54</f>
        <v>0.13625663392000001</v>
      </c>
      <c r="CL12">
        <f>'Bio-eMeOH plant'!G54</f>
        <v>0.14585217152000002</v>
      </c>
      <c r="CM12">
        <f>'Bio-eMeOH plant'!H54</f>
        <v>0.15736681664000002</v>
      </c>
      <c r="CN12">
        <f>'Bio-eMeOH plant'!C56</f>
        <v>3.560584789265715</v>
      </c>
      <c r="CO12">
        <f>'Bio-eMeOH plant'!D56</f>
        <v>3.560584789265715</v>
      </c>
      <c r="CP12">
        <f>'Bio-eMeOH plant'!E56</f>
        <v>3.560584789265715</v>
      </c>
      <c r="CQ12">
        <f t="shared" si="14"/>
        <v>2.3749100544402322</v>
      </c>
      <c r="CR12">
        <f t="shared" si="15"/>
        <v>1.1892353196147487</v>
      </c>
      <c r="CS12">
        <f t="shared" si="16"/>
        <v>3.5605847892657152E-3</v>
      </c>
      <c r="CT12">
        <f>'Bio-eMeOH plant'!C57</f>
        <v>0</v>
      </c>
      <c r="CU12">
        <f>'Bio-eMeOH plant'!D57</f>
        <v>0</v>
      </c>
      <c r="CV12">
        <f>'Bio-eMeOH plant'!E57</f>
        <v>0</v>
      </c>
      <c r="CW12">
        <f t="shared" si="11"/>
        <v>0</v>
      </c>
      <c r="CX12">
        <f t="shared" si="12"/>
        <v>0</v>
      </c>
      <c r="CY12">
        <f t="shared" si="13"/>
        <v>0</v>
      </c>
      <c r="CZ12">
        <f>'Bio-eMeOH plant'!C58</f>
        <v>0</v>
      </c>
      <c r="DA12">
        <f>'Bio-eMeOH plant'!D58</f>
        <v>0</v>
      </c>
      <c r="DB12">
        <f>'Bio-eMeOH plant'!E58</f>
        <v>0</v>
      </c>
      <c r="DC12">
        <f>'Bio-eMeOH plant'!F58</f>
        <v>0</v>
      </c>
      <c r="DD12">
        <f>'Bio-eMeOH plant'!G58</f>
        <v>0</v>
      </c>
      <c r="DE12">
        <f>'Bio-eMeOH plant'!H58</f>
        <v>0</v>
      </c>
    </row>
    <row r="13" spans="1:109" x14ac:dyDescent="0.3">
      <c r="A13" s="201"/>
      <c r="B13" s="39" t="s">
        <v>1990</v>
      </c>
      <c r="C13" s="37" t="s">
        <v>1997</v>
      </c>
      <c r="D13" s="17" t="s">
        <v>1932</v>
      </c>
      <c r="E13" s="25">
        <f t="shared" si="8"/>
        <v>6</v>
      </c>
      <c r="F13" s="13">
        <v>1</v>
      </c>
      <c r="G13" s="13" t="s">
        <v>1921</v>
      </c>
      <c r="H13" s="13">
        <v>19.899999999999999</v>
      </c>
      <c r="I13">
        <f>400000*1000*F13</f>
        <v>400000000</v>
      </c>
      <c r="J13" s="5" t="str">
        <f>B21</f>
        <v>Reactant5</v>
      </c>
      <c r="K13">
        <v>0</v>
      </c>
      <c r="L13">
        <v>1</v>
      </c>
      <c r="M13">
        <f>M10</f>
        <v>20000</v>
      </c>
      <c r="N13">
        <v>0</v>
      </c>
      <c r="O13">
        <v>0</v>
      </c>
      <c r="P13">
        <v>0</v>
      </c>
      <c r="Q13">
        <v>0</v>
      </c>
      <c r="R13">
        <v>0</v>
      </c>
      <c r="S13">
        <v>0</v>
      </c>
      <c r="T13">
        <f>'Bio-eMeOH plant'!C13</f>
        <v>9.6506849315068486</v>
      </c>
      <c r="U13">
        <f>'Bio-eMeOH plant'!D13</f>
        <v>9.6506849315068486</v>
      </c>
      <c r="V13">
        <f>'Bio-eMeOH plant'!E13</f>
        <v>9.6506849315068486</v>
      </c>
      <c r="W13">
        <f>'Bio-eMeOH plant'!F13</f>
        <v>9.6506849315068486</v>
      </c>
      <c r="X13">
        <f>'Bio-eMeOH plant'!G13</f>
        <v>9.6506849315068486</v>
      </c>
      <c r="Y13">
        <f>'Bio-eMeOH plant'!H13</f>
        <v>9.6506849315068486</v>
      </c>
      <c r="Z13">
        <f>'Bio-eMeOH plant'!C11</f>
        <v>0.57947400000000004</v>
      </c>
      <c r="AA13">
        <f>'Bio-eMeOH plant'!D11</f>
        <v>0.57947400000000004</v>
      </c>
      <c r="AB13">
        <f>'Bio-eMeOH plant'!E11</f>
        <v>0.57947400000000004</v>
      </c>
      <c r="AC13">
        <f>'Bio-eMeOH plant'!F11</f>
        <v>0.57947400000000004</v>
      </c>
      <c r="AD13">
        <f>'Bio-eMeOH plant'!G11</f>
        <v>0.57947400000000004</v>
      </c>
      <c r="AE13">
        <f>'Bio-eMeOH plant'!H11</f>
        <v>0.57947400000000004</v>
      </c>
      <c r="AF13" s="79">
        <f>'Bio-eMeOH plant'!C7</f>
        <v>0.4</v>
      </c>
      <c r="AG13" s="79">
        <f>'Bio-eMeOH plant'!D7</f>
        <v>0.4</v>
      </c>
      <c r="AH13" s="79">
        <f>'Bio-eMeOH plant'!E7</f>
        <v>0.4</v>
      </c>
      <c r="AI13" s="79">
        <f>'Bio-eMeOH plant'!F7</f>
        <v>0.1</v>
      </c>
      <c r="AJ13" s="79">
        <f>'Bio-eMeOH plant'!G7</f>
        <v>0.1</v>
      </c>
      <c r="AK13" s="79">
        <f>'Bio-eMeOH plant'!H7</f>
        <v>0.1</v>
      </c>
      <c r="AL13" s="79">
        <f>'Bio-eMeOH plant'!C8</f>
        <v>1</v>
      </c>
      <c r="AM13" s="79">
        <f>'Bio-eMeOH plant'!D8</f>
        <v>1</v>
      </c>
      <c r="AN13" s="79">
        <f>'Bio-eMeOH plant'!E8</f>
        <v>1</v>
      </c>
      <c r="AO13" s="79">
        <f>'Bio-eMeOH plant'!F8</f>
        <v>1</v>
      </c>
      <c r="AP13" s="79">
        <f>'Bio-eMeOH plant'!G8</f>
        <v>1</v>
      </c>
      <c r="AQ13" s="79">
        <f>'Bio-eMeOH plant'!H8</f>
        <v>1</v>
      </c>
      <c r="AR13" s="79">
        <f>'Bio-eMeOH plant'!C9</f>
        <v>1</v>
      </c>
      <c r="AS13" s="79">
        <f>'Bio-eMeOH plant'!D9</f>
        <v>1</v>
      </c>
      <c r="AT13" s="79">
        <f>'Bio-eMeOH plant'!E9</f>
        <v>1</v>
      </c>
      <c r="AU13" s="79">
        <f>'Bio-eMeOH plant'!F9</f>
        <v>1</v>
      </c>
      <c r="AV13" s="79">
        <f>'Bio-eMeOH plant'!G9</f>
        <v>1</v>
      </c>
      <c r="AW13" s="79">
        <f>'Bio-eMeOH plant'!H9</f>
        <v>1</v>
      </c>
      <c r="AX13" s="79">
        <f>'Bio-eMeOH plant'!C9</f>
        <v>1</v>
      </c>
      <c r="AY13" s="79">
        <f>'Bio-eMeOH plant'!D9</f>
        <v>1</v>
      </c>
      <c r="AZ13" s="79">
        <f>'Bio-eMeOH plant'!E9</f>
        <v>1</v>
      </c>
      <c r="BA13" s="79">
        <f>'Bio-eMeOH plant'!F9</f>
        <v>1</v>
      </c>
      <c r="BB13" s="79">
        <f>'Bio-eMeOH plant'!G9</f>
        <v>1</v>
      </c>
      <c r="BC13" s="79">
        <f>'Bio-eMeOH plant'!H9</f>
        <v>1</v>
      </c>
      <c r="BD13" s="82">
        <f>'Bio-eMeOH plant'!C12</f>
        <v>0.32718600000000003</v>
      </c>
      <c r="BE13" s="82">
        <f>'Bio-eMeOH plant'!D12</f>
        <v>0.32718600000000003</v>
      </c>
      <c r="BF13" s="82">
        <f>'Bio-eMeOH plant'!E12</f>
        <v>0.32718600000000003</v>
      </c>
      <c r="BG13" s="82">
        <f>'Bio-eMeOH plant'!F12</f>
        <v>0.32718600000000003</v>
      </c>
      <c r="BH13" s="82">
        <f>'Bio-eMeOH plant'!G12</f>
        <v>0.32718600000000003</v>
      </c>
      <c r="BI13" s="82">
        <f>'Bio-eMeOH plant'!H12</f>
        <v>0.32718600000000003</v>
      </c>
      <c r="BJ13">
        <f>'Bio-eMeOH plant'!C14</f>
        <v>4085</v>
      </c>
      <c r="BK13">
        <f>'Bio-eMeOH plant'!D14</f>
        <v>4085</v>
      </c>
      <c r="BL13">
        <f>'Bio-eMeOH plant'!E14</f>
        <v>4085</v>
      </c>
      <c r="BM13">
        <f>'Bio-eMeOH plant'!F14</f>
        <v>4085</v>
      </c>
      <c r="BN13">
        <f>'Bio-eMeOH plant'!G14</f>
        <v>4085</v>
      </c>
      <c r="BO13">
        <f>'Bio-eMeOH plant'!H14</f>
        <v>4085</v>
      </c>
      <c r="BP13">
        <f>'Bio-eMeOH plant'!C15</f>
        <v>578.09675328395804</v>
      </c>
      <c r="BQ13">
        <f>'Bio-eMeOH plant'!D15</f>
        <v>578.09675328395804</v>
      </c>
      <c r="BR13">
        <f>'Bio-eMeOH plant'!E15</f>
        <v>578.09675328395804</v>
      </c>
      <c r="BS13">
        <f>'Bio-eMeOH plant'!F15</f>
        <v>578.09675328395804</v>
      </c>
      <c r="BT13">
        <f>'Bio-eMeOH plant'!G15</f>
        <v>578.09675328395804</v>
      </c>
      <c r="BU13">
        <f>'Bio-eMeOH plant'!H15</f>
        <v>578.09675328395804</v>
      </c>
      <c r="BV13">
        <f>'Bio-eMeOH plant'!C16</f>
        <v>0</v>
      </c>
      <c r="BW13">
        <f>'Bio-eMeOH plant'!D16</f>
        <v>0</v>
      </c>
      <c r="BX13">
        <f>'Bio-eMeOH plant'!E16</f>
        <v>0</v>
      </c>
      <c r="BY13">
        <f>'Bio-eMeOH plant'!F16</f>
        <v>0</v>
      </c>
      <c r="BZ13">
        <f>'Bio-eMeOH plant'!G16</f>
        <v>0</v>
      </c>
      <c r="CA13">
        <f>'Bio-eMeOH plant'!H16</f>
        <v>0</v>
      </c>
      <c r="CB13">
        <f>'Bio-eMeOH plant'!C17</f>
        <v>0</v>
      </c>
      <c r="CC13">
        <f>'Bio-eMeOH plant'!D17</f>
        <v>0</v>
      </c>
      <c r="CD13">
        <f>'Bio-eMeOH plant'!E17</f>
        <v>0</v>
      </c>
      <c r="CE13">
        <f>'Bio-eMeOH plant'!F17</f>
        <v>0</v>
      </c>
      <c r="CF13">
        <f>'Bio-eMeOH plant'!G17</f>
        <v>0</v>
      </c>
      <c r="CG13">
        <f>'Bio-eMeOH plant'!H17</f>
        <v>0</v>
      </c>
      <c r="CH13">
        <v>0</v>
      </c>
      <c r="CI13">
        <v>0</v>
      </c>
      <c r="CJ13">
        <v>0</v>
      </c>
      <c r="CK13">
        <v>0</v>
      </c>
      <c r="CL13">
        <v>0</v>
      </c>
      <c r="CM13">
        <v>0</v>
      </c>
      <c r="CN13">
        <f>'Bio-eMeOH plant'!C19</f>
        <v>18.474666666666668</v>
      </c>
      <c r="CO13">
        <f>'Bio-eMeOH plant'!D19</f>
        <v>18.474666666666668</v>
      </c>
      <c r="CP13">
        <f>'Bio-eMeOH plant'!E19</f>
        <v>18.474666666666668</v>
      </c>
      <c r="CQ13">
        <f t="shared" si="14"/>
        <v>12.322602666666668</v>
      </c>
      <c r="CR13">
        <f t="shared" si="15"/>
        <v>6.1705386666666664</v>
      </c>
      <c r="CS13">
        <f t="shared" si="16"/>
        <v>1.8474666666666667E-2</v>
      </c>
      <c r="CT13">
        <f>'Bio-eMeOH plant'!C20</f>
        <v>0</v>
      </c>
      <c r="CU13">
        <f>'Bio-eMeOH plant'!D20</f>
        <v>0</v>
      </c>
      <c r="CV13">
        <f>'Bio-eMeOH plant'!E20</f>
        <v>0</v>
      </c>
      <c r="CW13">
        <f t="shared" si="11"/>
        <v>0</v>
      </c>
      <c r="CX13">
        <f t="shared" si="12"/>
        <v>0</v>
      </c>
      <c r="CY13">
        <f t="shared" si="13"/>
        <v>0</v>
      </c>
      <c r="CZ13">
        <f>'Bio-eMeOH plant'!C21</f>
        <v>9.3678779051968114E-2</v>
      </c>
      <c r="DA13">
        <f>'Bio-eMeOH plant'!D21</f>
        <v>9.3678779051968114E-2</v>
      </c>
      <c r="DB13">
        <f>'Bio-eMeOH plant'!E21</f>
        <v>9.3678779051968114E-2</v>
      </c>
      <c r="DC13">
        <f>'Bio-eMeOH plant'!F21</f>
        <v>9.3678779051968114E-2</v>
      </c>
      <c r="DD13">
        <f>'Bio-eMeOH plant'!G21</f>
        <v>9.3678779051968114E-2</v>
      </c>
      <c r="DE13">
        <f>'Bio-eMeOH plant'!H21</f>
        <v>9.3678779051968114E-2</v>
      </c>
    </row>
    <row r="14" spans="1:109" x14ac:dyDescent="0.3">
      <c r="A14" s="201"/>
      <c r="B14" s="39" t="s">
        <v>1990</v>
      </c>
      <c r="C14" s="37" t="s">
        <v>1997</v>
      </c>
      <c r="D14" s="17" t="s">
        <v>1933</v>
      </c>
      <c r="E14" s="25">
        <f t="shared" si="8"/>
        <v>7</v>
      </c>
      <c r="F14" s="13">
        <v>1</v>
      </c>
      <c r="G14" s="13" t="s">
        <v>1922</v>
      </c>
      <c r="H14" s="13">
        <v>19.899999999999999</v>
      </c>
      <c r="I14">
        <f>400000*1000*F14</f>
        <v>400000000</v>
      </c>
      <c r="J14" s="5" t="str">
        <f>B21</f>
        <v>Reactant5</v>
      </c>
      <c r="K14">
        <v>0</v>
      </c>
      <c r="L14">
        <v>1</v>
      </c>
      <c r="M14">
        <f>M13</f>
        <v>20000</v>
      </c>
      <c r="N14">
        <v>0</v>
      </c>
      <c r="O14">
        <v>0</v>
      </c>
      <c r="P14">
        <v>0</v>
      </c>
      <c r="Q14">
        <v>0</v>
      </c>
      <c r="R14">
        <v>0</v>
      </c>
      <c r="S14">
        <v>0</v>
      </c>
      <c r="T14">
        <f>'Bio-eMeOH plant'!C32</f>
        <v>9.6506849315068486</v>
      </c>
      <c r="U14">
        <f>'Bio-eMeOH plant'!D32</f>
        <v>9.6506849315068486</v>
      </c>
      <c r="V14">
        <f>'Bio-eMeOH plant'!E32</f>
        <v>9.6506849315068486</v>
      </c>
      <c r="W14">
        <f>'Bio-eMeOH plant'!F32</f>
        <v>9.6506849315068486</v>
      </c>
      <c r="X14">
        <f>'Bio-eMeOH plant'!G32</f>
        <v>9.6506849315068486</v>
      </c>
      <c r="Y14">
        <f>'Bio-eMeOH plant'!H32</f>
        <v>9.6506849315068486</v>
      </c>
      <c r="Z14">
        <f>'Bio-eMeOH plant'!C30</f>
        <v>0.16950600000000002</v>
      </c>
      <c r="AA14">
        <f>'Bio-eMeOH plant'!D30</f>
        <v>0.16950600000000002</v>
      </c>
      <c r="AB14">
        <f>'Bio-eMeOH plant'!E30</f>
        <v>0.16950600000000002</v>
      </c>
      <c r="AC14">
        <f>'Bio-eMeOH plant'!F30</f>
        <v>0.16950600000000002</v>
      </c>
      <c r="AD14">
        <f>'Bio-eMeOH plant'!G30</f>
        <v>0.16950600000000002</v>
      </c>
      <c r="AE14">
        <f>'Bio-eMeOH plant'!H30</f>
        <v>0.16950600000000002</v>
      </c>
      <c r="AF14" s="79">
        <f>'Bio-eMeOH plant'!C26</f>
        <v>0.4</v>
      </c>
      <c r="AG14" s="79">
        <f>'Bio-eMeOH plant'!D26</f>
        <v>0.4</v>
      </c>
      <c r="AH14" s="79">
        <f>'Bio-eMeOH plant'!E26</f>
        <v>0.4</v>
      </c>
      <c r="AI14" s="79">
        <f>'Bio-eMeOH plant'!F26</f>
        <v>0.1</v>
      </c>
      <c r="AJ14" s="79">
        <f>'Bio-eMeOH plant'!G26</f>
        <v>0.1</v>
      </c>
      <c r="AK14" s="79">
        <f>'Bio-eMeOH plant'!H26</f>
        <v>0.1</v>
      </c>
      <c r="AL14" s="79">
        <f>'Bio-eMeOH plant'!C27</f>
        <v>1</v>
      </c>
      <c r="AM14" s="79">
        <f>'Bio-eMeOH plant'!D27</f>
        <v>1</v>
      </c>
      <c r="AN14" s="79">
        <f>'Bio-eMeOH plant'!E27</f>
        <v>1</v>
      </c>
      <c r="AO14" s="79">
        <f>'Bio-eMeOH plant'!F27</f>
        <v>1</v>
      </c>
      <c r="AP14" s="79">
        <f>'Bio-eMeOH plant'!G27</f>
        <v>1</v>
      </c>
      <c r="AQ14" s="79">
        <f>'Bio-eMeOH plant'!H27</f>
        <v>1</v>
      </c>
      <c r="AR14" s="79">
        <f>'Bio-eMeOH plant'!C28</f>
        <v>1</v>
      </c>
      <c r="AS14" s="79">
        <f>'Bio-eMeOH plant'!D28</f>
        <v>1</v>
      </c>
      <c r="AT14" s="79">
        <f>'Bio-eMeOH plant'!E28</f>
        <v>1</v>
      </c>
      <c r="AU14" s="79">
        <f>'Bio-eMeOH plant'!F28</f>
        <v>1</v>
      </c>
      <c r="AV14" s="79">
        <f>'Bio-eMeOH plant'!G28</f>
        <v>1</v>
      </c>
      <c r="AW14" s="79">
        <f>'Bio-eMeOH plant'!H28</f>
        <v>1</v>
      </c>
      <c r="AX14" s="79">
        <f>'Bio-eMeOH plant'!C29</f>
        <v>1</v>
      </c>
      <c r="AY14" s="79">
        <f>'Bio-eMeOH plant'!D29</f>
        <v>1</v>
      </c>
      <c r="AZ14" s="79">
        <f>'Bio-eMeOH plant'!E29</f>
        <v>1</v>
      </c>
      <c r="BA14" s="79">
        <f>'Bio-eMeOH plant'!F29</f>
        <v>1</v>
      </c>
      <c r="BB14" s="79">
        <f>'Bio-eMeOH plant'!G29</f>
        <v>1</v>
      </c>
      <c r="BC14" s="79">
        <f>'Bio-eMeOH plant'!H29</f>
        <v>1</v>
      </c>
      <c r="BD14" s="82">
        <f>'Bio-eMeOH plant'!C31</f>
        <v>0.33112800000000009</v>
      </c>
      <c r="BE14" s="82">
        <f>'Bio-eMeOH plant'!D31</f>
        <v>0.33112800000000009</v>
      </c>
      <c r="BF14" s="82">
        <f>'Bio-eMeOH plant'!E31</f>
        <v>0.33112800000000009</v>
      </c>
      <c r="BG14" s="82">
        <f>'Bio-eMeOH plant'!F31</f>
        <v>0.33112800000000009</v>
      </c>
      <c r="BH14" s="82">
        <f>'Bio-eMeOH plant'!G31</f>
        <v>0.33112800000000009</v>
      </c>
      <c r="BI14" s="82">
        <f>'Bio-eMeOH plant'!H31</f>
        <v>0.33112800000000009</v>
      </c>
      <c r="BJ14">
        <f>'Bio-eMeOH plant'!C33</f>
        <v>4085</v>
      </c>
      <c r="BK14">
        <f>'Bio-eMeOH plant'!D33</f>
        <v>4085</v>
      </c>
      <c r="BL14">
        <f>'Bio-eMeOH plant'!E33</f>
        <v>4085</v>
      </c>
      <c r="BM14">
        <f>'Bio-eMeOH plant'!F33</f>
        <v>4085</v>
      </c>
      <c r="BN14">
        <f>'Bio-eMeOH plant'!G33</f>
        <v>4085</v>
      </c>
      <c r="BO14">
        <f>'Bio-eMeOH plant'!H33</f>
        <v>4085</v>
      </c>
      <c r="BP14">
        <f>'Bio-eMeOH plant'!C34</f>
        <v>578.09675328395804</v>
      </c>
      <c r="BQ14">
        <f>'Bio-eMeOH plant'!D34</f>
        <v>578.09675328395804</v>
      </c>
      <c r="BR14">
        <f>'Bio-eMeOH plant'!E34</f>
        <v>578.09675328395804</v>
      </c>
      <c r="BS14">
        <f>'Bio-eMeOH plant'!F34</f>
        <v>578.09675328395804</v>
      </c>
      <c r="BT14">
        <f>'Bio-eMeOH plant'!G34</f>
        <v>578.09675328395804</v>
      </c>
      <c r="BU14">
        <f>'Bio-eMeOH plant'!H34</f>
        <v>578.09675328395804</v>
      </c>
      <c r="BV14">
        <f>'Bio-eMeOH plant'!C35</f>
        <v>0</v>
      </c>
      <c r="BW14">
        <f>'Bio-eMeOH plant'!D35</f>
        <v>0</v>
      </c>
      <c r="BX14">
        <f>'Bio-eMeOH plant'!E35</f>
        <v>0</v>
      </c>
      <c r="BY14">
        <f>'Bio-eMeOH plant'!F35</f>
        <v>0</v>
      </c>
      <c r="BZ14">
        <f>'Bio-eMeOH plant'!G35</f>
        <v>0</v>
      </c>
      <c r="CA14">
        <f>'Bio-eMeOH plant'!H35</f>
        <v>0</v>
      </c>
      <c r="CB14">
        <f>'Bio-eMeOH plant'!C36</f>
        <v>0</v>
      </c>
      <c r="CC14">
        <f>'Bio-eMeOH plant'!D36</f>
        <v>0</v>
      </c>
      <c r="CD14">
        <f>'Bio-eMeOH plant'!E36</f>
        <v>0</v>
      </c>
      <c r="CE14">
        <f>'Bio-eMeOH plant'!F36</f>
        <v>0</v>
      </c>
      <c r="CF14">
        <f>'Bio-eMeOH plant'!G36</f>
        <v>0</v>
      </c>
      <c r="CG14">
        <f>'Bio-eMeOH plant'!H36</f>
        <v>0</v>
      </c>
      <c r="CH14">
        <v>0</v>
      </c>
      <c r="CI14">
        <v>0</v>
      </c>
      <c r="CJ14">
        <v>0</v>
      </c>
      <c r="CK14">
        <v>0</v>
      </c>
      <c r="CL14">
        <v>0</v>
      </c>
      <c r="CM14">
        <v>0</v>
      </c>
      <c r="CN14">
        <f>'Bio-eMeOH plant'!C38</f>
        <v>18.474666666666668</v>
      </c>
      <c r="CO14">
        <f>'Bio-eMeOH plant'!D38</f>
        <v>18.474666666666668</v>
      </c>
      <c r="CP14">
        <f>'Bio-eMeOH plant'!E38</f>
        <v>18.474666666666668</v>
      </c>
      <c r="CQ14">
        <f t="shared" si="14"/>
        <v>12.322602666666668</v>
      </c>
      <c r="CR14">
        <f t="shared" si="15"/>
        <v>6.1705386666666664</v>
      </c>
      <c r="CS14">
        <f t="shared" si="16"/>
        <v>1.8474666666666667E-2</v>
      </c>
      <c r="CT14">
        <f>'Bio-eMeOH plant'!C39</f>
        <v>0</v>
      </c>
      <c r="CU14">
        <f>'Bio-eMeOH plant'!D39</f>
        <v>0</v>
      </c>
      <c r="CV14">
        <f>'Bio-eMeOH plant'!E39</f>
        <v>0</v>
      </c>
      <c r="CW14">
        <f t="shared" si="11"/>
        <v>0</v>
      </c>
      <c r="CX14">
        <f t="shared" si="12"/>
        <v>0</v>
      </c>
      <c r="CY14">
        <f t="shared" si="13"/>
        <v>0</v>
      </c>
      <c r="CZ14">
        <f>'Bio-eMeOH plant'!C40</f>
        <v>9.3678779051968114E-2</v>
      </c>
      <c r="DA14">
        <f>'Bio-eMeOH plant'!D40</f>
        <v>9.3678779051968114E-2</v>
      </c>
      <c r="DB14">
        <f>'Bio-eMeOH plant'!E40</f>
        <v>9.3678779051968114E-2</v>
      </c>
      <c r="DC14">
        <f>'Bio-eMeOH plant'!F40</f>
        <v>9.3678779051968114E-2</v>
      </c>
      <c r="DD14">
        <f>'Bio-eMeOH plant'!G40</f>
        <v>9.3678779051968114E-2</v>
      </c>
      <c r="DE14">
        <f>'Bio-eMeOH plant'!H40</f>
        <v>9.3678779051968114E-2</v>
      </c>
    </row>
    <row r="15" spans="1:109" x14ac:dyDescent="0.3">
      <c r="A15" s="201"/>
      <c r="B15" s="39" t="s">
        <v>1988</v>
      </c>
      <c r="C15" s="37" t="s">
        <v>1997</v>
      </c>
      <c r="D15" s="17" t="s">
        <v>1935</v>
      </c>
      <c r="E15" s="25">
        <f t="shared" si="8"/>
        <v>8</v>
      </c>
      <c r="F15" s="13">
        <v>1</v>
      </c>
      <c r="G15" s="13" t="s">
        <v>1923</v>
      </c>
      <c r="H15" s="13">
        <v>18.600000000000001</v>
      </c>
      <c r="I15">
        <f>430000*1000*F15</f>
        <v>430000000</v>
      </c>
      <c r="J15" s="5" t="str">
        <f>B22</f>
        <v>Reactant6</v>
      </c>
      <c r="K15">
        <v>0</v>
      </c>
      <c r="L15">
        <v>1</v>
      </c>
      <c r="M15">
        <f>IF('NH3 plant + ASU'!C5="inf",2*M10,'NH3 plant + ASU'!C5)</f>
        <v>20000</v>
      </c>
      <c r="N15">
        <v>0</v>
      </c>
      <c r="O15">
        <v>0</v>
      </c>
      <c r="P15">
        <v>0</v>
      </c>
      <c r="Q15">
        <v>0</v>
      </c>
      <c r="R15">
        <v>0</v>
      </c>
      <c r="S15">
        <v>0</v>
      </c>
      <c r="T15">
        <f>'NH3 plant + ASU'!C12</f>
        <v>5.2910052910052912</v>
      </c>
      <c r="U15">
        <f>'NH3 plant + ASU'!D12</f>
        <v>5.2910052910052912</v>
      </c>
      <c r="V15">
        <f>'NH3 plant + ASU'!E12</f>
        <v>5.2910052910052912</v>
      </c>
      <c r="W15">
        <f>'NH3 plant + ASU'!F12</f>
        <v>5.2910052910052912</v>
      </c>
      <c r="X15">
        <f>'NH3 plant + ASU'!G12</f>
        <v>5.2910052910052912</v>
      </c>
      <c r="Y15">
        <f>'NH3 plant + ASU'!H12</f>
        <v>5.2910052910052912</v>
      </c>
      <c r="Z15">
        <f>'NH3 plant + ASU'!C10</f>
        <v>0.89932604651162795</v>
      </c>
      <c r="AA15">
        <f>'NH3 plant + ASU'!D10</f>
        <v>0.89932604651162795</v>
      </c>
      <c r="AB15">
        <f>'NH3 plant + ASU'!E10</f>
        <v>0.89932604651162795</v>
      </c>
      <c r="AC15">
        <f>'NH3 plant + ASU'!F10</f>
        <v>0.89932604651162795</v>
      </c>
      <c r="AD15">
        <f>'NH3 plant + ASU'!G10</f>
        <v>0.89932604651162795</v>
      </c>
      <c r="AE15">
        <f>'NH3 plant + ASU'!H10</f>
        <v>0.89932604651162795</v>
      </c>
      <c r="AF15" s="79">
        <f>'NH3 plant + ASU'!C6</f>
        <v>0.6</v>
      </c>
      <c r="AG15" s="79">
        <f>'NH3 plant + ASU'!D6</f>
        <v>0.4</v>
      </c>
      <c r="AH15" s="79">
        <f>'NH3 plant + ASU'!E6</f>
        <v>0.1</v>
      </c>
      <c r="AI15" s="79">
        <f>'NH3 plant + ASU'!F6</f>
        <v>0.1</v>
      </c>
      <c r="AJ15" s="79">
        <f>'NH3 plant + ASU'!G6</f>
        <v>0.1</v>
      </c>
      <c r="AK15" s="79">
        <f>'NH3 plant + ASU'!H6</f>
        <v>0.1</v>
      </c>
      <c r="AL15" s="79">
        <f>'NH3 plant + ASU'!C7</f>
        <v>1</v>
      </c>
      <c r="AM15" s="79">
        <f>'NH3 plant + ASU'!D7</f>
        <v>1</v>
      </c>
      <c r="AN15" s="79">
        <f>'NH3 plant + ASU'!E7</f>
        <v>1</v>
      </c>
      <c r="AO15" s="79">
        <f>'NH3 plant + ASU'!F7</f>
        <v>1</v>
      </c>
      <c r="AP15" s="79">
        <f>'NH3 plant + ASU'!G7</f>
        <v>1</v>
      </c>
      <c r="AQ15" s="79">
        <f>'NH3 plant + ASU'!H7</f>
        <v>1</v>
      </c>
      <c r="AR15" s="79">
        <f>'NH3 plant + ASU'!C8</f>
        <v>0.2</v>
      </c>
      <c r="AS15" s="79">
        <f>'NH3 plant + ASU'!D8</f>
        <v>0.2</v>
      </c>
      <c r="AT15" s="79">
        <f>'NH3 plant + ASU'!E8</f>
        <v>0.2</v>
      </c>
      <c r="AU15" s="79">
        <f>'NH3 plant + ASU'!F8</f>
        <v>1</v>
      </c>
      <c r="AV15" s="79">
        <f>'NH3 plant + ASU'!G8</f>
        <v>1</v>
      </c>
      <c r="AW15" s="79">
        <f>'NH3 plant + ASU'!H8</f>
        <v>1</v>
      </c>
      <c r="AX15" s="79">
        <f>'NH3 plant + ASU'!C9</f>
        <v>0.2</v>
      </c>
      <c r="AY15" s="79">
        <f>'NH3 plant + ASU'!D9</f>
        <v>0.2</v>
      </c>
      <c r="AZ15" s="79">
        <f>'NH3 plant + ASU'!E9</f>
        <v>0.2</v>
      </c>
      <c r="BA15" s="79">
        <f>'NH3 plant + ASU'!F9</f>
        <v>1</v>
      </c>
      <c r="BB15" s="79">
        <f>'NH3 plant + ASU'!G9</f>
        <v>1</v>
      </c>
      <c r="BC15" s="79">
        <f>'NH3 plant + ASU'!H9</f>
        <v>1</v>
      </c>
      <c r="BD15">
        <f>'NH3 plant + ASU'!C11</f>
        <v>0.64</v>
      </c>
      <c r="BE15">
        <f>'NH3 plant + ASU'!D11</f>
        <v>0.64</v>
      </c>
      <c r="BF15">
        <f>'NH3 plant + ASU'!E11</f>
        <v>0.64</v>
      </c>
      <c r="BG15">
        <f>'NH3 plant + ASU'!F11</f>
        <v>0.64</v>
      </c>
      <c r="BH15">
        <f>'NH3 plant + ASU'!G11</f>
        <v>0.64</v>
      </c>
      <c r="BI15">
        <f>'NH3 plant + ASU'!H11</f>
        <v>0.64</v>
      </c>
      <c r="BJ15">
        <f>'NH3 plant + ASU'!C13</f>
        <v>4285</v>
      </c>
      <c r="BK15">
        <f>'NH3 plant + ASU'!D13</f>
        <v>4285</v>
      </c>
      <c r="BL15">
        <f>'NH3 plant + ASU'!E13</f>
        <v>4285</v>
      </c>
      <c r="BM15">
        <f>'NH3 plant + ASU'!F13</f>
        <v>4285</v>
      </c>
      <c r="BN15">
        <f>'NH3 plant + ASU'!G13</f>
        <v>4285</v>
      </c>
      <c r="BO15">
        <f>'NH3 plant + ASU'!H13</f>
        <v>4285</v>
      </c>
      <c r="BP15">
        <f>'NH3 plant + ASU'!C14</f>
        <v>601.20242165949537</v>
      </c>
      <c r="BQ15">
        <f>'NH3 plant + ASU'!D14</f>
        <v>601.20242165949537</v>
      </c>
      <c r="BR15">
        <f>'NH3 plant + ASU'!E14</f>
        <v>601.20242165949537</v>
      </c>
      <c r="BS15">
        <f>'NH3 plant + ASU'!F14</f>
        <v>601.20242165949537</v>
      </c>
      <c r="BT15">
        <f>'NH3 plant + ASU'!G14</f>
        <v>601.20242165949537</v>
      </c>
      <c r="BU15">
        <f>'NH3 plant + ASU'!H14</f>
        <v>601.20242165949537</v>
      </c>
      <c r="BV15">
        <f>'NH3 plant + ASU'!C15</f>
        <v>2.0855800000000002E-4</v>
      </c>
      <c r="BW15">
        <f>'NH3 plant + ASU'!D15</f>
        <v>1.0427900000000001E-4</v>
      </c>
      <c r="BX15">
        <f>'NH3 plant + ASU'!E15</f>
        <v>5.2139500000000005E-5</v>
      </c>
      <c r="BY15">
        <f>'NH3 plant + ASU'!F15</f>
        <v>1.0427900000000001E-4</v>
      </c>
      <c r="BZ15">
        <f>'NH3 plant + ASU'!G15</f>
        <v>1.0427900000000001E-4</v>
      </c>
      <c r="CA15">
        <f>'NH3 plant + ASU'!H15</f>
        <v>1.0427900000000001E-4</v>
      </c>
      <c r="CB15">
        <f>0*'NH3 plant + ASU'!C16</f>
        <v>0</v>
      </c>
      <c r="CC15">
        <f>0*'NH3 plant + ASU'!D16</f>
        <v>0</v>
      </c>
      <c r="CD15">
        <f>0*'NH3 plant + ASU'!E16</f>
        <v>0</v>
      </c>
      <c r="CE15">
        <f>0*'NH3 plant + ASU'!F16</f>
        <v>0</v>
      </c>
      <c r="CF15">
        <f>0*'NH3 plant + ASU'!G16</f>
        <v>0</v>
      </c>
      <c r="CG15">
        <f>0*'NH3 plant + ASU'!H16</f>
        <v>0</v>
      </c>
      <c r="CH15">
        <v>0</v>
      </c>
      <c r="CI15">
        <v>0</v>
      </c>
      <c r="CJ15">
        <v>0</v>
      </c>
      <c r="CK15">
        <v>0</v>
      </c>
      <c r="CL15">
        <v>0</v>
      </c>
      <c r="CM15">
        <v>0</v>
      </c>
      <c r="CN15">
        <f>'NH3 plant + ASU'!C19</f>
        <v>22.714018844166667</v>
      </c>
      <c r="CO15">
        <f>'NH3 plant + ASU'!D19</f>
        <v>22.714018844166667</v>
      </c>
      <c r="CP15">
        <f>'NH3 plant + ASU'!E19</f>
        <v>22.714018844166667</v>
      </c>
      <c r="CQ15">
        <f t="shared" si="14"/>
        <v>15.150250569059168</v>
      </c>
      <c r="CR15">
        <f t="shared" si="15"/>
        <v>7.5864822939516658</v>
      </c>
      <c r="CS15">
        <f t="shared" si="16"/>
        <v>2.2714018844166666E-2</v>
      </c>
      <c r="CT15">
        <f>'NH3 plant + ASU'!C20</f>
        <v>0</v>
      </c>
      <c r="CU15">
        <f>'NH3 plant + ASU'!D20</f>
        <v>0</v>
      </c>
      <c r="CV15">
        <f>'NH3 plant + ASU'!E20</f>
        <v>0</v>
      </c>
      <c r="CW15">
        <f t="shared" si="11"/>
        <v>0</v>
      </c>
      <c r="CX15">
        <f t="shared" si="12"/>
        <v>0</v>
      </c>
      <c r="CY15">
        <f t="shared" si="13"/>
        <v>0</v>
      </c>
      <c r="CZ15">
        <f>'NH3 plant + ASU'!C18</f>
        <v>9.3678779051968114E-2</v>
      </c>
      <c r="DA15">
        <f>'NH3 plant + ASU'!D18</f>
        <v>9.3678779051968114E-2</v>
      </c>
      <c r="DB15">
        <f>'NH3 plant + ASU'!E18</f>
        <v>9.3678779051968114E-2</v>
      </c>
      <c r="DC15">
        <f>'NH3 plant + ASU'!F18</f>
        <v>8.9946873351580109E-2</v>
      </c>
      <c r="DD15">
        <f>'NH3 plant + ASU'!G18</f>
        <v>9.3678779051968114E-2</v>
      </c>
      <c r="DE15">
        <f>'NH3 plant + ASU'!H18</f>
        <v>9.3678779051968114E-2</v>
      </c>
    </row>
    <row r="16" spans="1:109" x14ac:dyDescent="0.3">
      <c r="A16" s="201"/>
      <c r="B16" s="39" t="s">
        <v>1988</v>
      </c>
      <c r="C16" s="37" t="s">
        <v>1997</v>
      </c>
      <c r="D16" s="17" t="s">
        <v>1936</v>
      </c>
      <c r="E16" s="25">
        <f t="shared" si="8"/>
        <v>9</v>
      </c>
      <c r="F16" s="13">
        <v>1</v>
      </c>
      <c r="G16" s="13" t="s">
        <v>1924</v>
      </c>
      <c r="H16" s="13">
        <v>18.600000000000001</v>
      </c>
      <c r="I16">
        <f>430000*1000*F16</f>
        <v>430000000</v>
      </c>
      <c r="J16" s="5" t="str">
        <f>B22</f>
        <v>Reactant6</v>
      </c>
      <c r="K16">
        <v>0</v>
      </c>
      <c r="L16">
        <v>1</v>
      </c>
      <c r="M16">
        <f>M15</f>
        <v>20000</v>
      </c>
      <c r="N16">
        <v>0</v>
      </c>
      <c r="O16">
        <v>0</v>
      </c>
      <c r="P16">
        <v>0</v>
      </c>
      <c r="Q16">
        <v>0</v>
      </c>
      <c r="R16">
        <v>0</v>
      </c>
      <c r="S16">
        <v>0</v>
      </c>
      <c r="T16">
        <f>'NH3 plant + ASU'!C31</f>
        <v>5.2910052910052912</v>
      </c>
      <c r="U16">
        <f>'NH3 plant + ASU'!D31</f>
        <v>5.2910052910052912</v>
      </c>
      <c r="V16">
        <f>'NH3 plant + ASU'!E31</f>
        <v>5.2910052910052912</v>
      </c>
      <c r="W16">
        <f>'NH3 plant + ASU'!F31</f>
        <v>5.2910052910052912</v>
      </c>
      <c r="X16">
        <f>'NH3 plant + ASU'!G31</f>
        <v>5.2910052910052912</v>
      </c>
      <c r="Y16">
        <f>'NH3 plant + ASU'!H31</f>
        <v>5.2910052910052912</v>
      </c>
      <c r="Z16">
        <f>'NH3 plant + ASU'!C29</f>
        <v>0.55004651162790696</v>
      </c>
      <c r="AA16">
        <f>'NH3 plant + ASU'!D29</f>
        <v>0.55004651162790696</v>
      </c>
      <c r="AB16">
        <f>'NH3 plant + ASU'!E29</f>
        <v>0.55004651162790696</v>
      </c>
      <c r="AC16">
        <f>'NH3 plant + ASU'!F29</f>
        <v>0.55004651162790696</v>
      </c>
      <c r="AD16">
        <f>'NH3 plant + ASU'!G29</f>
        <v>0.55004651162790696</v>
      </c>
      <c r="AE16">
        <f>'NH3 plant + ASU'!H29</f>
        <v>0.55004651162790696</v>
      </c>
      <c r="AF16" s="79">
        <f>'NH3 plant + ASU'!C25</f>
        <v>0.6</v>
      </c>
      <c r="AG16" s="79">
        <f>'NH3 plant + ASU'!D25</f>
        <v>0.4</v>
      </c>
      <c r="AH16" s="79">
        <f>'NH3 plant + ASU'!E25</f>
        <v>0.1</v>
      </c>
      <c r="AI16" s="79">
        <f>'NH3 plant + ASU'!F25</f>
        <v>0.1</v>
      </c>
      <c r="AJ16" s="79">
        <f>'NH3 plant + ASU'!G25</f>
        <v>0.1</v>
      </c>
      <c r="AK16" s="79">
        <f>'NH3 plant + ASU'!H25</f>
        <v>0.1</v>
      </c>
      <c r="AL16" s="79">
        <f>'NH3 plant + ASU'!C26</f>
        <v>1</v>
      </c>
      <c r="AM16" s="79">
        <f>'NH3 plant + ASU'!D26</f>
        <v>1</v>
      </c>
      <c r="AN16" s="79">
        <f>'NH3 plant + ASU'!E26</f>
        <v>1</v>
      </c>
      <c r="AO16" s="79">
        <f>'NH3 plant + ASU'!F26</f>
        <v>1</v>
      </c>
      <c r="AP16" s="79">
        <f>'NH3 plant + ASU'!G26</f>
        <v>1</v>
      </c>
      <c r="AQ16" s="79">
        <f>'NH3 plant + ASU'!H26</f>
        <v>1</v>
      </c>
      <c r="AR16" s="79">
        <f>'NH3 plant + ASU'!C27</f>
        <v>0.2</v>
      </c>
      <c r="AS16" s="79">
        <f>'NH3 plant + ASU'!D27</f>
        <v>0.2</v>
      </c>
      <c r="AT16" s="79">
        <f>'NH3 plant + ASU'!E27</f>
        <v>0.2</v>
      </c>
      <c r="AU16" s="79">
        <f>'NH3 plant + ASU'!F27</f>
        <v>1</v>
      </c>
      <c r="AV16" s="79">
        <f>'NH3 plant + ASU'!G27</f>
        <v>1</v>
      </c>
      <c r="AW16" s="79">
        <f>'NH3 plant + ASU'!H27</f>
        <v>1</v>
      </c>
      <c r="AX16" s="79">
        <f>'NH3 plant + ASU'!C28</f>
        <v>0.2</v>
      </c>
      <c r="AY16" s="79">
        <f>'NH3 plant + ASU'!D28</f>
        <v>0.2</v>
      </c>
      <c r="AZ16" s="79">
        <f>'NH3 plant + ASU'!E28</f>
        <v>0.2</v>
      </c>
      <c r="BA16" s="79">
        <f>'NH3 plant + ASU'!F28</f>
        <v>1</v>
      </c>
      <c r="BB16" s="79">
        <f>'NH3 plant + ASU'!G28</f>
        <v>1</v>
      </c>
      <c r="BC16" s="79">
        <f>'NH3 plant + ASU'!H28</f>
        <v>1</v>
      </c>
      <c r="BD16">
        <f>'NH3 plant + ASU'!C30</f>
        <v>0.64</v>
      </c>
      <c r="BE16">
        <f>'NH3 plant + ASU'!D30</f>
        <v>0.64</v>
      </c>
      <c r="BF16">
        <f>'NH3 plant + ASU'!E30</f>
        <v>0.64</v>
      </c>
      <c r="BG16">
        <f>'NH3 plant + ASU'!F30</f>
        <v>0.64</v>
      </c>
      <c r="BH16">
        <f>'NH3 plant + ASU'!G30</f>
        <v>0.64</v>
      </c>
      <c r="BI16">
        <f>'NH3 plant + ASU'!H30</f>
        <v>0.64</v>
      </c>
      <c r="BJ16">
        <f>'NH3 plant + ASU'!C32</f>
        <v>4285</v>
      </c>
      <c r="BK16">
        <f>'NH3 plant + ASU'!D32</f>
        <v>4285</v>
      </c>
      <c r="BL16">
        <f>'NH3 plant + ASU'!E32</f>
        <v>4285</v>
      </c>
      <c r="BM16">
        <f>'NH3 plant + ASU'!F32</f>
        <v>4285</v>
      </c>
      <c r="BN16">
        <f>'NH3 plant + ASU'!G32</f>
        <v>4285</v>
      </c>
      <c r="BO16">
        <f>'NH3 plant + ASU'!H32</f>
        <v>4285</v>
      </c>
      <c r="BP16">
        <f>'NH3 plant + ASU'!C33</f>
        <v>601.20242165949537</v>
      </c>
      <c r="BQ16">
        <f>'NH3 plant + ASU'!D33</f>
        <v>601.20242165949537</v>
      </c>
      <c r="BR16">
        <f>'NH3 plant + ASU'!E33</f>
        <v>601.20242165949537</v>
      </c>
      <c r="BS16">
        <f>'NH3 plant + ASU'!F33</f>
        <v>601.20242165949537</v>
      </c>
      <c r="BT16">
        <f>'NH3 plant + ASU'!G33</f>
        <v>601.20242165949537</v>
      </c>
      <c r="BU16">
        <f>'NH3 plant + ASU'!H33</f>
        <v>601.20242165949537</v>
      </c>
      <c r="BV16">
        <f>'NH3 plant + ASU'!C34</f>
        <v>2.0855800000000002E-4</v>
      </c>
      <c r="BW16">
        <f>'NH3 plant + ASU'!D34</f>
        <v>1.0427900000000001E-4</v>
      </c>
      <c r="BX16">
        <f>'NH3 plant + ASU'!E34</f>
        <v>5.2139500000000005E-5</v>
      </c>
      <c r="BY16">
        <f>'NH3 plant + ASU'!F34</f>
        <v>1.0427900000000001E-4</v>
      </c>
      <c r="BZ16">
        <f>'NH3 plant + ASU'!G34</f>
        <v>1.0427900000000001E-4</v>
      </c>
      <c r="CA16">
        <f>'NH3 plant + ASU'!H34</f>
        <v>1.0427900000000001E-4</v>
      </c>
      <c r="CB16">
        <f>0*'NH3 plant + ASU'!C35</f>
        <v>0</v>
      </c>
      <c r="CC16">
        <f>0*'NH3 plant + ASU'!D35</f>
        <v>0</v>
      </c>
      <c r="CD16">
        <f>0*'NH3 plant + ASU'!E35</f>
        <v>0</v>
      </c>
      <c r="CE16">
        <f>0*'NH3 plant + ASU'!F35</f>
        <v>0</v>
      </c>
      <c r="CF16">
        <f>0*'NH3 plant + ASU'!G35</f>
        <v>0</v>
      </c>
      <c r="CG16">
        <f>0*'NH3 plant + ASU'!H35</f>
        <v>0</v>
      </c>
      <c r="CH16">
        <v>0</v>
      </c>
      <c r="CI16">
        <v>0</v>
      </c>
      <c r="CJ16">
        <v>0</v>
      </c>
      <c r="CK16">
        <v>0</v>
      </c>
      <c r="CL16">
        <v>0</v>
      </c>
      <c r="CM16">
        <v>0</v>
      </c>
      <c r="CN16" s="126">
        <f>'NH3 plant + ASU'!C38</f>
        <v>22.714018844166667</v>
      </c>
      <c r="CO16" s="126">
        <f>'NH3 plant + ASU'!D38</f>
        <v>22.714018844166667</v>
      </c>
      <c r="CP16" s="126">
        <f>'NH3 plant + ASU'!E38</f>
        <v>22.714018844166667</v>
      </c>
      <c r="CQ16">
        <f t="shared" si="14"/>
        <v>15.150250569059168</v>
      </c>
      <c r="CR16">
        <f t="shared" si="15"/>
        <v>7.5864822939516658</v>
      </c>
      <c r="CS16">
        <f t="shared" si="16"/>
        <v>2.2714018844166666E-2</v>
      </c>
      <c r="CT16" s="126">
        <f>'NH3 plant + ASU'!C39</f>
        <v>0</v>
      </c>
      <c r="CU16" s="126">
        <f>'NH3 plant + ASU'!D39</f>
        <v>0</v>
      </c>
      <c r="CV16" s="126">
        <f>'NH3 plant + ASU'!E39</f>
        <v>0</v>
      </c>
      <c r="CW16">
        <f t="shared" si="11"/>
        <v>0</v>
      </c>
      <c r="CX16">
        <f t="shared" si="12"/>
        <v>0</v>
      </c>
      <c r="CY16">
        <f t="shared" si="13"/>
        <v>0</v>
      </c>
      <c r="CZ16">
        <f>'NH3 plant + ASU'!C37</f>
        <v>9.3678779051968114E-2</v>
      </c>
      <c r="DA16">
        <f>'NH3 plant + ASU'!D37</f>
        <v>9.3678779051968114E-2</v>
      </c>
      <c r="DB16">
        <f>'NH3 plant + ASU'!E37</f>
        <v>9.3678779051968114E-2</v>
      </c>
      <c r="DC16">
        <f>'NH3 plant + ASU'!F37</f>
        <v>8.9946873351580109E-2</v>
      </c>
      <c r="DD16">
        <f>'NH3 plant + ASU'!G37</f>
        <v>9.3678779051968114E-2</v>
      </c>
      <c r="DE16">
        <f>'NH3 plant + ASU'!H37</f>
        <v>9.3678779051968114E-2</v>
      </c>
    </row>
    <row r="17" spans="1:109" x14ac:dyDescent="0.3">
      <c r="A17" s="201"/>
      <c r="B17" s="164" t="s">
        <v>1991</v>
      </c>
      <c r="C17" s="37" t="str">
        <f>IF(I17&lt;&gt;0,"Min_demand","-")</f>
        <v>-</v>
      </c>
      <c r="D17" s="17" t="s">
        <v>0</v>
      </c>
      <c r="E17" s="25">
        <f t="shared" si="8"/>
        <v>10</v>
      </c>
      <c r="F17" s="13">
        <v>1</v>
      </c>
      <c r="G17" s="13" t="s">
        <v>538</v>
      </c>
      <c r="H17" s="13">
        <v>0</v>
      </c>
      <c r="I17">
        <v>0</v>
      </c>
      <c r="J17" t="s">
        <v>51</v>
      </c>
      <c r="K17">
        <v>0</v>
      </c>
      <c r="L17">
        <v>0</v>
      </c>
      <c r="M17">
        <f>IF(Desalination!C6="inf",20*M18,Desalination!C6)</f>
        <v>400000</v>
      </c>
      <c r="N17">
        <v>0</v>
      </c>
      <c r="O17">
        <v>0</v>
      </c>
      <c r="P17">
        <v>0</v>
      </c>
      <c r="Q17">
        <v>0</v>
      </c>
      <c r="R17">
        <v>0</v>
      </c>
      <c r="S17">
        <v>0</v>
      </c>
      <c r="T17">
        <v>0</v>
      </c>
      <c r="U17">
        <v>0</v>
      </c>
      <c r="V17">
        <v>0</v>
      </c>
      <c r="W17">
        <v>0</v>
      </c>
      <c r="X17">
        <v>0</v>
      </c>
      <c r="Y17">
        <v>0</v>
      </c>
      <c r="Z17">
        <v>0</v>
      </c>
      <c r="AA17">
        <v>0</v>
      </c>
      <c r="AB17">
        <v>0</v>
      </c>
      <c r="AC17">
        <v>0</v>
      </c>
      <c r="AD17">
        <v>0</v>
      </c>
      <c r="AE17">
        <v>0</v>
      </c>
      <c r="AF17" s="79">
        <f>Desalination!C7</f>
        <v>0</v>
      </c>
      <c r="AG17" s="79">
        <f>Desalination!D7</f>
        <v>0</v>
      </c>
      <c r="AH17" s="79">
        <f>Desalination!E7</f>
        <v>0</v>
      </c>
      <c r="AI17" s="79">
        <f>Desalination!F7</f>
        <v>0</v>
      </c>
      <c r="AJ17" s="79">
        <f>Desalination!G7</f>
        <v>0</v>
      </c>
      <c r="AK17" s="79">
        <f>Desalination!H7</f>
        <v>0</v>
      </c>
      <c r="AL17" s="79">
        <v>1</v>
      </c>
      <c r="AM17" s="79">
        <v>1</v>
      </c>
      <c r="AN17" s="79">
        <v>1</v>
      </c>
      <c r="AO17" s="79">
        <v>1</v>
      </c>
      <c r="AP17" s="79">
        <v>1</v>
      </c>
      <c r="AQ17" s="79">
        <v>1</v>
      </c>
      <c r="AR17" s="79">
        <v>1</v>
      </c>
      <c r="AS17" s="79">
        <v>1</v>
      </c>
      <c r="AT17" s="79">
        <v>1</v>
      </c>
      <c r="AU17" s="79">
        <v>1</v>
      </c>
      <c r="AV17" s="79">
        <v>1</v>
      </c>
      <c r="AW17" s="79">
        <v>1</v>
      </c>
      <c r="AX17" s="79">
        <v>1</v>
      </c>
      <c r="AY17" s="79">
        <v>1</v>
      </c>
      <c r="AZ17" s="79">
        <v>1</v>
      </c>
      <c r="BA17" s="79">
        <v>1</v>
      </c>
      <c r="BB17" s="79">
        <v>1</v>
      </c>
      <c r="BC17" s="79">
        <v>1</v>
      </c>
      <c r="BD17">
        <f>Desalination!C8</f>
        <v>4.0000000000000001E-3</v>
      </c>
      <c r="BE17">
        <f>Desalination!D8</f>
        <v>4.0000000000000001E-3</v>
      </c>
      <c r="BF17">
        <f>Desalination!E8</f>
        <v>4.0000000000000001E-3</v>
      </c>
      <c r="BG17">
        <f>Desalination!F8</f>
        <v>4.0000000000000001E-3</v>
      </c>
      <c r="BH17">
        <f>Desalination!G8</f>
        <v>4.0000000000000001E-3</v>
      </c>
      <c r="BI17">
        <f>Desalination!H8</f>
        <v>4.0000000000000001E-3</v>
      </c>
      <c r="BJ17">
        <f>Desalination!C9</f>
        <v>26.145191534958482</v>
      </c>
      <c r="BK17">
        <f>Desalination!D9</f>
        <v>26.145191534958482</v>
      </c>
      <c r="BL17">
        <f>Desalination!E9</f>
        <v>26.145191534958482</v>
      </c>
      <c r="BM17">
        <f>Desalination!F9</f>
        <v>26.145191534958482</v>
      </c>
      <c r="BN17">
        <f>Desalination!G9</f>
        <v>26.145191534958482</v>
      </c>
      <c r="BO17">
        <f>Desalination!H9</f>
        <v>26.145191534958482</v>
      </c>
      <c r="BP17">
        <f>Desalination!C10</f>
        <v>0</v>
      </c>
      <c r="BQ17">
        <f>Desalination!D10</f>
        <v>0</v>
      </c>
      <c r="BR17">
        <f>Desalination!E10</f>
        <v>0</v>
      </c>
      <c r="BS17">
        <f>Desalination!F10</f>
        <v>0</v>
      </c>
      <c r="BT17">
        <f>Desalination!G10</f>
        <v>0</v>
      </c>
      <c r="BU17">
        <f>Desalination!H10</f>
        <v>0</v>
      </c>
      <c r="BV17">
        <f>Desalination!C11</f>
        <v>2.5895169211536745E-4</v>
      </c>
      <c r="BW17">
        <f>Desalination!D11</f>
        <v>2.5895169211536745E-4</v>
      </c>
      <c r="BX17">
        <f>Desalination!E11</f>
        <v>2.5895169211536745E-4</v>
      </c>
      <c r="BY17">
        <f>Desalination!F11</f>
        <v>2.5895169211536745E-4</v>
      </c>
      <c r="BZ17">
        <f>Desalination!G11</f>
        <v>2.5895169211536745E-4</v>
      </c>
      <c r="CA17">
        <f>Desalination!H11</f>
        <v>2.5895169211536745E-4</v>
      </c>
      <c r="CB17">
        <v>0</v>
      </c>
      <c r="CC17">
        <v>0</v>
      </c>
      <c r="CD17">
        <v>0</v>
      </c>
      <c r="CE17">
        <v>0</v>
      </c>
      <c r="CF17">
        <v>0</v>
      </c>
      <c r="CG17">
        <v>0</v>
      </c>
      <c r="CH17">
        <v>0</v>
      </c>
      <c r="CI17">
        <v>0</v>
      </c>
      <c r="CJ17">
        <v>0</v>
      </c>
      <c r="CK17">
        <v>0</v>
      </c>
      <c r="CL17">
        <v>0</v>
      </c>
      <c r="CM17">
        <v>0</v>
      </c>
      <c r="CN17" s="4">
        <f>Desalination!C15</f>
        <v>0</v>
      </c>
      <c r="CO17" s="4">
        <f>Desalination!D15</f>
        <v>0</v>
      </c>
      <c r="CP17" s="4">
        <f>Desalination!E15</f>
        <v>0</v>
      </c>
      <c r="CQ17">
        <f t="shared" si="14"/>
        <v>0</v>
      </c>
      <c r="CR17">
        <f t="shared" si="15"/>
        <v>0</v>
      </c>
      <c r="CS17">
        <f t="shared" si="16"/>
        <v>0</v>
      </c>
      <c r="CT17" s="4">
        <f>Desalination!C16</f>
        <v>0</v>
      </c>
      <c r="CU17" s="4">
        <f>Desalination!D16</f>
        <v>0</v>
      </c>
      <c r="CV17" s="4">
        <f>Desalination!E16</f>
        <v>0</v>
      </c>
      <c r="CW17">
        <f t="shared" si="11"/>
        <v>0</v>
      </c>
      <c r="CX17">
        <f t="shared" si="12"/>
        <v>0</v>
      </c>
      <c r="CY17">
        <f t="shared" si="13"/>
        <v>0</v>
      </c>
      <c r="CZ17">
        <f>Desalination!C14</f>
        <v>0.10185220882315059</v>
      </c>
      <c r="DA17">
        <f>Desalination!D14</f>
        <v>0.10185220882315059</v>
      </c>
      <c r="DB17">
        <f>Desalination!E14</f>
        <v>0.10185220882315059</v>
      </c>
      <c r="DC17">
        <f>Desalination!F14</f>
        <v>0.10185220882315059</v>
      </c>
      <c r="DD17">
        <f>Desalination!G14</f>
        <v>0.10185220882315059</v>
      </c>
      <c r="DE17" s="23">
        <f>Desalination!H14</f>
        <v>0.10185220882315059</v>
      </c>
    </row>
    <row r="18" spans="1:109" x14ac:dyDescent="0.3">
      <c r="A18" s="201"/>
      <c r="B18" s="39" t="s">
        <v>1992</v>
      </c>
      <c r="C18" s="37" t="s">
        <v>764</v>
      </c>
      <c r="D18" s="17" t="s">
        <v>1929</v>
      </c>
      <c r="E18" s="25">
        <f t="shared" si="8"/>
        <v>11</v>
      </c>
      <c r="F18" s="13">
        <v>1</v>
      </c>
      <c r="G18" s="13" t="s">
        <v>1925</v>
      </c>
      <c r="H18" s="13">
        <v>0</v>
      </c>
      <c r="I18">
        <v>0</v>
      </c>
      <c r="J18" s="5" t="str">
        <f>B17</f>
        <v>Reactant7</v>
      </c>
      <c r="K18">
        <v>0</v>
      </c>
      <c r="L18">
        <v>1</v>
      </c>
      <c r="M18">
        <f>IF('Electrolyser + O2+Heat + Grid'!C5="inf",M15/2+M10/2,'Electrolyser + O2+Heat + Grid'!C5)</f>
        <v>20000</v>
      </c>
      <c r="N18">
        <v>1</v>
      </c>
      <c r="O18">
        <v>1</v>
      </c>
      <c r="P18">
        <v>1</v>
      </c>
      <c r="Q18">
        <v>1</v>
      </c>
      <c r="R18">
        <v>1</v>
      </c>
      <c r="S18">
        <v>1</v>
      </c>
      <c r="T18">
        <f>'Electrolyser + O2+Heat + Grid'!C12</f>
        <v>6.7000000000000004E-2</v>
      </c>
      <c r="U18">
        <f>'Electrolyser + O2+Heat + Grid'!D12</f>
        <v>6.7000000000000004E-2</v>
      </c>
      <c r="V18">
        <f>'Electrolyser + O2+Heat + Grid'!E12</f>
        <v>6.7000000000000004E-2</v>
      </c>
      <c r="W18">
        <f>'Electrolyser + O2+Heat + Grid'!F12</f>
        <v>6.7000000000000004E-2</v>
      </c>
      <c r="X18">
        <f>'Electrolyser + O2+Heat + Grid'!G12</f>
        <v>6.7000000000000004E-2</v>
      </c>
      <c r="Y18">
        <f>'Electrolyser + O2+Heat + Grid'!H12</f>
        <v>6.7000000000000004E-2</v>
      </c>
      <c r="Z18">
        <f>'Electrolyser + O2+Heat + Grid'!C10</f>
        <v>7.4620000000000006</v>
      </c>
      <c r="AA18">
        <f>'Electrolyser + O2+Heat + Grid'!D10</f>
        <v>7.2100000000000009</v>
      </c>
      <c r="AB18">
        <f>'Electrolyser + O2+Heat + Grid'!E10</f>
        <v>6.7200000000000006</v>
      </c>
      <c r="AC18">
        <f>'Electrolyser + O2+Heat + Grid'!F10</f>
        <v>5.6759999999999993</v>
      </c>
      <c r="AD18">
        <f>'Electrolyser + O2+Heat + Grid'!G10</f>
        <v>4.6150000000000002</v>
      </c>
      <c r="AE18">
        <f>'Electrolyser + O2+Heat + Grid'!H10</f>
        <v>3.6</v>
      </c>
      <c r="AF18" s="79">
        <f>'Electrolyser + O2+Heat + Grid'!C6</f>
        <v>0</v>
      </c>
      <c r="AG18" s="79">
        <f>'Electrolyser + O2+Heat + Grid'!D6</f>
        <v>0</v>
      </c>
      <c r="AH18" s="79">
        <f>'Electrolyser + O2+Heat + Grid'!E6</f>
        <v>0</v>
      </c>
      <c r="AI18" s="79">
        <f>'Electrolyser + O2+Heat + Grid'!F6</f>
        <v>0</v>
      </c>
      <c r="AJ18" s="79">
        <f>'Electrolyser + O2+Heat + Grid'!G6</f>
        <v>0</v>
      </c>
      <c r="AK18" s="79">
        <f>'Electrolyser + O2+Heat + Grid'!H6</f>
        <v>0</v>
      </c>
      <c r="AL18" s="79">
        <f>'Electrolyser + O2+Heat + Grid'!C7</f>
        <v>1</v>
      </c>
      <c r="AM18" s="79">
        <f>'Electrolyser + O2+Heat + Grid'!D7</f>
        <v>1</v>
      </c>
      <c r="AN18" s="79">
        <f>'Electrolyser + O2+Heat + Grid'!E7</f>
        <v>1</v>
      </c>
      <c r="AO18" s="79">
        <f>'Electrolyser + O2+Heat + Grid'!F7</f>
        <v>1</v>
      </c>
      <c r="AP18" s="79">
        <f>'Electrolyser + O2+Heat + Grid'!G7</f>
        <v>1</v>
      </c>
      <c r="AQ18" s="79">
        <f>'Electrolyser + O2+Heat + Grid'!H7</f>
        <v>1</v>
      </c>
      <c r="AR18" s="79">
        <f>'Electrolyser + O2+Heat + Grid'!C8</f>
        <v>1</v>
      </c>
      <c r="AS18" s="79">
        <f>'Electrolyser + O2+Heat + Grid'!D8</f>
        <v>1</v>
      </c>
      <c r="AT18" s="79">
        <f>'Electrolyser + O2+Heat + Grid'!E8</f>
        <v>1</v>
      </c>
      <c r="AU18" s="79">
        <f>'Electrolyser + O2+Heat + Grid'!F8</f>
        <v>1</v>
      </c>
      <c r="AV18" s="79">
        <f>'Electrolyser + O2+Heat + Grid'!G8</f>
        <v>1</v>
      </c>
      <c r="AW18" s="79">
        <f>'Electrolyser + O2+Heat + Grid'!H8</f>
        <v>1</v>
      </c>
      <c r="AX18" s="79">
        <f>'Electrolyser + O2+Heat + Grid'!C9</f>
        <v>1</v>
      </c>
      <c r="AY18" s="79">
        <f>'Electrolyser + O2+Heat + Grid'!D9</f>
        <v>1</v>
      </c>
      <c r="AZ18" s="79">
        <f>'Electrolyser + O2+Heat + Grid'!E9</f>
        <v>1</v>
      </c>
      <c r="BA18" s="79">
        <f>'Electrolyser + O2+Heat + Grid'!F9</f>
        <v>1</v>
      </c>
      <c r="BB18" s="79">
        <f>'Electrolyser + O2+Heat + Grid'!G9</f>
        <v>1</v>
      </c>
      <c r="BC18" s="79">
        <f>'Electrolyser + O2+Heat + Grid'!H9</f>
        <v>1</v>
      </c>
      <c r="BD18">
        <f>'Electrolyser + O2+Heat + Grid'!C11</f>
        <v>53.3</v>
      </c>
      <c r="BE18">
        <f>'Electrolyser + O2+Heat + Grid'!D11</f>
        <v>51.5</v>
      </c>
      <c r="BF18">
        <f>'Electrolyser + O2+Heat + Grid'!E11</f>
        <v>48</v>
      </c>
      <c r="BG18">
        <f>'Electrolyser + O2+Heat + Grid'!F11</f>
        <v>47.3</v>
      </c>
      <c r="BH18">
        <f>'Electrolyser + O2+Heat + Grid'!G11</f>
        <v>46.15</v>
      </c>
      <c r="BI18">
        <f>'Electrolyser + O2+Heat + Grid'!H11</f>
        <v>45</v>
      </c>
      <c r="BJ18">
        <f>'Electrolyser + O2+Heat + Grid'!C14</f>
        <v>58440.827173081707</v>
      </c>
      <c r="BK18">
        <f>'Electrolyser + O2+Heat + Grid'!D14</f>
        <v>56467.215748850052</v>
      </c>
      <c r="BL18">
        <f>'Electrolyser + O2+Heat + Grid'!E14</f>
        <v>52629.637979510735</v>
      </c>
      <c r="BM18">
        <f>'Electrolyser + O2+Heat + Grid'!F14</f>
        <v>41435.03860818065</v>
      </c>
      <c r="BN18">
        <f>'Electrolyser + O2+Heat + Grid'!G14</f>
        <v>29480.412139691885</v>
      </c>
      <c r="BO18">
        <f>'Electrolyser + O2+Heat + Grid'!H14</f>
        <v>17525.785671203121</v>
      </c>
      <c r="BP18">
        <f>'Electrolyser + O2+Heat + Grid'!C15</f>
        <v>1753.2248151924512</v>
      </c>
      <c r="BQ18">
        <f>'Electrolyser + O2+Heat + Grid'!D15</f>
        <v>1129.344314977001</v>
      </c>
      <c r="BR18">
        <f>'Electrolyser + O2+Heat + Grid'!E15</f>
        <v>1052.5927595902147</v>
      </c>
      <c r="BS18">
        <f>'Electrolyser + O2+Heat + Grid'!F15</f>
        <v>828.70077216361301</v>
      </c>
      <c r="BT18">
        <f>'Electrolyser + O2+Heat + Grid'!G15</f>
        <v>589.60824279383769</v>
      </c>
      <c r="BU18">
        <f>'Electrolyser + O2+Heat + Grid'!H15</f>
        <v>350.51571342406243</v>
      </c>
      <c r="BV18">
        <f>'Electrolyser + O2+Heat + Grid'!C16</f>
        <v>0</v>
      </c>
      <c r="BW18">
        <f>'Electrolyser + O2+Heat + Grid'!D16</f>
        <v>0</v>
      </c>
      <c r="BX18">
        <f>'Electrolyser + O2+Heat + Grid'!E16</f>
        <v>0</v>
      </c>
      <c r="BY18">
        <f>'Electrolyser + O2+Heat + Grid'!F16</f>
        <v>0</v>
      </c>
      <c r="BZ18">
        <f>'Electrolyser + O2+Heat + Grid'!G16</f>
        <v>0</v>
      </c>
      <c r="CA18">
        <f>'Electrolyser + O2+Heat + Grid'!H16</f>
        <v>0</v>
      </c>
      <c r="CB18">
        <v>0</v>
      </c>
      <c r="CC18">
        <v>0</v>
      </c>
      <c r="CD18">
        <v>0</v>
      </c>
      <c r="CE18">
        <v>0</v>
      </c>
      <c r="CF18">
        <v>0</v>
      </c>
      <c r="CG18">
        <v>0</v>
      </c>
      <c r="CH18">
        <v>0</v>
      </c>
      <c r="CI18">
        <v>0</v>
      </c>
      <c r="CJ18">
        <v>0</v>
      </c>
      <c r="CK18">
        <v>0</v>
      </c>
      <c r="CL18">
        <v>0</v>
      </c>
      <c r="CM18">
        <v>0</v>
      </c>
      <c r="CN18">
        <f>'Electrolyser + O2+Heat + Grid'!C19</f>
        <v>121.81376196100278</v>
      </c>
      <c r="CO18">
        <f>'Electrolyser + O2+Heat + Grid'!D19</f>
        <v>117.69997637883009</v>
      </c>
      <c r="CP18">
        <f>'Electrolyser + O2+Heat + Grid'!E19</f>
        <v>109.70094885793873</v>
      </c>
      <c r="CQ18">
        <f t="shared" si="14"/>
        <v>78.505884244679677</v>
      </c>
      <c r="CR18">
        <f t="shared" si="15"/>
        <v>39.311792110529247</v>
      </c>
      <c r="CS18">
        <f t="shared" si="16"/>
        <v>0.11769997637883009</v>
      </c>
      <c r="CT18">
        <f>'Electrolyser + O2+Heat + Grid'!C20</f>
        <v>0</v>
      </c>
      <c r="CU18">
        <f>'Electrolyser + O2+Heat + Grid'!D20</f>
        <v>0</v>
      </c>
      <c r="CV18">
        <f>'Electrolyser + O2+Heat + Grid'!E20</f>
        <v>0</v>
      </c>
      <c r="CW18">
        <f t="shared" si="11"/>
        <v>0</v>
      </c>
      <c r="CX18">
        <f t="shared" si="12"/>
        <v>0</v>
      </c>
      <c r="CY18">
        <f t="shared" si="13"/>
        <v>0</v>
      </c>
      <c r="CZ18">
        <f>'Electrolyser + O2+Heat + Grid'!C18</f>
        <v>9.3678779051968114E-2</v>
      </c>
      <c r="DA18">
        <f>'Electrolyser + O2+Heat + Grid'!D18</f>
        <v>9.3678779051968114E-2</v>
      </c>
      <c r="DB18">
        <f>'Electrolyser + O2+Heat + Grid'!E18</f>
        <v>9.3678779051968114E-2</v>
      </c>
      <c r="DC18">
        <f>'Electrolyser + O2+Heat + Grid'!F18</f>
        <v>9.3678779051968114E-2</v>
      </c>
      <c r="DD18">
        <f>'Electrolyser + O2+Heat + Grid'!G18</f>
        <v>9.3678779051968114E-2</v>
      </c>
      <c r="DE18">
        <f>'Electrolyser + O2+Heat + Grid'!H18</f>
        <v>9.3678779051968114E-2</v>
      </c>
    </row>
    <row r="19" spans="1:109" x14ac:dyDescent="0.3">
      <c r="A19" s="201"/>
      <c r="B19" s="39" t="s">
        <v>1992</v>
      </c>
      <c r="C19" s="37" t="s">
        <v>764</v>
      </c>
      <c r="D19" s="17" t="s">
        <v>1916</v>
      </c>
      <c r="E19" s="25">
        <f t="shared" si="8"/>
        <v>12</v>
      </c>
      <c r="F19" s="13">
        <v>1</v>
      </c>
      <c r="G19" s="13" t="s">
        <v>2005</v>
      </c>
      <c r="H19" s="13">
        <v>0</v>
      </c>
      <c r="I19">
        <v>0</v>
      </c>
      <c r="J19" s="5" t="str">
        <f>B17</f>
        <v>Reactant7</v>
      </c>
      <c r="K19">
        <v>0</v>
      </c>
      <c r="L19">
        <v>1</v>
      </c>
      <c r="M19">
        <f>M18</f>
        <v>20000</v>
      </c>
      <c r="N19">
        <v>1</v>
      </c>
      <c r="O19">
        <v>1</v>
      </c>
      <c r="P19">
        <v>1</v>
      </c>
      <c r="Q19">
        <v>1</v>
      </c>
      <c r="R19">
        <v>1</v>
      </c>
      <c r="S19">
        <v>1</v>
      </c>
      <c r="T19">
        <f>'Electrolyser + O2+Heat + Grid'!C31</f>
        <v>6.7000000000000004E-2</v>
      </c>
      <c r="U19">
        <f>'Electrolyser + O2+Heat + Grid'!D31</f>
        <v>6.7000000000000004E-2</v>
      </c>
      <c r="V19">
        <f>'Electrolyser + O2+Heat + Grid'!E31</f>
        <v>6.7000000000000004E-2</v>
      </c>
      <c r="W19">
        <f>'Electrolyser + O2+Heat + Grid'!F31</f>
        <v>6.7000000000000004E-2</v>
      </c>
      <c r="X19">
        <f>'Electrolyser + O2+Heat + Grid'!G31</f>
        <v>6.7000000000000004E-2</v>
      </c>
      <c r="Y19">
        <f>'Electrolyser + O2+Heat + Grid'!H31</f>
        <v>6.7000000000000004E-2</v>
      </c>
      <c r="Z19">
        <f>'Electrolyser + O2+Heat + Grid'!C29</f>
        <v>0</v>
      </c>
      <c r="AA19">
        <f>'Electrolyser + O2+Heat + Grid'!D29</f>
        <v>0</v>
      </c>
      <c r="AB19">
        <f>'Electrolyser + O2+Heat + Grid'!E29</f>
        <v>0</v>
      </c>
      <c r="AC19">
        <f>'Electrolyser + O2+Heat + Grid'!F29</f>
        <v>0</v>
      </c>
      <c r="AD19">
        <f>'Electrolyser + O2+Heat + Grid'!G29</f>
        <v>0</v>
      </c>
      <c r="AE19">
        <f>'Electrolyser + O2+Heat + Grid'!H29</f>
        <v>0</v>
      </c>
      <c r="AF19" s="79">
        <f>'Electrolyser + O2+Heat + Grid'!C25</f>
        <v>0</v>
      </c>
      <c r="AG19" s="79">
        <f>'Electrolyser + O2+Heat + Grid'!D25</f>
        <v>0</v>
      </c>
      <c r="AH19" s="79">
        <f>'Electrolyser + O2+Heat + Grid'!E25</f>
        <v>0</v>
      </c>
      <c r="AI19" s="79">
        <f>'Electrolyser + O2+Heat + Grid'!F25</f>
        <v>0</v>
      </c>
      <c r="AJ19" s="79">
        <f>'Electrolyser + O2+Heat + Grid'!G25</f>
        <v>0</v>
      </c>
      <c r="AK19" s="79">
        <f>'Electrolyser + O2+Heat + Grid'!H25</f>
        <v>0</v>
      </c>
      <c r="AL19" s="79">
        <f>'Electrolyser + O2+Heat + Grid'!C26</f>
        <v>1</v>
      </c>
      <c r="AM19" s="79">
        <f>'Electrolyser + O2+Heat + Grid'!D26</f>
        <v>1</v>
      </c>
      <c r="AN19" s="79">
        <f>'Electrolyser + O2+Heat + Grid'!E26</f>
        <v>1</v>
      </c>
      <c r="AO19" s="79">
        <f>'Electrolyser + O2+Heat + Grid'!F26</f>
        <v>1</v>
      </c>
      <c r="AP19" s="79">
        <f>'Electrolyser + O2+Heat + Grid'!G26</f>
        <v>1</v>
      </c>
      <c r="AQ19" s="79">
        <f>'Electrolyser + O2+Heat + Grid'!H26</f>
        <v>1</v>
      </c>
      <c r="AR19" s="79">
        <f>'Electrolyser + O2+Heat + Grid'!C27</f>
        <v>1</v>
      </c>
      <c r="AS19" s="79">
        <f>'Electrolyser + O2+Heat + Grid'!D27</f>
        <v>1</v>
      </c>
      <c r="AT19" s="79">
        <f>'Electrolyser + O2+Heat + Grid'!E27</f>
        <v>1</v>
      </c>
      <c r="AU19" s="79">
        <f>'Electrolyser + O2+Heat + Grid'!F27</f>
        <v>1</v>
      </c>
      <c r="AV19" s="79">
        <f>'Electrolyser + O2+Heat + Grid'!G27</f>
        <v>1</v>
      </c>
      <c r="AW19" s="79">
        <f>'Electrolyser + O2+Heat + Grid'!H27</f>
        <v>1</v>
      </c>
      <c r="AX19" s="79">
        <f>'Electrolyser + O2+Heat + Grid'!C28</f>
        <v>1</v>
      </c>
      <c r="AY19" s="79">
        <f>'Electrolyser + O2+Heat + Grid'!D28</f>
        <v>1</v>
      </c>
      <c r="AZ19" s="79">
        <f>'Electrolyser + O2+Heat + Grid'!E28</f>
        <v>1</v>
      </c>
      <c r="BA19" s="79">
        <f>'Electrolyser + O2+Heat + Grid'!F28</f>
        <v>1</v>
      </c>
      <c r="BB19" s="79">
        <f>'Electrolyser + O2+Heat + Grid'!G28</f>
        <v>1</v>
      </c>
      <c r="BC19" s="79">
        <f>'Electrolyser + O2+Heat + Grid'!H28</f>
        <v>1</v>
      </c>
      <c r="BD19">
        <f>'Electrolyser + O2+Heat + Grid'!C30</f>
        <v>46.6</v>
      </c>
      <c r="BE19">
        <f>'Electrolyser + O2+Heat + Grid'!D30</f>
        <v>37.9</v>
      </c>
      <c r="BF19">
        <f>'Electrolyser + O2+Heat + Grid'!E30</f>
        <v>37.9</v>
      </c>
      <c r="BG19">
        <f>'Electrolyser + O2+Heat + Grid'!F30</f>
        <v>37.9</v>
      </c>
      <c r="BH19">
        <f>'Electrolyser + O2+Heat + Grid'!G30</f>
        <v>37.9</v>
      </c>
      <c r="BI19">
        <f>'Electrolyser + O2+Heat + Grid'!H30</f>
        <v>37.9</v>
      </c>
      <c r="BJ19">
        <f>'Electrolyser + O2+Heat + Grid'!C33</f>
        <v>161677.43415770328</v>
      </c>
      <c r="BK19">
        <f>'Electrolyser + O2+Heat + Grid'!D33</f>
        <v>131493.020484484</v>
      </c>
      <c r="BL19">
        <f>'Electrolyser + O2+Heat + Grid'!E33</f>
        <v>131493.020484484</v>
      </c>
      <c r="BM19">
        <f>'Electrolyser + O2+Heat + Grid'!F33</f>
        <v>51493.887665355403</v>
      </c>
      <c r="BN19">
        <f>'Electrolyser + O2+Heat + Grid'!G33</f>
        <v>34532.079139529087</v>
      </c>
      <c r="BO19">
        <f>'Electrolyser + O2+Heat + Grid'!H33</f>
        <v>17570.270613702771</v>
      </c>
      <c r="BP19">
        <f>'Electrolyser + O2+Heat + Grid'!C34</f>
        <v>4850.3230247310976</v>
      </c>
      <c r="BQ19">
        <f>'Electrolyser + O2+Heat + Grid'!D34</f>
        <v>3944.79061453452</v>
      </c>
      <c r="BR19">
        <f>'Electrolyser + O2+Heat + Grid'!E34</f>
        <v>3944.79061453452</v>
      </c>
      <c r="BS19">
        <f>'Electrolyser + O2+Heat + Grid'!F34</f>
        <v>1544.8166299606621</v>
      </c>
      <c r="BT19">
        <f>'Electrolyser + O2+Heat + Grid'!G34</f>
        <v>1035.9623741858727</v>
      </c>
      <c r="BU19">
        <f>'Electrolyser + O2+Heat + Grid'!H34</f>
        <v>527.10811841108307</v>
      </c>
      <c r="BV19">
        <f>'Electrolyser + O2+Heat + Grid'!C35</f>
        <v>0</v>
      </c>
      <c r="BW19">
        <f>'Electrolyser + O2+Heat + Grid'!D35</f>
        <v>0</v>
      </c>
      <c r="BX19">
        <f>'Electrolyser + O2+Heat + Grid'!E35</f>
        <v>0</v>
      </c>
      <c r="BY19">
        <f>'Electrolyser + O2+Heat + Grid'!F35</f>
        <v>0</v>
      </c>
      <c r="BZ19">
        <f>'Electrolyser + O2+Heat + Grid'!G35</f>
        <v>0</v>
      </c>
      <c r="CA19">
        <f>'Electrolyser + O2+Heat + Grid'!H35</f>
        <v>0</v>
      </c>
      <c r="CB19">
        <f>'Electrolyser + O2+Heat + Grid'!C35</f>
        <v>0</v>
      </c>
      <c r="CC19">
        <f>'Electrolyser + O2+Heat + Grid'!D35</f>
        <v>0</v>
      </c>
      <c r="CD19">
        <f>'Electrolyser + O2+Heat + Grid'!E35</f>
        <v>0</v>
      </c>
      <c r="CE19">
        <f>'Electrolyser + O2+Heat + Grid'!F35</f>
        <v>0</v>
      </c>
      <c r="CF19">
        <f>'Electrolyser + O2+Heat + Grid'!G35</f>
        <v>0</v>
      </c>
      <c r="CG19">
        <f>'Electrolyser + O2+Heat + Grid'!H35</f>
        <v>0</v>
      </c>
      <c r="CH19">
        <v>0</v>
      </c>
      <c r="CI19">
        <v>0</v>
      </c>
      <c r="CJ19">
        <v>0</v>
      </c>
      <c r="CK19">
        <v>0</v>
      </c>
      <c r="CL19">
        <v>0</v>
      </c>
      <c r="CM19">
        <v>0</v>
      </c>
      <c r="CN19" s="126">
        <f>'Electrolyser + O2+Heat + Grid'!C38</f>
        <v>127.29937324137931</v>
      </c>
      <c r="CO19" s="126">
        <f>'Electrolyser + O2+Heat + Grid'!D38</f>
        <v>103.53318124137931</v>
      </c>
      <c r="CP19" s="126">
        <f>'Electrolyser + O2+Heat + Grid'!E38</f>
        <v>103.53318124137931</v>
      </c>
      <c r="CQ19">
        <f t="shared" si="14"/>
        <v>69.056631887999998</v>
      </c>
      <c r="CR19">
        <f t="shared" si="15"/>
        <v>34.580082534620686</v>
      </c>
      <c r="CS19">
        <f t="shared" si="16"/>
        <v>0.10353318124137931</v>
      </c>
      <c r="CT19" s="126">
        <f>'Electrolyser + O2+Heat + Grid'!C39</f>
        <v>0</v>
      </c>
      <c r="CU19" s="126">
        <f>'Electrolyser + O2+Heat + Grid'!D39</f>
        <v>0</v>
      </c>
      <c r="CV19" s="126">
        <f>'Electrolyser + O2+Heat + Grid'!E39</f>
        <v>0</v>
      </c>
      <c r="CW19">
        <f t="shared" si="11"/>
        <v>0</v>
      </c>
      <c r="CX19">
        <f t="shared" si="12"/>
        <v>0</v>
      </c>
      <c r="CY19">
        <f t="shared" si="13"/>
        <v>0</v>
      </c>
      <c r="CZ19">
        <f>'Electrolyser + O2+Heat + Grid'!C37</f>
        <v>9.3678779051968114E-2</v>
      </c>
      <c r="DA19">
        <f>'Electrolyser + O2+Heat + Grid'!D37</f>
        <v>9.3678779051968114E-2</v>
      </c>
      <c r="DB19">
        <f>'Electrolyser + O2+Heat + Grid'!E37</f>
        <v>9.3678779051968114E-2</v>
      </c>
      <c r="DC19">
        <f>'Electrolyser + O2+Heat + Grid'!F37</f>
        <v>8.9946873351580109E-2</v>
      </c>
      <c r="DD19">
        <f>'Electrolyser + O2+Heat + Grid'!G37</f>
        <v>9.3678779051968114E-2</v>
      </c>
      <c r="DE19">
        <f>'Electrolyser + O2+Heat + Grid'!H37</f>
        <v>9.3678779051968114E-2</v>
      </c>
    </row>
    <row r="20" spans="1:109" x14ac:dyDescent="0.3">
      <c r="A20" s="201"/>
      <c r="B20" s="164" t="s">
        <v>1993</v>
      </c>
      <c r="C20" s="37" t="str">
        <f>IF(I18&lt;&gt;0,"Min_demand","-")</f>
        <v>-</v>
      </c>
      <c r="D20" s="17" t="s">
        <v>1643</v>
      </c>
      <c r="E20" s="25">
        <f t="shared" si="8"/>
        <v>13</v>
      </c>
      <c r="F20" s="13">
        <v>1</v>
      </c>
      <c r="G20" s="13" t="s">
        <v>1645</v>
      </c>
      <c r="H20" s="13">
        <v>0</v>
      </c>
      <c r="I20" s="82">
        <v>0</v>
      </c>
      <c r="J20" t="s">
        <v>51</v>
      </c>
      <c r="K20">
        <v>0</v>
      </c>
      <c r="L20">
        <v>0</v>
      </c>
      <c r="M20">
        <f>M18</f>
        <v>20000</v>
      </c>
      <c r="N20">
        <v>-1</v>
      </c>
      <c r="O20">
        <v>-1</v>
      </c>
      <c r="P20">
        <v>-1</v>
      </c>
      <c r="Q20">
        <v>-1</v>
      </c>
      <c r="R20">
        <v>-1</v>
      </c>
      <c r="S20">
        <v>-1</v>
      </c>
      <c r="T20" s="82">
        <v>0</v>
      </c>
      <c r="U20" s="82">
        <v>0</v>
      </c>
      <c r="V20" s="82">
        <v>0</v>
      </c>
      <c r="W20" s="82">
        <v>0</v>
      </c>
      <c r="X20" s="82">
        <v>0</v>
      </c>
      <c r="Y20" s="82">
        <v>0</v>
      </c>
      <c r="Z20">
        <v>0</v>
      </c>
      <c r="AA20">
        <v>0</v>
      </c>
      <c r="AB20">
        <v>0</v>
      </c>
      <c r="AC20">
        <v>0</v>
      </c>
      <c r="AD20">
        <v>0</v>
      </c>
      <c r="AE20">
        <v>0</v>
      </c>
      <c r="AF20" s="79">
        <v>0</v>
      </c>
      <c r="AG20" s="79">
        <v>0</v>
      </c>
      <c r="AH20" s="79">
        <v>0</v>
      </c>
      <c r="AI20" s="79">
        <v>0</v>
      </c>
      <c r="AJ20" s="79">
        <v>0</v>
      </c>
      <c r="AK20" s="79">
        <v>0</v>
      </c>
      <c r="AL20" s="79">
        <v>1</v>
      </c>
      <c r="AM20" s="79">
        <v>1</v>
      </c>
      <c r="AN20" s="79">
        <v>1</v>
      </c>
      <c r="AO20" s="79">
        <v>1</v>
      </c>
      <c r="AP20" s="79">
        <v>1</v>
      </c>
      <c r="AQ20" s="79">
        <v>1</v>
      </c>
      <c r="AR20" s="79">
        <v>1</v>
      </c>
      <c r="AS20" s="79">
        <v>1</v>
      </c>
      <c r="AT20" s="79">
        <v>1</v>
      </c>
      <c r="AU20" s="79">
        <v>1</v>
      </c>
      <c r="AV20" s="79">
        <v>1</v>
      </c>
      <c r="AW20" s="79">
        <v>1</v>
      </c>
      <c r="AX20" s="79">
        <v>1</v>
      </c>
      <c r="AY20" s="79">
        <v>1</v>
      </c>
      <c r="AZ20" s="79">
        <v>1</v>
      </c>
      <c r="BA20" s="79">
        <v>1</v>
      </c>
      <c r="BB20" s="79">
        <v>1</v>
      </c>
      <c r="BC20" s="79">
        <v>1</v>
      </c>
      <c r="BD20" s="82">
        <v>0</v>
      </c>
      <c r="BE20" s="82">
        <v>0</v>
      </c>
      <c r="BF20" s="82">
        <v>0</v>
      </c>
      <c r="BG20" s="82">
        <v>0</v>
      </c>
      <c r="BH20" s="82">
        <v>0</v>
      </c>
      <c r="BI20" s="82">
        <v>0</v>
      </c>
      <c r="BJ20" s="82">
        <f>' Storage + Transport'!C74</f>
        <v>0</v>
      </c>
      <c r="BK20" s="82">
        <f>' Storage + Transport'!D74</f>
        <v>0</v>
      </c>
      <c r="BL20" s="82">
        <f>' Storage + Transport'!E74</f>
        <v>0</v>
      </c>
      <c r="BM20" s="82">
        <f>' Storage + Transport'!F74</f>
        <v>0</v>
      </c>
      <c r="BN20" s="82">
        <f>' Storage + Transport'!G74</f>
        <v>0</v>
      </c>
      <c r="BO20" s="82">
        <f>' Storage + Transport'!H74</f>
        <v>0</v>
      </c>
      <c r="BP20" s="82">
        <f>' Storage + Transport'!C76</f>
        <v>0</v>
      </c>
      <c r="BQ20" s="82">
        <f>' Storage + Transport'!D76</f>
        <v>0</v>
      </c>
      <c r="BR20" s="82">
        <f>' Storage + Transport'!E76</f>
        <v>0</v>
      </c>
      <c r="BS20" s="82">
        <f>' Storage + Transport'!F76</f>
        <v>0</v>
      </c>
      <c r="BT20" s="82">
        <f>' Storage + Transport'!G76</f>
        <v>0</v>
      </c>
      <c r="BU20" s="82">
        <f>' Storage + Transport'!H76</f>
        <v>0</v>
      </c>
      <c r="BV20" s="82">
        <v>0</v>
      </c>
      <c r="BW20" s="82">
        <v>0</v>
      </c>
      <c r="BX20" s="82">
        <v>0</v>
      </c>
      <c r="BY20" s="82">
        <v>0</v>
      </c>
      <c r="BZ20" s="82">
        <v>0</v>
      </c>
      <c r="CA20" s="82">
        <v>0</v>
      </c>
      <c r="CB20" s="82">
        <v>0</v>
      </c>
      <c r="CC20" s="82">
        <v>0</v>
      </c>
      <c r="CD20" s="82">
        <v>0</v>
      </c>
      <c r="CE20" s="82">
        <v>0</v>
      </c>
      <c r="CF20" s="82">
        <v>0</v>
      </c>
      <c r="CG20" s="82">
        <v>0</v>
      </c>
      <c r="CH20" s="82">
        <v>0</v>
      </c>
      <c r="CI20" s="82">
        <v>0</v>
      </c>
      <c r="CJ20" s="82">
        <v>0</v>
      </c>
      <c r="CK20" s="82">
        <v>0</v>
      </c>
      <c r="CL20" s="82">
        <v>0</v>
      </c>
      <c r="CM20" s="82">
        <v>0</v>
      </c>
      <c r="CN20" s="82">
        <v>0</v>
      </c>
      <c r="CO20" s="82">
        <v>0</v>
      </c>
      <c r="CP20" s="82">
        <v>0</v>
      </c>
      <c r="CQ20">
        <f t="shared" si="14"/>
        <v>0</v>
      </c>
      <c r="CR20">
        <f t="shared" si="15"/>
        <v>0</v>
      </c>
      <c r="CS20">
        <f t="shared" si="16"/>
        <v>0</v>
      </c>
      <c r="CT20" s="82">
        <v>0</v>
      </c>
      <c r="CU20" s="82">
        <v>0</v>
      </c>
      <c r="CV20" s="82">
        <v>0</v>
      </c>
      <c r="CW20">
        <f t="shared" si="11"/>
        <v>0</v>
      </c>
      <c r="CX20">
        <f t="shared" si="12"/>
        <v>0</v>
      </c>
      <c r="CY20">
        <f t="shared" si="13"/>
        <v>0</v>
      </c>
      <c r="CZ20" s="82">
        <v>0</v>
      </c>
      <c r="DA20" s="82">
        <v>0</v>
      </c>
      <c r="DB20" s="82">
        <v>0</v>
      </c>
      <c r="DC20" s="82">
        <v>0</v>
      </c>
      <c r="DD20" s="82">
        <v>0</v>
      </c>
      <c r="DE20" s="82">
        <v>0</v>
      </c>
    </row>
    <row r="21" spans="1:109" x14ac:dyDescent="0.3">
      <c r="A21" s="201"/>
      <c r="B21" s="164" t="s">
        <v>1994</v>
      </c>
      <c r="C21" s="37" t="str">
        <f>IF(I20&lt;&gt;0,"Min_demand","-")</f>
        <v>-</v>
      </c>
      <c r="D21" s="17" t="s">
        <v>1644</v>
      </c>
      <c r="E21" s="25">
        <f t="shared" si="8"/>
        <v>14</v>
      </c>
      <c r="F21" s="13">
        <v>1</v>
      </c>
      <c r="G21" s="13" t="s">
        <v>1646</v>
      </c>
      <c r="H21" s="13">
        <v>0</v>
      </c>
      <c r="I21" s="82">
        <v>0</v>
      </c>
      <c r="J21" t="s">
        <v>51</v>
      </c>
      <c r="K21">
        <v>0</v>
      </c>
      <c r="L21">
        <v>0</v>
      </c>
      <c r="M21">
        <f>M20</f>
        <v>20000</v>
      </c>
      <c r="N21">
        <v>-1</v>
      </c>
      <c r="O21">
        <v>-1</v>
      </c>
      <c r="P21">
        <v>-1</v>
      </c>
      <c r="Q21">
        <v>-1</v>
      </c>
      <c r="R21">
        <v>-1</v>
      </c>
      <c r="S21">
        <v>-1</v>
      </c>
      <c r="T21" s="82">
        <v>0</v>
      </c>
      <c r="U21" s="82">
        <v>0</v>
      </c>
      <c r="V21" s="82">
        <v>0</v>
      </c>
      <c r="W21" s="82">
        <v>0</v>
      </c>
      <c r="X21" s="82">
        <v>0</v>
      </c>
      <c r="Y21" s="82">
        <v>0</v>
      </c>
      <c r="Z21">
        <v>0</v>
      </c>
      <c r="AA21">
        <v>0</v>
      </c>
      <c r="AB21">
        <v>0</v>
      </c>
      <c r="AC21">
        <v>0</v>
      </c>
      <c r="AD21">
        <v>0</v>
      </c>
      <c r="AE21">
        <v>0</v>
      </c>
      <c r="AF21" s="79">
        <v>0</v>
      </c>
      <c r="AG21" s="79">
        <v>0</v>
      </c>
      <c r="AH21" s="79">
        <v>0</v>
      </c>
      <c r="AI21" s="79">
        <v>0</v>
      </c>
      <c r="AJ21" s="79">
        <v>0</v>
      </c>
      <c r="AK21" s="79">
        <v>0</v>
      </c>
      <c r="AL21" s="79">
        <v>1</v>
      </c>
      <c r="AM21" s="79">
        <v>1</v>
      </c>
      <c r="AN21" s="79">
        <v>1</v>
      </c>
      <c r="AO21" s="79">
        <v>1</v>
      </c>
      <c r="AP21" s="79">
        <v>1</v>
      </c>
      <c r="AQ21" s="79">
        <v>1</v>
      </c>
      <c r="AR21" s="79">
        <v>1</v>
      </c>
      <c r="AS21" s="79">
        <v>1</v>
      </c>
      <c r="AT21" s="79">
        <v>1</v>
      </c>
      <c r="AU21" s="79">
        <v>1</v>
      </c>
      <c r="AV21" s="79">
        <v>1</v>
      </c>
      <c r="AW21" s="79">
        <v>1</v>
      </c>
      <c r="AX21" s="79">
        <v>1</v>
      </c>
      <c r="AY21" s="79">
        <v>1</v>
      </c>
      <c r="AZ21" s="79">
        <v>1</v>
      </c>
      <c r="BA21" s="79">
        <v>1</v>
      </c>
      <c r="BB21" s="79">
        <v>1</v>
      </c>
      <c r="BC21" s="79">
        <v>1</v>
      </c>
      <c r="BD21" s="82">
        <v>0</v>
      </c>
      <c r="BE21" s="82">
        <v>0</v>
      </c>
      <c r="BF21" s="82">
        <v>0</v>
      </c>
      <c r="BG21" s="82">
        <v>0</v>
      </c>
      <c r="BH21" s="82">
        <v>0</v>
      </c>
      <c r="BI21" s="82">
        <v>0</v>
      </c>
      <c r="BJ21" s="82">
        <f>' Storage + Transport'!C75</f>
        <v>0</v>
      </c>
      <c r="BK21" s="82">
        <f>' Storage + Transport'!D75</f>
        <v>0</v>
      </c>
      <c r="BL21" s="82">
        <f>' Storage + Transport'!E75</f>
        <v>0</v>
      </c>
      <c r="BM21" s="82">
        <f>' Storage + Transport'!F75</f>
        <v>0</v>
      </c>
      <c r="BN21" s="82">
        <f>' Storage + Transport'!G75</f>
        <v>0</v>
      </c>
      <c r="BO21" s="82">
        <f>' Storage + Transport'!H75</f>
        <v>0</v>
      </c>
      <c r="BP21" s="82">
        <v>0</v>
      </c>
      <c r="BQ21" s="82">
        <v>0</v>
      </c>
      <c r="BR21" s="82">
        <v>0</v>
      </c>
      <c r="BS21" s="82">
        <f>' Storage + Transport'!F77</f>
        <v>0</v>
      </c>
      <c r="BT21" s="82">
        <f>' Storage + Transport'!G77</f>
        <v>0</v>
      </c>
      <c r="BU21" s="82">
        <f>' Storage + Transport'!H77</f>
        <v>0</v>
      </c>
      <c r="BV21" s="82">
        <v>0</v>
      </c>
      <c r="BW21" s="82">
        <v>0</v>
      </c>
      <c r="BX21" s="82">
        <v>0</v>
      </c>
      <c r="BY21" s="82">
        <v>0</v>
      </c>
      <c r="BZ21" s="82">
        <v>0</v>
      </c>
      <c r="CA21" s="82">
        <v>0</v>
      </c>
      <c r="CB21" s="82">
        <v>0</v>
      </c>
      <c r="CC21" s="82">
        <v>0</v>
      </c>
      <c r="CD21" s="82">
        <v>0</v>
      </c>
      <c r="CE21" s="82">
        <v>0</v>
      </c>
      <c r="CF21" s="82">
        <v>0</v>
      </c>
      <c r="CG21" s="82">
        <v>0</v>
      </c>
      <c r="CH21" s="82">
        <v>0</v>
      </c>
      <c r="CI21" s="82">
        <v>0</v>
      </c>
      <c r="CJ21" s="82">
        <v>0</v>
      </c>
      <c r="CK21" s="82">
        <v>0</v>
      </c>
      <c r="CL21" s="82">
        <v>0</v>
      </c>
      <c r="CM21" s="82">
        <v>0</v>
      </c>
      <c r="CN21" s="82">
        <v>0</v>
      </c>
      <c r="CO21" s="82">
        <v>0</v>
      </c>
      <c r="CP21" s="82">
        <v>0</v>
      </c>
      <c r="CQ21">
        <f t="shared" si="14"/>
        <v>0</v>
      </c>
      <c r="CR21">
        <f t="shared" si="15"/>
        <v>0</v>
      </c>
      <c r="CS21">
        <f t="shared" si="16"/>
        <v>0</v>
      </c>
      <c r="CT21" s="82">
        <v>0</v>
      </c>
      <c r="CU21" s="82">
        <v>0</v>
      </c>
      <c r="CV21" s="82">
        <v>0</v>
      </c>
      <c r="CW21">
        <f t="shared" si="11"/>
        <v>0</v>
      </c>
      <c r="CX21">
        <f t="shared" si="12"/>
        <v>0</v>
      </c>
      <c r="CY21">
        <f t="shared" si="13"/>
        <v>0</v>
      </c>
      <c r="CZ21" s="82">
        <v>0</v>
      </c>
      <c r="DA21" s="82">
        <v>0</v>
      </c>
      <c r="DB21" s="82">
        <v>0</v>
      </c>
      <c r="DC21" s="82">
        <v>0</v>
      </c>
      <c r="DD21" s="82">
        <v>0</v>
      </c>
      <c r="DE21" s="82">
        <v>0</v>
      </c>
    </row>
    <row r="22" spans="1:109" x14ac:dyDescent="0.3">
      <c r="A22" s="201"/>
      <c r="B22" s="164" t="s">
        <v>1995</v>
      </c>
      <c r="C22" s="37" t="str">
        <f>IF(I22&lt;&gt;0,"Min_demand","-")</f>
        <v>-</v>
      </c>
      <c r="D22" s="17" t="s">
        <v>1024</v>
      </c>
      <c r="E22" s="25">
        <f t="shared" si="8"/>
        <v>15</v>
      </c>
      <c r="F22" s="13">
        <v>1</v>
      </c>
      <c r="G22" s="13" t="s">
        <v>1058</v>
      </c>
      <c r="H22" s="13">
        <v>0</v>
      </c>
      <c r="I22" s="82">
        <v>0</v>
      </c>
      <c r="J22" t="s">
        <v>51</v>
      </c>
      <c r="K22">
        <v>0</v>
      </c>
      <c r="L22">
        <v>0</v>
      </c>
      <c r="M22">
        <f>M18</f>
        <v>20000</v>
      </c>
      <c r="N22">
        <v>-1</v>
      </c>
      <c r="O22">
        <v>-1</v>
      </c>
      <c r="P22">
        <v>-1</v>
      </c>
      <c r="Q22">
        <v>-1</v>
      </c>
      <c r="R22">
        <v>-1</v>
      </c>
      <c r="S22">
        <v>-1</v>
      </c>
      <c r="T22" s="82">
        <v>0</v>
      </c>
      <c r="U22" s="82">
        <v>0</v>
      </c>
      <c r="V22" s="82">
        <v>0</v>
      </c>
      <c r="W22" s="82">
        <v>0</v>
      </c>
      <c r="X22" s="82">
        <v>0</v>
      </c>
      <c r="Y22" s="82">
        <v>0</v>
      </c>
      <c r="Z22">
        <v>0</v>
      </c>
      <c r="AA22">
        <v>0</v>
      </c>
      <c r="AB22">
        <v>0</v>
      </c>
      <c r="AC22">
        <v>0</v>
      </c>
      <c r="AD22">
        <v>0</v>
      </c>
      <c r="AE22">
        <v>0</v>
      </c>
      <c r="AF22" s="79">
        <v>0</v>
      </c>
      <c r="AG22" s="79">
        <v>0</v>
      </c>
      <c r="AH22" s="79">
        <v>0</v>
      </c>
      <c r="AI22" s="79">
        <v>0</v>
      </c>
      <c r="AJ22" s="79">
        <v>0</v>
      </c>
      <c r="AK22" s="79">
        <v>0</v>
      </c>
      <c r="AL22" s="79">
        <v>1</v>
      </c>
      <c r="AM22" s="79">
        <v>1</v>
      </c>
      <c r="AN22" s="79">
        <v>1</v>
      </c>
      <c r="AO22" s="79">
        <v>1</v>
      </c>
      <c r="AP22" s="79">
        <v>1</v>
      </c>
      <c r="AQ22" s="79">
        <v>1</v>
      </c>
      <c r="AR22" s="79">
        <v>1</v>
      </c>
      <c r="AS22" s="79">
        <v>1</v>
      </c>
      <c r="AT22" s="79">
        <v>1</v>
      </c>
      <c r="AU22" s="79">
        <v>1</v>
      </c>
      <c r="AV22" s="79">
        <v>1</v>
      </c>
      <c r="AW22" s="79">
        <v>1</v>
      </c>
      <c r="AX22" s="79">
        <v>1</v>
      </c>
      <c r="AY22" s="79">
        <v>1</v>
      </c>
      <c r="AZ22" s="79">
        <v>1</v>
      </c>
      <c r="BA22" s="79">
        <v>1</v>
      </c>
      <c r="BB22" s="79">
        <v>1</v>
      </c>
      <c r="BC22" s="79">
        <v>1</v>
      </c>
      <c r="BD22" s="82">
        <v>0</v>
      </c>
      <c r="BE22" s="82">
        <v>0</v>
      </c>
      <c r="BF22" s="82">
        <v>0</v>
      </c>
      <c r="BG22" s="82">
        <v>0</v>
      </c>
      <c r="BH22" s="82">
        <v>0</v>
      </c>
      <c r="BI22" s="82">
        <v>0</v>
      </c>
      <c r="BJ22" s="82">
        <v>0</v>
      </c>
      <c r="BK22" s="82">
        <v>0</v>
      </c>
      <c r="BL22" s="82">
        <v>0</v>
      </c>
      <c r="BM22" s="82">
        <v>0</v>
      </c>
      <c r="BN22" s="82">
        <v>0</v>
      </c>
      <c r="BO22" s="82">
        <v>0</v>
      </c>
      <c r="BP22" s="82">
        <v>0</v>
      </c>
      <c r="BQ22" s="82">
        <v>0</v>
      </c>
      <c r="BR22" s="82">
        <v>0</v>
      </c>
      <c r="BS22" s="82">
        <v>0</v>
      </c>
      <c r="BT22" s="82">
        <v>0</v>
      </c>
      <c r="BU22" s="82">
        <v>0</v>
      </c>
      <c r="BV22" s="82">
        <v>0</v>
      </c>
      <c r="BW22" s="82">
        <v>0</v>
      </c>
      <c r="BX22" s="82">
        <v>0</v>
      </c>
      <c r="BY22" s="82">
        <v>0</v>
      </c>
      <c r="BZ22" s="82">
        <v>0</v>
      </c>
      <c r="CA22" s="82">
        <v>0</v>
      </c>
      <c r="CB22" s="82">
        <v>0</v>
      </c>
      <c r="CC22" s="82">
        <v>0</v>
      </c>
      <c r="CD22" s="82">
        <v>0</v>
      </c>
      <c r="CE22" s="82">
        <v>0</v>
      </c>
      <c r="CF22" s="82">
        <v>0</v>
      </c>
      <c r="CG22" s="82">
        <v>0</v>
      </c>
      <c r="CH22" s="82">
        <v>0</v>
      </c>
      <c r="CI22" s="82">
        <v>0</v>
      </c>
      <c r="CJ22" s="82">
        <v>0</v>
      </c>
      <c r="CK22" s="82">
        <v>0</v>
      </c>
      <c r="CL22" s="82">
        <v>0</v>
      </c>
      <c r="CM22" s="82">
        <v>0</v>
      </c>
      <c r="CN22" s="82">
        <v>0</v>
      </c>
      <c r="CO22" s="82">
        <v>0</v>
      </c>
      <c r="CP22" s="82">
        <v>0</v>
      </c>
      <c r="CQ22">
        <f t="shared" si="14"/>
        <v>0</v>
      </c>
      <c r="CR22">
        <f t="shared" si="15"/>
        <v>0</v>
      </c>
      <c r="CS22">
        <f t="shared" si="16"/>
        <v>0</v>
      </c>
      <c r="CT22" s="82">
        <v>0</v>
      </c>
      <c r="CU22" s="82">
        <v>0</v>
      </c>
      <c r="CV22" s="82">
        <v>0</v>
      </c>
      <c r="CW22">
        <f t="shared" si="11"/>
        <v>0</v>
      </c>
      <c r="CX22">
        <f t="shared" si="12"/>
        <v>0</v>
      </c>
      <c r="CY22">
        <f t="shared" si="13"/>
        <v>0</v>
      </c>
      <c r="CZ22" s="82">
        <v>0</v>
      </c>
      <c r="DA22" s="82">
        <v>0</v>
      </c>
      <c r="DB22" s="82">
        <v>0</v>
      </c>
      <c r="DC22" s="82">
        <v>0</v>
      </c>
      <c r="DD22" s="82">
        <v>0</v>
      </c>
      <c r="DE22" s="82">
        <v>0</v>
      </c>
    </row>
    <row r="23" spans="1:109" x14ac:dyDescent="0.3">
      <c r="A23" s="201"/>
      <c r="B23" s="39" t="s">
        <v>1091</v>
      </c>
      <c r="C23" s="37" t="s">
        <v>1092</v>
      </c>
      <c r="D23" s="17" t="s">
        <v>1025</v>
      </c>
      <c r="E23" s="25">
        <f t="shared" si="8"/>
        <v>16</v>
      </c>
      <c r="F23" s="13">
        <v>1</v>
      </c>
      <c r="G23" s="13" t="s">
        <v>1059</v>
      </c>
      <c r="H23" s="13">
        <v>0</v>
      </c>
      <c r="I23" s="82">
        <v>0</v>
      </c>
      <c r="J23" t="s">
        <v>51</v>
      </c>
      <c r="K23">
        <v>0</v>
      </c>
      <c r="L23">
        <v>1</v>
      </c>
      <c r="M23">
        <f>M32</f>
        <v>2000000</v>
      </c>
      <c r="N23">
        <v>0</v>
      </c>
      <c r="O23">
        <v>0</v>
      </c>
      <c r="P23">
        <v>0</v>
      </c>
      <c r="Q23">
        <v>0</v>
      </c>
      <c r="R23">
        <v>0</v>
      </c>
      <c r="S23">
        <v>0</v>
      </c>
      <c r="T23" s="82">
        <v>0</v>
      </c>
      <c r="U23" s="82">
        <v>0</v>
      </c>
      <c r="V23" s="82">
        <v>0</v>
      </c>
      <c r="W23" s="82">
        <v>0</v>
      </c>
      <c r="X23" s="82">
        <v>0</v>
      </c>
      <c r="Y23" s="82">
        <v>0</v>
      </c>
      <c r="Z23">
        <v>0</v>
      </c>
      <c r="AA23">
        <v>0</v>
      </c>
      <c r="AB23">
        <v>0</v>
      </c>
      <c r="AC23">
        <v>0</v>
      </c>
      <c r="AD23">
        <v>0</v>
      </c>
      <c r="AE23">
        <v>0</v>
      </c>
      <c r="AF23" s="79">
        <v>0</v>
      </c>
      <c r="AG23" s="79">
        <v>0</v>
      </c>
      <c r="AH23" s="79">
        <v>0</v>
      </c>
      <c r="AI23" s="79">
        <v>0</v>
      </c>
      <c r="AJ23" s="79">
        <v>0</v>
      </c>
      <c r="AK23" s="79">
        <v>0</v>
      </c>
      <c r="AL23" s="79">
        <v>1</v>
      </c>
      <c r="AM23" s="79">
        <v>1</v>
      </c>
      <c r="AN23" s="79">
        <v>1</v>
      </c>
      <c r="AO23" s="79">
        <v>1</v>
      </c>
      <c r="AP23" s="79">
        <v>1</v>
      </c>
      <c r="AQ23" s="79">
        <v>1</v>
      </c>
      <c r="AR23" s="79">
        <v>1</v>
      </c>
      <c r="AS23" s="79">
        <v>1</v>
      </c>
      <c r="AT23" s="79">
        <v>1</v>
      </c>
      <c r="AU23" s="79">
        <v>1</v>
      </c>
      <c r="AV23" s="79">
        <v>1</v>
      </c>
      <c r="AW23" s="79">
        <v>1</v>
      </c>
      <c r="AX23" s="79">
        <v>1</v>
      </c>
      <c r="AY23" s="79">
        <v>1</v>
      </c>
      <c r="AZ23" s="79">
        <v>1</v>
      </c>
      <c r="BA23" s="79">
        <v>1</v>
      </c>
      <c r="BB23" s="79">
        <v>1</v>
      </c>
      <c r="BC23" s="79">
        <v>1</v>
      </c>
      <c r="BD23" s="82">
        <v>0</v>
      </c>
      <c r="BE23" s="82">
        <v>0</v>
      </c>
      <c r="BF23" s="82">
        <v>0</v>
      </c>
      <c r="BG23" s="82">
        <v>0</v>
      </c>
      <c r="BH23" s="82">
        <v>0</v>
      </c>
      <c r="BI23" s="82">
        <v>0</v>
      </c>
      <c r="BJ23" s="82">
        <v>0</v>
      </c>
      <c r="BK23" s="82">
        <v>0</v>
      </c>
      <c r="BL23" s="82">
        <v>0</v>
      </c>
      <c r="BM23" s="82">
        <v>0</v>
      </c>
      <c r="BN23" s="82">
        <v>0</v>
      </c>
      <c r="BO23" s="82">
        <v>0</v>
      </c>
      <c r="BP23" s="82">
        <v>0</v>
      </c>
      <c r="BQ23" s="82">
        <v>0</v>
      </c>
      <c r="BR23" s="82">
        <v>0</v>
      </c>
      <c r="BS23" s="82">
        <v>0</v>
      </c>
      <c r="BT23" s="82">
        <v>0</v>
      </c>
      <c r="BU23" s="82">
        <v>0</v>
      </c>
      <c r="BV23" s="82">
        <v>0</v>
      </c>
      <c r="BW23" s="82">
        <v>0</v>
      </c>
      <c r="BX23" s="82">
        <v>0</v>
      </c>
      <c r="BY23" s="82">
        <v>0</v>
      </c>
      <c r="BZ23" s="82">
        <v>0</v>
      </c>
      <c r="CA23" s="82">
        <v>0</v>
      </c>
      <c r="CB23" s="82">
        <v>0</v>
      </c>
      <c r="CC23" s="82">
        <v>0</v>
      </c>
      <c r="CD23" s="82">
        <v>0</v>
      </c>
      <c r="CE23" s="82">
        <v>0</v>
      </c>
      <c r="CF23" s="82">
        <v>0</v>
      </c>
      <c r="CG23" s="82">
        <v>0</v>
      </c>
      <c r="CH23" s="82">
        <v>0</v>
      </c>
      <c r="CI23" s="82">
        <v>0</v>
      </c>
      <c r="CJ23" s="82">
        <v>0</v>
      </c>
      <c r="CK23" s="82">
        <v>0</v>
      </c>
      <c r="CL23" s="82">
        <v>0</v>
      </c>
      <c r="CM23" s="82">
        <v>0</v>
      </c>
      <c r="CN23" s="82">
        <v>0</v>
      </c>
      <c r="CO23" s="82">
        <v>0</v>
      </c>
      <c r="CP23" s="82">
        <v>0</v>
      </c>
      <c r="CQ23">
        <f t="shared" si="14"/>
        <v>0</v>
      </c>
      <c r="CR23">
        <f t="shared" si="15"/>
        <v>0</v>
      </c>
      <c r="CS23">
        <f t="shared" si="16"/>
        <v>0</v>
      </c>
      <c r="CT23" s="82">
        <v>0</v>
      </c>
      <c r="CU23" s="82">
        <v>0</v>
      </c>
      <c r="CV23" s="82">
        <v>0</v>
      </c>
      <c r="CW23">
        <f t="shared" si="11"/>
        <v>0</v>
      </c>
      <c r="CX23">
        <f t="shared" si="12"/>
        <v>0</v>
      </c>
      <c r="CY23">
        <f t="shared" si="13"/>
        <v>0</v>
      </c>
      <c r="CZ23" s="82">
        <v>0</v>
      </c>
      <c r="DA23" s="82">
        <v>0</v>
      </c>
      <c r="DB23" s="82">
        <v>0</v>
      </c>
      <c r="DC23" s="82">
        <v>0</v>
      </c>
      <c r="DD23" s="82">
        <v>0</v>
      </c>
      <c r="DE23" s="82">
        <v>0</v>
      </c>
    </row>
    <row r="24" spans="1:109" x14ac:dyDescent="0.3">
      <c r="A24" s="201"/>
      <c r="B24" s="39" t="s">
        <v>1093</v>
      </c>
      <c r="C24" s="37" t="s">
        <v>1094</v>
      </c>
      <c r="D24" s="17" t="s">
        <v>1026</v>
      </c>
      <c r="E24" s="25">
        <f t="shared" si="8"/>
        <v>17</v>
      </c>
      <c r="F24" s="13">
        <v>1</v>
      </c>
      <c r="G24" s="13" t="s">
        <v>1060</v>
      </c>
      <c r="H24" s="13">
        <v>0</v>
      </c>
      <c r="I24" s="82">
        <v>0</v>
      </c>
      <c r="J24" t="s">
        <v>51</v>
      </c>
      <c r="K24" s="82">
        <v>0</v>
      </c>
      <c r="L24">
        <v>-1</v>
      </c>
      <c r="M24">
        <f>M32</f>
        <v>2000000</v>
      </c>
      <c r="N24" s="82">
        <v>0</v>
      </c>
      <c r="O24" s="82">
        <v>0</v>
      </c>
      <c r="P24" s="82">
        <v>0</v>
      </c>
      <c r="Q24" s="82">
        <v>0</v>
      </c>
      <c r="R24" s="82">
        <v>0</v>
      </c>
      <c r="S24" s="82">
        <v>0</v>
      </c>
      <c r="T24" s="82">
        <v>0</v>
      </c>
      <c r="U24" s="82">
        <v>0</v>
      </c>
      <c r="V24" s="82">
        <v>0</v>
      </c>
      <c r="W24" s="82">
        <v>0</v>
      </c>
      <c r="X24" s="82">
        <v>0</v>
      </c>
      <c r="Y24" s="82">
        <v>0</v>
      </c>
      <c r="Z24">
        <v>1</v>
      </c>
      <c r="AA24">
        <v>1</v>
      </c>
      <c r="AB24">
        <v>1</v>
      </c>
      <c r="AC24">
        <v>1</v>
      </c>
      <c r="AD24">
        <v>1</v>
      </c>
      <c r="AE24">
        <v>1</v>
      </c>
      <c r="AF24" s="79">
        <v>0</v>
      </c>
      <c r="AG24" s="79">
        <v>0</v>
      </c>
      <c r="AH24" s="79">
        <v>0</v>
      </c>
      <c r="AI24" s="79">
        <v>0</v>
      </c>
      <c r="AJ24" s="79">
        <v>0</v>
      </c>
      <c r="AK24" s="79">
        <v>0</v>
      </c>
      <c r="AL24" s="79">
        <v>1</v>
      </c>
      <c r="AM24" s="79">
        <v>1</v>
      </c>
      <c r="AN24" s="79">
        <v>1</v>
      </c>
      <c r="AO24" s="79">
        <v>1</v>
      </c>
      <c r="AP24" s="79">
        <v>1</v>
      </c>
      <c r="AQ24" s="79">
        <v>1</v>
      </c>
      <c r="AR24" s="79">
        <v>1</v>
      </c>
      <c r="AS24" s="79">
        <v>1</v>
      </c>
      <c r="AT24" s="79">
        <v>1</v>
      </c>
      <c r="AU24" s="79">
        <v>1</v>
      </c>
      <c r="AV24" s="79">
        <v>1</v>
      </c>
      <c r="AW24" s="79">
        <v>1</v>
      </c>
      <c r="AX24" s="79">
        <v>1</v>
      </c>
      <c r="AY24" s="79">
        <v>1</v>
      </c>
      <c r="AZ24" s="79">
        <v>1</v>
      </c>
      <c r="BA24" s="79">
        <v>1</v>
      </c>
      <c r="BB24" s="79">
        <v>1</v>
      </c>
      <c r="BC24" s="79">
        <v>1</v>
      </c>
      <c r="BD24" s="82">
        <v>0</v>
      </c>
      <c r="BE24" s="82">
        <v>0</v>
      </c>
      <c r="BF24" s="82">
        <v>0</v>
      </c>
      <c r="BG24" s="82">
        <v>0</v>
      </c>
      <c r="BH24" s="82">
        <v>0</v>
      </c>
      <c r="BI24" s="82">
        <v>0</v>
      </c>
      <c r="BJ24" s="82">
        <v>0</v>
      </c>
      <c r="BK24" s="82">
        <v>0</v>
      </c>
      <c r="BL24" s="82">
        <v>0</v>
      </c>
      <c r="BM24" s="82">
        <v>0</v>
      </c>
      <c r="BN24" s="82">
        <v>0</v>
      </c>
      <c r="BO24" s="82">
        <v>0</v>
      </c>
      <c r="BP24" s="82">
        <v>0</v>
      </c>
      <c r="BQ24" s="82">
        <v>0</v>
      </c>
      <c r="BR24" s="82">
        <v>0</v>
      </c>
      <c r="BS24" s="82">
        <v>0</v>
      </c>
      <c r="BT24" s="82">
        <v>0</v>
      </c>
      <c r="BU24" s="82">
        <v>0</v>
      </c>
      <c r="BV24" s="82">
        <v>0</v>
      </c>
      <c r="BW24" s="82">
        <v>0</v>
      </c>
      <c r="BX24" s="82">
        <v>0</v>
      </c>
      <c r="BY24" s="82">
        <v>0</v>
      </c>
      <c r="BZ24" s="82">
        <v>0</v>
      </c>
      <c r="CA24" s="82">
        <v>0</v>
      </c>
      <c r="CB24" s="188">
        <f>'Electrolyser + O2+Heat + Grid'!C44</f>
        <v>0.02</v>
      </c>
      <c r="CC24" s="188">
        <f>'Electrolyser + O2+Heat + Grid'!D44</f>
        <v>3.0032352000000005E-2</v>
      </c>
      <c r="CD24" s="82">
        <f>'Electrolyser + O2+Heat + Grid'!E44</f>
        <v>3.0032352000000005E-2</v>
      </c>
      <c r="CE24" s="82">
        <f>'Electrolyser + O2+Heat + Grid'!F44</f>
        <v>0.02</v>
      </c>
      <c r="CF24" s="82">
        <f>'Electrolyser + O2+Heat + Grid'!G44</f>
        <v>0.02</v>
      </c>
      <c r="CG24" s="82">
        <f>'Electrolyser + O2+Heat + Grid'!H44</f>
        <v>0.02</v>
      </c>
      <c r="CH24" s="82">
        <v>0</v>
      </c>
      <c r="CI24" s="82">
        <v>0</v>
      </c>
      <c r="CJ24" s="82">
        <v>0</v>
      </c>
      <c r="CK24" s="82">
        <v>0</v>
      </c>
      <c r="CL24" s="82">
        <v>0</v>
      </c>
      <c r="CM24" s="82">
        <v>0</v>
      </c>
      <c r="CN24" s="82">
        <v>0</v>
      </c>
      <c r="CO24" s="82">
        <v>0</v>
      </c>
      <c r="CP24" s="82">
        <v>0</v>
      </c>
      <c r="CQ24">
        <f t="shared" si="14"/>
        <v>0</v>
      </c>
      <c r="CR24">
        <f t="shared" si="15"/>
        <v>0</v>
      </c>
      <c r="CS24">
        <f t="shared" si="16"/>
        <v>0</v>
      </c>
      <c r="CT24" s="82">
        <v>0</v>
      </c>
      <c r="CU24" s="82">
        <v>0</v>
      </c>
      <c r="CV24" s="82">
        <v>0</v>
      </c>
      <c r="CW24">
        <f t="shared" si="11"/>
        <v>0</v>
      </c>
      <c r="CX24">
        <f t="shared" si="12"/>
        <v>0</v>
      </c>
      <c r="CY24">
        <f t="shared" si="13"/>
        <v>0</v>
      </c>
      <c r="CZ24" s="82">
        <v>0</v>
      </c>
      <c r="DA24" s="82">
        <v>0</v>
      </c>
      <c r="DB24" s="82">
        <v>0</v>
      </c>
      <c r="DC24" s="82">
        <v>0</v>
      </c>
      <c r="DD24" s="82">
        <v>0</v>
      </c>
      <c r="DE24" s="82">
        <v>0</v>
      </c>
    </row>
    <row r="25" spans="1:109" x14ac:dyDescent="0.3">
      <c r="A25" s="201"/>
      <c r="B25" s="39" t="s">
        <v>1996</v>
      </c>
      <c r="C25" s="37" t="s">
        <v>1998</v>
      </c>
      <c r="D25" s="17" t="s">
        <v>1027</v>
      </c>
      <c r="E25" s="25">
        <f t="shared" si="8"/>
        <v>18</v>
      </c>
      <c r="F25" s="13">
        <v>1</v>
      </c>
      <c r="G25" s="13" t="s">
        <v>539</v>
      </c>
      <c r="H25" s="13">
        <v>0</v>
      </c>
      <c r="I25">
        <v>0</v>
      </c>
      <c r="J25" s="5" t="str">
        <f>B18</f>
        <v>Product/Reactant3</v>
      </c>
      <c r="K25">
        <v>0</v>
      </c>
      <c r="L25">
        <v>0</v>
      </c>
      <c r="M25">
        <f>9*M18</f>
        <v>180000</v>
      </c>
      <c r="N25">
        <v>0</v>
      </c>
      <c r="O25">
        <v>0</v>
      </c>
      <c r="P25">
        <v>0</v>
      </c>
      <c r="Q25">
        <v>0</v>
      </c>
      <c r="R25">
        <v>0</v>
      </c>
      <c r="S25">
        <v>0</v>
      </c>
      <c r="T25">
        <f>'Electrolyser + O2+Heat + Grid'!C13</f>
        <v>7.76</v>
      </c>
      <c r="U25">
        <f>'Electrolyser + O2+Heat + Grid'!D13</f>
        <v>7.76</v>
      </c>
      <c r="V25">
        <f>'Electrolyser + O2+Heat + Grid'!E13</f>
        <v>7.76</v>
      </c>
      <c r="W25">
        <f>'Electrolyser + O2+Heat + Grid'!F13</f>
        <v>7.76</v>
      </c>
      <c r="X25">
        <f>'Electrolyser + O2+Heat + Grid'!G13</f>
        <v>7.76</v>
      </c>
      <c r="Y25">
        <f>'Electrolyser + O2+Heat + Grid'!H13</f>
        <v>7.76</v>
      </c>
      <c r="Z25">
        <v>0</v>
      </c>
      <c r="AA25">
        <v>0</v>
      </c>
      <c r="AB25">
        <v>0</v>
      </c>
      <c r="AC25">
        <v>0</v>
      </c>
      <c r="AD25">
        <v>0</v>
      </c>
      <c r="AE25">
        <v>0</v>
      </c>
      <c r="AF25" s="79">
        <v>0</v>
      </c>
      <c r="AG25" s="79">
        <v>0</v>
      </c>
      <c r="AH25" s="79">
        <v>0</v>
      </c>
      <c r="AI25" s="79">
        <v>0</v>
      </c>
      <c r="AJ25" s="79">
        <v>0</v>
      </c>
      <c r="AK25" s="79">
        <v>0</v>
      </c>
      <c r="AL25" s="79">
        <v>1</v>
      </c>
      <c r="AM25" s="79">
        <v>1</v>
      </c>
      <c r="AN25" s="79">
        <v>1</v>
      </c>
      <c r="AO25" s="79">
        <v>1</v>
      </c>
      <c r="AP25" s="79">
        <v>1</v>
      </c>
      <c r="AQ25" s="79">
        <v>1</v>
      </c>
      <c r="AR25" s="79">
        <v>1</v>
      </c>
      <c r="AS25" s="79">
        <v>1</v>
      </c>
      <c r="AT25" s="79">
        <v>1</v>
      </c>
      <c r="AU25" s="79">
        <v>1</v>
      </c>
      <c r="AV25" s="79">
        <v>1</v>
      </c>
      <c r="AW25" s="79">
        <v>1</v>
      </c>
      <c r="AX25" s="79">
        <v>1</v>
      </c>
      <c r="AY25" s="79">
        <v>1</v>
      </c>
      <c r="AZ25" s="79">
        <v>1</v>
      </c>
      <c r="BA25" s="79">
        <v>1</v>
      </c>
      <c r="BB25" s="79">
        <v>1</v>
      </c>
      <c r="BC25" s="79">
        <v>1</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f>'Electrolyser + O2+Heat + Grid'!C43</f>
        <v>2.7E-2</v>
      </c>
      <c r="CC25">
        <f>'Electrolyser + O2+Heat + Grid'!D43</f>
        <v>0.10288700000000001</v>
      </c>
      <c r="CD25">
        <f>'Electrolyser + O2+Heat + Grid'!E43</f>
        <v>0.15</v>
      </c>
      <c r="CE25">
        <f>'Electrolyser + O2+Heat + Grid'!F43</f>
        <v>0.05</v>
      </c>
      <c r="CF25">
        <f>'Electrolyser + O2+Heat + Grid'!G43</f>
        <v>3.85E-2</v>
      </c>
      <c r="CG25">
        <f>'Electrolyser + O2+Heat + Grid'!H43</f>
        <v>2.7E-2</v>
      </c>
      <c r="CH25">
        <v>0</v>
      </c>
      <c r="CI25">
        <v>0</v>
      </c>
      <c r="CJ25">
        <v>0</v>
      </c>
      <c r="CK25">
        <v>0</v>
      </c>
      <c r="CL25">
        <v>0</v>
      </c>
      <c r="CM25">
        <v>0</v>
      </c>
      <c r="CN25" s="82">
        <v>0</v>
      </c>
      <c r="CO25" s="82">
        <v>0</v>
      </c>
      <c r="CP25" s="82">
        <v>0</v>
      </c>
      <c r="CQ25">
        <f t="shared" si="14"/>
        <v>0</v>
      </c>
      <c r="CR25">
        <f t="shared" si="15"/>
        <v>0</v>
      </c>
      <c r="CS25">
        <f t="shared" si="16"/>
        <v>0</v>
      </c>
      <c r="CT25" s="82">
        <v>0</v>
      </c>
      <c r="CU25" s="82">
        <v>0</v>
      </c>
      <c r="CV25" s="82">
        <v>0</v>
      </c>
      <c r="CW25">
        <f t="shared" si="11"/>
        <v>0</v>
      </c>
      <c r="CX25">
        <f t="shared" si="12"/>
        <v>0</v>
      </c>
      <c r="CY25">
        <f t="shared" si="13"/>
        <v>0</v>
      </c>
      <c r="CZ25">
        <v>0</v>
      </c>
      <c r="DA25">
        <v>0</v>
      </c>
      <c r="DB25">
        <v>0</v>
      </c>
      <c r="DC25">
        <v>0</v>
      </c>
      <c r="DD25">
        <v>0</v>
      </c>
      <c r="DE25">
        <v>0</v>
      </c>
    </row>
    <row r="26" spans="1:109" x14ac:dyDescent="0.3">
      <c r="A26" s="201"/>
      <c r="B26" s="39" t="s">
        <v>567</v>
      </c>
      <c r="C26" s="37" t="str">
        <f>IF(I26&lt;&gt;0,"Min_demand","-")</f>
        <v>-</v>
      </c>
      <c r="D26" s="17" t="s">
        <v>1028</v>
      </c>
      <c r="E26" s="25">
        <f t="shared" si="8"/>
        <v>19</v>
      </c>
      <c r="F26" s="13">
        <v>1</v>
      </c>
      <c r="G26" s="13" t="s">
        <v>1061</v>
      </c>
      <c r="H26" s="13">
        <v>0</v>
      </c>
      <c r="I26">
        <v>0</v>
      </c>
      <c r="J26" t="s">
        <v>51</v>
      </c>
      <c r="K26">
        <v>0</v>
      </c>
      <c r="L26">
        <v>0</v>
      </c>
      <c r="M26">
        <f>IF(' Storage + Transport'!C7="inf",M18,' Storage + Transport'!C7)</f>
        <v>20000</v>
      </c>
      <c r="N26" s="82">
        <f>-1-' Storage + Transport'!C12</f>
        <v>-1</v>
      </c>
      <c r="O26" s="82">
        <f>-1-' Storage + Transport'!D12</f>
        <v>-1</v>
      </c>
      <c r="P26" s="82">
        <f>-1-' Storage + Transport'!E12</f>
        <v>-1</v>
      </c>
      <c r="Q26" s="82">
        <f>-1-' Storage + Transport'!F12</f>
        <v>-1</v>
      </c>
      <c r="R26" s="82">
        <f>-1-' Storage + Transport'!G12</f>
        <v>-1</v>
      </c>
      <c r="S26" s="82">
        <f>-1-' Storage + Transport'!H12</f>
        <v>-1</v>
      </c>
      <c r="T26">
        <v>0</v>
      </c>
      <c r="U26">
        <v>0</v>
      </c>
      <c r="V26">
        <v>0</v>
      </c>
      <c r="W26">
        <v>0</v>
      </c>
      <c r="X26">
        <v>0</v>
      </c>
      <c r="Y26">
        <v>0</v>
      </c>
      <c r="Z26">
        <v>0</v>
      </c>
      <c r="AA26">
        <v>0</v>
      </c>
      <c r="AB26">
        <v>0</v>
      </c>
      <c r="AC26">
        <v>0</v>
      </c>
      <c r="AD26">
        <v>0</v>
      </c>
      <c r="AE26">
        <v>0</v>
      </c>
      <c r="AF26" s="79">
        <f>' Storage + Transport'!C8</f>
        <v>0</v>
      </c>
      <c r="AG26" s="79">
        <f>' Storage + Transport'!D8</f>
        <v>0</v>
      </c>
      <c r="AH26" s="79">
        <f>' Storage + Transport'!E8</f>
        <v>0</v>
      </c>
      <c r="AI26" s="79">
        <f>' Storage + Transport'!F8</f>
        <v>0</v>
      </c>
      <c r="AJ26" s="79">
        <f>' Storage + Transport'!G8</f>
        <v>0</v>
      </c>
      <c r="AK26" s="79">
        <f>' Storage + Transport'!H8</f>
        <v>0</v>
      </c>
      <c r="AL26" s="79">
        <f>' Storage + Transport'!C9</f>
        <v>1</v>
      </c>
      <c r="AM26" s="79">
        <f>' Storage + Transport'!D9</f>
        <v>1</v>
      </c>
      <c r="AN26" s="79">
        <f>' Storage + Transport'!E9</f>
        <v>1</v>
      </c>
      <c r="AO26" s="79">
        <f>' Storage + Transport'!F9</f>
        <v>1</v>
      </c>
      <c r="AP26" s="79">
        <f>' Storage + Transport'!G9</f>
        <v>1</v>
      </c>
      <c r="AQ26" s="79">
        <f>' Storage + Transport'!H9</f>
        <v>1</v>
      </c>
      <c r="AR26" s="79">
        <f>' Storage + Transport'!C10</f>
        <v>1</v>
      </c>
      <c r="AS26" s="79">
        <f>' Storage + Transport'!D10</f>
        <v>1</v>
      </c>
      <c r="AT26" s="79">
        <f>' Storage + Transport'!E10</f>
        <v>1</v>
      </c>
      <c r="AU26" s="79">
        <f>' Storage + Transport'!F10</f>
        <v>1</v>
      </c>
      <c r="AV26" s="79">
        <f>' Storage + Transport'!G10</f>
        <v>1</v>
      </c>
      <c r="AW26" s="79">
        <f>' Storage + Transport'!H10</f>
        <v>1</v>
      </c>
      <c r="AX26" s="79">
        <f>' Storage + Transport'!C11</f>
        <v>1</v>
      </c>
      <c r="AY26" s="79">
        <f>' Storage + Transport'!D11</f>
        <v>1</v>
      </c>
      <c r="AZ26" s="79">
        <f>' Storage + Transport'!E11</f>
        <v>1</v>
      </c>
      <c r="BA26" s="79">
        <f>' Storage + Transport'!F11</f>
        <v>1</v>
      </c>
      <c r="BB26" s="79">
        <f>' Storage + Transport'!G11</f>
        <v>1</v>
      </c>
      <c r="BC26" s="79">
        <f>' Storage + Transport'!H11</f>
        <v>1</v>
      </c>
      <c r="BD26">
        <f>' Storage + Transport'!C13</f>
        <v>3</v>
      </c>
      <c r="BE26">
        <f>' Storage + Transport'!D13</f>
        <v>3</v>
      </c>
      <c r="BF26">
        <f>' Storage + Transport'!E13</f>
        <v>3</v>
      </c>
      <c r="BG26">
        <f>' Storage + Transport'!F13</f>
        <v>2.0457695650344849</v>
      </c>
      <c r="BH26">
        <f>' Storage + Transport'!G13</f>
        <v>2.0457695650344849</v>
      </c>
      <c r="BI26">
        <f>' Storage + Transport'!H13</f>
        <v>1.7105094635899025</v>
      </c>
      <c r="BJ26">
        <f>' Storage + Transport'!C14</f>
        <v>11599.548689463636</v>
      </c>
      <c r="BK26">
        <f>' Storage + Transport'!D14</f>
        <v>9091.7699353448279</v>
      </c>
      <c r="BL26">
        <f>' Storage + Transport'!E14</f>
        <v>6192.2265491651224</v>
      </c>
      <c r="BM26">
        <f>' Storage + Transport'!F14</f>
        <v>6982.7586206896558</v>
      </c>
      <c r="BN26">
        <f>' Storage + Transport'!G14</f>
        <v>3338.6314655172414</v>
      </c>
      <c r="BO26">
        <f>' Storage + Transport'!H14</f>
        <v>2427.5996767241381</v>
      </c>
      <c r="BP26">
        <f>' Storage + Transport'!C15</f>
        <v>231.99097378927272</v>
      </c>
      <c r="BQ26">
        <f>' Storage + Transport'!D15</f>
        <v>181.83539870689657</v>
      </c>
      <c r="BR26">
        <f>' Storage + Transport'!E15</f>
        <v>123.84453098330245</v>
      </c>
      <c r="BS26">
        <f>' Storage + Transport'!F15</f>
        <v>139.65517241379311</v>
      </c>
      <c r="BT26">
        <f>' Storage + Transport'!G15</f>
        <v>66.772629310344826</v>
      </c>
      <c r="BU26">
        <f>' Storage + Transport'!H15</f>
        <v>48.551993534482762</v>
      </c>
      <c r="BV26">
        <f>' Storage + Transport'!C16</f>
        <v>0</v>
      </c>
      <c r="BW26">
        <f>' Storage + Transport'!D16</f>
        <v>0</v>
      </c>
      <c r="BX26">
        <f>' Storage + Transport'!E16</f>
        <v>0</v>
      </c>
      <c r="BY26">
        <f>' Storage + Transport'!F16</f>
        <v>0</v>
      </c>
      <c r="BZ26">
        <f>' Storage + Transport'!G16</f>
        <v>0</v>
      </c>
      <c r="CA26">
        <f>' Storage + Transport'!H16</f>
        <v>0</v>
      </c>
      <c r="CB26">
        <v>0</v>
      </c>
      <c r="CC26">
        <v>0</v>
      </c>
      <c r="CD26">
        <v>0</v>
      </c>
      <c r="CE26">
        <v>0</v>
      </c>
      <c r="CF26">
        <v>0</v>
      </c>
      <c r="CG26">
        <v>0</v>
      </c>
      <c r="CH26">
        <v>0</v>
      </c>
      <c r="CI26">
        <v>0</v>
      </c>
      <c r="CJ26">
        <v>0</v>
      </c>
      <c r="CK26">
        <v>0</v>
      </c>
      <c r="CL26">
        <v>0</v>
      </c>
      <c r="CM26">
        <v>0</v>
      </c>
      <c r="CN26">
        <f>' Storage + Transport'!C19</f>
        <v>0</v>
      </c>
      <c r="CO26">
        <f>' Storage + Transport'!D19</f>
        <v>0</v>
      </c>
      <c r="CP26">
        <f>' Storage + Transport'!E19</f>
        <v>0</v>
      </c>
      <c r="CQ26">
        <f t="shared" si="14"/>
        <v>0</v>
      </c>
      <c r="CR26">
        <f t="shared" si="15"/>
        <v>0</v>
      </c>
      <c r="CS26">
        <f t="shared" si="16"/>
        <v>0</v>
      </c>
      <c r="CT26">
        <f>' Storage + Transport'!C20</f>
        <v>0</v>
      </c>
      <c r="CU26">
        <f>' Storage + Transport'!D20</f>
        <v>0</v>
      </c>
      <c r="CV26">
        <f>' Storage + Transport'!E20</f>
        <v>0</v>
      </c>
      <c r="CW26">
        <f t="shared" si="11"/>
        <v>0</v>
      </c>
      <c r="CX26">
        <f t="shared" si="12"/>
        <v>0</v>
      </c>
      <c r="CY26">
        <f t="shared" si="13"/>
        <v>0</v>
      </c>
      <c r="CZ26">
        <f>' Storage + Transport'!C18</f>
        <v>9.3678779051968114E-2</v>
      </c>
      <c r="DA26">
        <f>' Storage + Transport'!D18</f>
        <v>9.3678779051968114E-2</v>
      </c>
      <c r="DB26">
        <f>' Storage + Transport'!E18</f>
        <v>9.3678779051968114E-2</v>
      </c>
      <c r="DC26">
        <f>' Storage + Transport'!F18</f>
        <v>9.3678779051968114E-2</v>
      </c>
      <c r="DD26">
        <f>' Storage + Transport'!G18</f>
        <v>9.3678779051968114E-2</v>
      </c>
      <c r="DE26">
        <f>' Storage + Transport'!H18</f>
        <v>9.3678779051968114E-2</v>
      </c>
    </row>
    <row r="27" spans="1:109" x14ac:dyDescent="0.3">
      <c r="A27" s="201"/>
      <c r="B27" s="39" t="s">
        <v>568</v>
      </c>
      <c r="C27" s="37" t="str">
        <f>IF(I27&lt;&gt;0,"Min_demand","-")</f>
        <v>-</v>
      </c>
      <c r="D27" s="17" t="s">
        <v>1029</v>
      </c>
      <c r="E27" s="25">
        <f t="shared" si="8"/>
        <v>20</v>
      </c>
      <c r="F27" s="13">
        <v>1</v>
      </c>
      <c r="G27" s="13" t="s">
        <v>1062</v>
      </c>
      <c r="H27" s="13">
        <v>0</v>
      </c>
      <c r="I27">
        <v>0</v>
      </c>
      <c r="J27" t="s">
        <v>51</v>
      </c>
      <c r="K27">
        <v>0</v>
      </c>
      <c r="L27">
        <v>0</v>
      </c>
      <c r="M27">
        <f>M26</f>
        <v>20000</v>
      </c>
      <c r="N27">
        <v>1</v>
      </c>
      <c r="O27">
        <v>1</v>
      </c>
      <c r="P27">
        <v>1</v>
      </c>
      <c r="Q27">
        <v>1</v>
      </c>
      <c r="R27">
        <v>1</v>
      </c>
      <c r="S27">
        <v>1</v>
      </c>
      <c r="T27" s="82">
        <v>0</v>
      </c>
      <c r="U27" s="82">
        <v>0</v>
      </c>
      <c r="V27" s="82">
        <v>0</v>
      </c>
      <c r="W27" s="82">
        <v>0</v>
      </c>
      <c r="X27" s="82">
        <v>0</v>
      </c>
      <c r="Y27" s="82">
        <v>0</v>
      </c>
      <c r="Z27">
        <v>0</v>
      </c>
      <c r="AA27">
        <v>0</v>
      </c>
      <c r="AB27">
        <v>0</v>
      </c>
      <c r="AC27">
        <v>0</v>
      </c>
      <c r="AD27">
        <v>0</v>
      </c>
      <c r="AE27">
        <v>0</v>
      </c>
      <c r="AF27" s="79">
        <v>0</v>
      </c>
      <c r="AG27" s="79">
        <v>0</v>
      </c>
      <c r="AH27" s="79">
        <v>0</v>
      </c>
      <c r="AI27" s="79">
        <v>0</v>
      </c>
      <c r="AJ27" s="79">
        <v>0</v>
      </c>
      <c r="AK27" s="79">
        <v>0</v>
      </c>
      <c r="AL27" s="79">
        <v>1</v>
      </c>
      <c r="AM27" s="79">
        <v>1</v>
      </c>
      <c r="AN27" s="79">
        <v>1</v>
      </c>
      <c r="AO27" s="79">
        <v>1</v>
      </c>
      <c r="AP27" s="79">
        <v>1</v>
      </c>
      <c r="AQ27" s="79">
        <v>1</v>
      </c>
      <c r="AR27" s="79">
        <v>1</v>
      </c>
      <c r="AS27" s="79">
        <v>1</v>
      </c>
      <c r="AT27" s="79">
        <v>1</v>
      </c>
      <c r="AU27" s="79">
        <v>1</v>
      </c>
      <c r="AV27" s="79">
        <v>1</v>
      </c>
      <c r="AW27" s="79">
        <v>1</v>
      </c>
      <c r="AX27" s="79">
        <v>1</v>
      </c>
      <c r="AY27" s="79">
        <v>1</v>
      </c>
      <c r="AZ27" s="79">
        <v>1</v>
      </c>
      <c r="BA27" s="79">
        <v>1</v>
      </c>
      <c r="BB27" s="79">
        <v>1</v>
      </c>
      <c r="BC27" s="79">
        <v>1</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f t="shared" si="14"/>
        <v>0</v>
      </c>
      <c r="CR27">
        <f t="shared" si="15"/>
        <v>0</v>
      </c>
      <c r="CS27">
        <f t="shared" si="16"/>
        <v>0</v>
      </c>
      <c r="CT27">
        <v>0</v>
      </c>
      <c r="CU27">
        <v>0</v>
      </c>
      <c r="CV27">
        <v>0</v>
      </c>
      <c r="CW27">
        <f t="shared" si="11"/>
        <v>0</v>
      </c>
      <c r="CX27">
        <f t="shared" si="12"/>
        <v>0</v>
      </c>
      <c r="CY27">
        <f t="shared" si="13"/>
        <v>0</v>
      </c>
      <c r="CZ27">
        <v>0</v>
      </c>
      <c r="DA27">
        <v>0</v>
      </c>
      <c r="DB27">
        <v>0</v>
      </c>
      <c r="DC27">
        <v>0</v>
      </c>
      <c r="DD27">
        <v>0</v>
      </c>
      <c r="DE27">
        <v>0</v>
      </c>
    </row>
    <row r="28" spans="1:109" x14ac:dyDescent="0.3">
      <c r="A28" s="201"/>
      <c r="B28" s="39" t="s">
        <v>566</v>
      </c>
      <c r="C28" s="37" t="str">
        <f>IF(I28&lt;&gt;0,"Min_demand","-")</f>
        <v>-</v>
      </c>
      <c r="D28" s="87" t="s">
        <v>47</v>
      </c>
      <c r="E28" s="25">
        <f t="shared" si="8"/>
        <v>21</v>
      </c>
      <c r="F28" s="13">
        <v>1</v>
      </c>
      <c r="G28" s="13" t="s">
        <v>2008</v>
      </c>
      <c r="H28" s="13">
        <v>0</v>
      </c>
      <c r="I28">
        <v>0</v>
      </c>
      <c r="J28" t="s">
        <v>51</v>
      </c>
      <c r="K28">
        <v>0</v>
      </c>
      <c r="L28">
        <v>0</v>
      </c>
      <c r="M28">
        <f>IF(' Storage + Transport'!C41="inf",M18*1000,' Storage + Transport'!C41)</f>
        <v>20000000</v>
      </c>
      <c r="N28">
        <v>0</v>
      </c>
      <c r="O28">
        <v>0</v>
      </c>
      <c r="P28">
        <v>0</v>
      </c>
      <c r="Q28">
        <v>0</v>
      </c>
      <c r="R28">
        <v>0</v>
      </c>
      <c r="S28">
        <v>0</v>
      </c>
      <c r="T28" s="82">
        <v>0</v>
      </c>
      <c r="U28" s="82">
        <v>0</v>
      </c>
      <c r="V28" s="82">
        <v>0</v>
      </c>
      <c r="W28" s="82">
        <v>0</v>
      </c>
      <c r="X28" s="82">
        <v>0</v>
      </c>
      <c r="Y28" s="82">
        <v>0</v>
      </c>
      <c r="Z28">
        <v>0</v>
      </c>
      <c r="AA28">
        <v>0</v>
      </c>
      <c r="AB28">
        <v>0</v>
      </c>
      <c r="AC28">
        <v>0</v>
      </c>
      <c r="AD28">
        <v>0</v>
      </c>
      <c r="AE28">
        <v>0</v>
      </c>
      <c r="AF28" s="79">
        <f>' Storage + Transport'!C42</f>
        <v>0.03</v>
      </c>
      <c r="AG28" s="79">
        <f>' Storage + Transport'!D42</f>
        <v>0.03</v>
      </c>
      <c r="AH28" s="79">
        <f>' Storage + Transport'!E42</f>
        <v>0.03</v>
      </c>
      <c r="AI28" s="79">
        <f>' Storage + Transport'!F42</f>
        <v>0.03</v>
      </c>
      <c r="AJ28" s="79">
        <f>' Storage + Transport'!G42</f>
        <v>0.03</v>
      </c>
      <c r="AK28" s="79">
        <f>' Storage + Transport'!H42</f>
        <v>0.03</v>
      </c>
      <c r="AL28" s="79">
        <f>' Storage + Transport'!C43</f>
        <v>1</v>
      </c>
      <c r="AM28" s="79">
        <f>' Storage + Transport'!D43</f>
        <v>1</v>
      </c>
      <c r="AN28" s="79">
        <f>' Storage + Transport'!E43</f>
        <v>1</v>
      </c>
      <c r="AO28" s="79">
        <f>' Storage + Transport'!F43</f>
        <v>1</v>
      </c>
      <c r="AP28" s="79">
        <f>' Storage + Transport'!G43</f>
        <v>1</v>
      </c>
      <c r="AQ28" s="79">
        <f>' Storage + Transport'!H43</f>
        <v>1</v>
      </c>
      <c r="AR28" s="79">
        <v>1</v>
      </c>
      <c r="AS28" s="79">
        <v>1</v>
      </c>
      <c r="AT28" s="79">
        <v>1</v>
      </c>
      <c r="AU28" s="79">
        <v>1</v>
      </c>
      <c r="AV28" s="79">
        <v>1</v>
      </c>
      <c r="AW28" s="79">
        <v>1</v>
      </c>
      <c r="AX28" s="79">
        <v>1</v>
      </c>
      <c r="AY28" s="79">
        <v>1</v>
      </c>
      <c r="AZ28" s="79">
        <v>1</v>
      </c>
      <c r="BA28" s="79">
        <v>1</v>
      </c>
      <c r="BB28" s="79">
        <v>1</v>
      </c>
      <c r="BC28" s="79">
        <v>1</v>
      </c>
      <c r="BD28">
        <f>' Storage + Transport'!C44</f>
        <v>0</v>
      </c>
      <c r="BE28">
        <f>' Storage + Transport'!D44</f>
        <v>0</v>
      </c>
      <c r="BF28">
        <f>' Storage + Transport'!E44</f>
        <v>0</v>
      </c>
      <c r="BG28">
        <f>' Storage + Transport'!F44</f>
        <v>0</v>
      </c>
      <c r="BH28">
        <f>' Storage + Transport'!G44</f>
        <v>0</v>
      </c>
      <c r="BI28">
        <f>' Storage + Transport'!H44</f>
        <v>0</v>
      </c>
      <c r="BJ28">
        <f>' Storage + Transport'!C45</f>
        <v>1111.4252780552783</v>
      </c>
      <c r="BK28">
        <f>' Storage + Transport'!D45</f>
        <v>981.95043103448279</v>
      </c>
      <c r="BL28">
        <f>' Storage + Transport'!E45</f>
        <v>981.95043103448279</v>
      </c>
      <c r="BM28">
        <f>' Storage + Transport'!F45</f>
        <v>815.0188577586207</v>
      </c>
      <c r="BN28">
        <f>' Storage + Transport'!G45</f>
        <v>540.07273706896558</v>
      </c>
      <c r="BO28">
        <f>' Storage + Transport'!H45</f>
        <v>490.97521551724139</v>
      </c>
      <c r="BP28">
        <f>' Storage + Transport'!C46</f>
        <v>22.228505561105568</v>
      </c>
      <c r="BQ28">
        <f>' Storage + Transport'!D46</f>
        <v>19.639008620689655</v>
      </c>
      <c r="BR28">
        <f>' Storage + Transport'!E46</f>
        <v>19.639008620689655</v>
      </c>
      <c r="BS28">
        <f>' Storage + Transport'!F46</f>
        <v>16.300377155172413</v>
      </c>
      <c r="BT28">
        <f>' Storage + Transport'!G46</f>
        <v>10.801454741379311</v>
      </c>
      <c r="BU28">
        <f>' Storage + Transport'!H46</f>
        <v>9.8195043103448274</v>
      </c>
      <c r="BV28">
        <f>' Storage + Transport'!C47</f>
        <v>0</v>
      </c>
      <c r="BW28">
        <f>' Storage + Transport'!D47</f>
        <v>0</v>
      </c>
      <c r="BX28">
        <f>' Storage + Transport'!E47</f>
        <v>0</v>
      </c>
      <c r="BY28">
        <f>' Storage + Transport'!F47</f>
        <v>0</v>
      </c>
      <c r="BZ28">
        <f>' Storage + Transport'!G47</f>
        <v>0</v>
      </c>
      <c r="CA28">
        <f>' Storage + Transport'!H47</f>
        <v>0</v>
      </c>
      <c r="CB28">
        <v>0</v>
      </c>
      <c r="CC28">
        <v>0</v>
      </c>
      <c r="CD28">
        <v>0</v>
      </c>
      <c r="CE28">
        <v>0</v>
      </c>
      <c r="CF28">
        <v>0</v>
      </c>
      <c r="CG28">
        <v>0</v>
      </c>
      <c r="CH28">
        <v>0</v>
      </c>
      <c r="CI28">
        <v>0</v>
      </c>
      <c r="CJ28">
        <v>0</v>
      </c>
      <c r="CK28">
        <v>0</v>
      </c>
      <c r="CL28">
        <v>0</v>
      </c>
      <c r="CM28">
        <v>0</v>
      </c>
      <c r="CN28">
        <f>' Storage + Transport'!C50</f>
        <v>6.2260740740740748E-3</v>
      </c>
      <c r="CO28">
        <f>' Storage + Transport'!D50</f>
        <v>6.2260740740740748E-3</v>
      </c>
      <c r="CP28">
        <f>' Storage + Transport'!E50</f>
        <v>6.2260740740740748E-3</v>
      </c>
      <c r="CQ28">
        <f t="shared" si="14"/>
        <v>4.1527914074074085E-3</v>
      </c>
      <c r="CR28">
        <f t="shared" si="15"/>
        <v>2.0795087407407408E-3</v>
      </c>
      <c r="CS28">
        <f t="shared" si="16"/>
        <v>6.2260740740740749E-6</v>
      </c>
      <c r="CT28">
        <f>' Storage + Transport'!C51</f>
        <v>0</v>
      </c>
      <c r="CU28">
        <f>' Storage + Transport'!D51</f>
        <v>0</v>
      </c>
      <c r="CV28">
        <f>' Storage + Transport'!E51</f>
        <v>0</v>
      </c>
      <c r="CW28">
        <f t="shared" si="11"/>
        <v>0</v>
      </c>
      <c r="CX28">
        <f t="shared" si="12"/>
        <v>0</v>
      </c>
      <c r="CY28">
        <f t="shared" si="13"/>
        <v>0</v>
      </c>
      <c r="CZ28">
        <f>' Storage + Transport'!C49</f>
        <v>0.10185220882315059</v>
      </c>
      <c r="DA28">
        <f>' Storage + Transport'!D49</f>
        <v>9.3678779051968114E-2</v>
      </c>
      <c r="DB28">
        <f>' Storage + Transport'!E49</f>
        <v>9.3678779051968114E-2</v>
      </c>
      <c r="DC28">
        <f>' Storage + Transport'!F49</f>
        <v>8.8827433387272267E-2</v>
      </c>
      <c r="DD28">
        <f>' Storage + Transport'!G49</f>
        <v>8.8827433387272267E-2</v>
      </c>
      <c r="DE28">
        <f>' Storage + Transport'!H49</f>
        <v>8.8827433387272267E-2</v>
      </c>
    </row>
    <row r="29" spans="1:109" x14ac:dyDescent="0.3">
      <c r="A29" s="201"/>
      <c r="B29" s="39" t="s">
        <v>567</v>
      </c>
      <c r="D29" s="87" t="s">
        <v>2010</v>
      </c>
      <c r="E29" s="25">
        <f t="shared" si="8"/>
        <v>22</v>
      </c>
      <c r="F29" s="13">
        <v>1</v>
      </c>
      <c r="G29" s="13" t="s">
        <v>2012</v>
      </c>
      <c r="H29" s="13">
        <v>0</v>
      </c>
      <c r="I29">
        <v>0</v>
      </c>
      <c r="J29" t="s">
        <v>51</v>
      </c>
      <c r="K29">
        <v>0</v>
      </c>
      <c r="L29">
        <v>0</v>
      </c>
      <c r="M29">
        <f>IF(' Storage + Transport'!C7="inf",M18,' Storage + Transport'!C7)</f>
        <v>20000</v>
      </c>
      <c r="N29">
        <f>-1-' Storage + Transport'!C29</f>
        <v>-1</v>
      </c>
      <c r="O29">
        <f>-1-' Storage + Transport'!D29</f>
        <v>-1</v>
      </c>
      <c r="P29">
        <f>-1-' Storage + Transport'!E29</f>
        <v>-1</v>
      </c>
      <c r="Q29">
        <f>-1-' Storage + Transport'!F29</f>
        <v>-1</v>
      </c>
      <c r="R29">
        <f>-1-' Storage + Transport'!G29</f>
        <v>-1</v>
      </c>
      <c r="S29">
        <f>-1-' Storage + Transport'!H29</f>
        <v>-1</v>
      </c>
      <c r="T29" s="82">
        <v>0</v>
      </c>
      <c r="U29" s="82">
        <v>0</v>
      </c>
      <c r="V29" s="82">
        <v>0</v>
      </c>
      <c r="W29" s="82">
        <v>0</v>
      </c>
      <c r="X29" s="82">
        <v>0</v>
      </c>
      <c r="Y29" s="82">
        <v>0</v>
      </c>
      <c r="Z29">
        <v>0</v>
      </c>
      <c r="AA29">
        <v>0</v>
      </c>
      <c r="AB29">
        <v>0</v>
      </c>
      <c r="AC29">
        <v>0</v>
      </c>
      <c r="AD29">
        <v>0</v>
      </c>
      <c r="AE29">
        <v>0</v>
      </c>
      <c r="AF29" s="79">
        <v>0</v>
      </c>
      <c r="AG29" s="79">
        <v>0</v>
      </c>
      <c r="AH29" s="79">
        <v>0</v>
      </c>
      <c r="AI29" s="79">
        <v>0</v>
      </c>
      <c r="AJ29" s="79">
        <v>0</v>
      </c>
      <c r="AK29" s="79">
        <v>0</v>
      </c>
      <c r="AL29" s="79">
        <f>' Storage + Transport'!C26</f>
        <v>1</v>
      </c>
      <c r="AM29" s="79">
        <f>' Storage + Transport'!D26</f>
        <v>1</v>
      </c>
      <c r="AN29" s="79">
        <f>' Storage + Transport'!E26</f>
        <v>1</v>
      </c>
      <c r="AO29" s="79">
        <f>' Storage + Transport'!F26</f>
        <v>1</v>
      </c>
      <c r="AP29" s="79">
        <f>' Storage + Transport'!G26</f>
        <v>1</v>
      </c>
      <c r="AQ29" s="79">
        <f>' Storage + Transport'!H26</f>
        <v>1</v>
      </c>
      <c r="AR29" s="79">
        <v>1</v>
      </c>
      <c r="AS29" s="79">
        <v>1</v>
      </c>
      <c r="AT29" s="79">
        <v>1</v>
      </c>
      <c r="AU29" s="79">
        <v>1</v>
      </c>
      <c r="AV29" s="79">
        <v>1</v>
      </c>
      <c r="AW29" s="79">
        <v>1</v>
      </c>
      <c r="AX29" s="79">
        <v>1</v>
      </c>
      <c r="AY29" s="79">
        <v>1</v>
      </c>
      <c r="AZ29" s="79">
        <v>1</v>
      </c>
      <c r="BA29" s="79">
        <v>1</v>
      </c>
      <c r="BB29" s="79">
        <v>1</v>
      </c>
      <c r="BC29" s="79">
        <v>1</v>
      </c>
      <c r="BD29">
        <f>' Storage + Transport'!C30</f>
        <v>0.94</v>
      </c>
      <c r="BE29">
        <f>' Storage + Transport'!D30</f>
        <v>0.94</v>
      </c>
      <c r="BF29">
        <f>' Storage + Transport'!E30</f>
        <v>0.94</v>
      </c>
      <c r="BG29">
        <f>' Storage + Transport'!F30</f>
        <v>0.94</v>
      </c>
      <c r="BH29">
        <f>' Storage + Transport'!G30</f>
        <v>0.94</v>
      </c>
      <c r="BI29">
        <f>' Storage + Transport'!H30</f>
        <v>0.94</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f>' Storage + Transport'!C35</f>
        <v>9.3678779051968114E-2</v>
      </c>
      <c r="DA29">
        <f>' Storage + Transport'!D35</f>
        <v>9.3678779051968114E-2</v>
      </c>
      <c r="DB29">
        <f>' Storage + Transport'!E35</f>
        <v>9.3678779051968114E-2</v>
      </c>
      <c r="DC29">
        <f>' Storage + Transport'!F35</f>
        <v>9.3678779051968114E-2</v>
      </c>
      <c r="DD29">
        <f>' Storage + Transport'!G35</f>
        <v>9.3678779051968114E-2</v>
      </c>
      <c r="DE29">
        <f>' Storage + Transport'!H35</f>
        <v>9.3678779051968114E-2</v>
      </c>
    </row>
    <row r="30" spans="1:109" x14ac:dyDescent="0.3">
      <c r="A30" s="201"/>
      <c r="B30" s="39" t="s">
        <v>568</v>
      </c>
      <c r="D30" s="87" t="s">
        <v>2011</v>
      </c>
      <c r="E30" s="25">
        <f t="shared" si="8"/>
        <v>23</v>
      </c>
      <c r="F30" s="13">
        <v>1</v>
      </c>
      <c r="G30" s="13" t="s">
        <v>2013</v>
      </c>
      <c r="H30" s="13">
        <v>0</v>
      </c>
      <c r="I30">
        <v>0</v>
      </c>
      <c r="J30" t="s">
        <v>51</v>
      </c>
      <c r="K30">
        <v>0</v>
      </c>
      <c r="L30">
        <v>0</v>
      </c>
      <c r="M30">
        <f>M26</f>
        <v>20000</v>
      </c>
      <c r="N30">
        <v>1</v>
      </c>
      <c r="O30">
        <v>1</v>
      </c>
      <c r="P30">
        <v>1</v>
      </c>
      <c r="Q30">
        <v>1</v>
      </c>
      <c r="R30">
        <v>1</v>
      </c>
      <c r="S30">
        <v>1</v>
      </c>
      <c r="T30" s="82">
        <v>0</v>
      </c>
      <c r="U30" s="82">
        <v>0</v>
      </c>
      <c r="V30" s="82">
        <v>0</v>
      </c>
      <c r="W30" s="82">
        <v>0</v>
      </c>
      <c r="X30" s="82">
        <v>0</v>
      </c>
      <c r="Y30" s="82">
        <v>0</v>
      </c>
      <c r="Z30">
        <v>0</v>
      </c>
      <c r="AA30">
        <v>0</v>
      </c>
      <c r="AB30">
        <v>0</v>
      </c>
      <c r="AC30">
        <v>0</v>
      </c>
      <c r="AD30">
        <v>0</v>
      </c>
      <c r="AE30">
        <v>0</v>
      </c>
      <c r="AF30" s="79">
        <v>0</v>
      </c>
      <c r="AG30" s="79">
        <v>0</v>
      </c>
      <c r="AH30" s="79">
        <v>0</v>
      </c>
      <c r="AI30" s="79">
        <v>0</v>
      </c>
      <c r="AJ30" s="79">
        <v>0</v>
      </c>
      <c r="AK30" s="79">
        <v>0</v>
      </c>
      <c r="AL30" s="79">
        <v>1</v>
      </c>
      <c r="AM30" s="79">
        <v>1</v>
      </c>
      <c r="AN30" s="79">
        <v>1</v>
      </c>
      <c r="AO30" s="79">
        <v>1</v>
      </c>
      <c r="AP30" s="79">
        <v>1</v>
      </c>
      <c r="AQ30" s="79">
        <v>1</v>
      </c>
      <c r="AR30" s="79">
        <v>1</v>
      </c>
      <c r="AS30" s="79">
        <v>1</v>
      </c>
      <c r="AT30" s="79">
        <v>1</v>
      </c>
      <c r="AU30" s="79">
        <v>1</v>
      </c>
      <c r="AV30" s="79">
        <v>1</v>
      </c>
      <c r="AW30" s="79">
        <v>1</v>
      </c>
      <c r="AX30" s="79">
        <v>1</v>
      </c>
      <c r="AY30" s="79">
        <v>1</v>
      </c>
      <c r="AZ30" s="79">
        <v>1</v>
      </c>
      <c r="BA30" s="79">
        <v>1</v>
      </c>
      <c r="BB30" s="79">
        <v>1</v>
      </c>
      <c r="BC30" s="79">
        <v>1</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row>
    <row r="31" spans="1:109" x14ac:dyDescent="0.3">
      <c r="A31" s="201"/>
      <c r="B31" s="39" t="s">
        <v>566</v>
      </c>
      <c r="C31" s="37" t="s">
        <v>51</v>
      </c>
      <c r="D31" s="87" t="s">
        <v>2007</v>
      </c>
      <c r="E31" s="25">
        <f t="shared" si="8"/>
        <v>24</v>
      </c>
      <c r="F31" s="13">
        <v>1</v>
      </c>
      <c r="G31" s="13" t="s">
        <v>2009</v>
      </c>
      <c r="H31" s="13">
        <v>0</v>
      </c>
      <c r="I31">
        <v>0</v>
      </c>
      <c r="J31" t="s">
        <v>51</v>
      </c>
      <c r="K31">
        <v>0</v>
      </c>
      <c r="L31">
        <v>0</v>
      </c>
      <c r="M31">
        <f>IF(' Storage + Transport'!C41="inf",M18*1000,' Storage + Transport'!C41)</f>
        <v>20000000</v>
      </c>
      <c r="N31">
        <v>0</v>
      </c>
      <c r="O31">
        <v>0</v>
      </c>
      <c r="P31">
        <v>0</v>
      </c>
      <c r="Q31">
        <v>0</v>
      </c>
      <c r="R31">
        <v>0</v>
      </c>
      <c r="S31">
        <v>0</v>
      </c>
      <c r="T31">
        <v>0</v>
      </c>
      <c r="U31">
        <v>0</v>
      </c>
      <c r="V31">
        <v>0</v>
      </c>
      <c r="W31">
        <v>0</v>
      </c>
      <c r="X31">
        <v>0</v>
      </c>
      <c r="Y31">
        <v>0</v>
      </c>
      <c r="Z31">
        <v>0</v>
      </c>
      <c r="AA31">
        <v>0</v>
      </c>
      <c r="AB31">
        <v>0</v>
      </c>
      <c r="AC31">
        <v>0</v>
      </c>
      <c r="AD31">
        <v>0</v>
      </c>
      <c r="AE31">
        <v>0</v>
      </c>
      <c r="AF31" s="79">
        <f>' Storage + Transport'!C57</f>
        <v>0.09</v>
      </c>
      <c r="AG31" s="79">
        <f>' Storage + Transport'!D57</f>
        <v>0.09</v>
      </c>
      <c r="AH31" s="79">
        <f>' Storage + Transport'!E57</f>
        <v>0.09</v>
      </c>
      <c r="AI31" s="79">
        <f>' Storage + Transport'!F57</f>
        <v>0.09</v>
      </c>
      <c r="AJ31" s="79">
        <f>' Storage + Transport'!G57</f>
        <v>0.09</v>
      </c>
      <c r="AK31" s="79">
        <f>' Storage + Transport'!H57</f>
        <v>0.09</v>
      </c>
      <c r="AL31" s="79">
        <f>' Storage + Transport'!C58</f>
        <v>1</v>
      </c>
      <c r="AM31" s="79">
        <f>' Storage + Transport'!D58</f>
        <v>1</v>
      </c>
      <c r="AN31" s="79">
        <f>' Storage + Transport'!E58</f>
        <v>1</v>
      </c>
      <c r="AO31" s="79">
        <f>' Storage + Transport'!F58</f>
        <v>1</v>
      </c>
      <c r="AP31" s="79">
        <f>' Storage + Transport'!G58</f>
        <v>1</v>
      </c>
      <c r="AQ31" s="79">
        <f>' Storage + Transport'!H58</f>
        <v>1</v>
      </c>
      <c r="AR31" s="79">
        <v>1</v>
      </c>
      <c r="AS31" s="79">
        <v>1</v>
      </c>
      <c r="AT31" s="79">
        <v>1</v>
      </c>
      <c r="AU31" s="79">
        <v>1</v>
      </c>
      <c r="AV31" s="79">
        <v>1</v>
      </c>
      <c r="AW31" s="79">
        <v>1</v>
      </c>
      <c r="AX31" s="79">
        <v>1</v>
      </c>
      <c r="AY31" s="79">
        <v>1</v>
      </c>
      <c r="AZ31" s="79">
        <v>1</v>
      </c>
      <c r="BA31" s="79">
        <v>1</v>
      </c>
      <c r="BB31" s="79">
        <v>1</v>
      </c>
      <c r="BC31" s="79">
        <v>1</v>
      </c>
      <c r="BD31">
        <v>0</v>
      </c>
      <c r="BE31">
        <v>0</v>
      </c>
      <c r="BF31">
        <v>0</v>
      </c>
      <c r="BG31">
        <v>0</v>
      </c>
      <c r="BH31">
        <v>0</v>
      </c>
      <c r="BI31">
        <v>0</v>
      </c>
      <c r="BJ31">
        <f>' Storage + Transport'!C60</f>
        <v>460.75542459148141</v>
      </c>
      <c r="BK31">
        <f>' Storage + Transport'!D60</f>
        <v>460.75542459148141</v>
      </c>
      <c r="BL31">
        <f>' Storage + Transport'!E60</f>
        <v>460.75542459148141</v>
      </c>
      <c r="BM31">
        <f>' Storage + Transport'!F60</f>
        <v>460.75542459148141</v>
      </c>
      <c r="BN31">
        <f>' Storage + Transport'!G60</f>
        <v>460.75542459148141</v>
      </c>
      <c r="BO31">
        <f>' Storage + Transport'!H60</f>
        <v>460.75542459148141</v>
      </c>
      <c r="BP31">
        <f>' Storage + Transport'!C61</f>
        <v>0.99167600700525393</v>
      </c>
      <c r="BQ31">
        <f>' Storage + Transport'!D61</f>
        <v>0.99167600700525393</v>
      </c>
      <c r="BR31">
        <f>' Storage + Transport'!E61</f>
        <v>0.99167600700525393</v>
      </c>
      <c r="BS31">
        <f>' Storage + Transport'!F61</f>
        <v>0.99167600700525393</v>
      </c>
      <c r="BT31">
        <f>' Storage + Transport'!G61</f>
        <v>0.99167600700525393</v>
      </c>
      <c r="BU31">
        <f>' Storage + Transport'!H61</f>
        <v>0.99167600700525393</v>
      </c>
      <c r="BV31">
        <v>0</v>
      </c>
      <c r="BW31">
        <v>0</v>
      </c>
      <c r="BX31">
        <v>0</v>
      </c>
      <c r="BY31">
        <v>0</v>
      </c>
      <c r="BZ31">
        <v>0</v>
      </c>
      <c r="CA31">
        <v>0</v>
      </c>
      <c r="CB31">
        <v>0</v>
      </c>
      <c r="CC31">
        <v>0</v>
      </c>
      <c r="CD31">
        <v>0</v>
      </c>
      <c r="CE31">
        <v>0</v>
      </c>
      <c r="CF31">
        <v>0</v>
      </c>
      <c r="CG31">
        <v>0</v>
      </c>
      <c r="CH31">
        <v>0</v>
      </c>
      <c r="CI31">
        <v>0</v>
      </c>
      <c r="CJ31">
        <v>0</v>
      </c>
      <c r="CK31">
        <v>0</v>
      </c>
      <c r="CL31">
        <v>0</v>
      </c>
      <c r="CM31">
        <v>0</v>
      </c>
      <c r="CN31">
        <f>' Storage + Transport'!C65</f>
        <v>6.2260740740740748E-3</v>
      </c>
      <c r="CO31">
        <f>' Storage + Transport'!D65</f>
        <v>6.2260740740740748E-3</v>
      </c>
      <c r="CP31">
        <f>' Storage + Transport'!E65</f>
        <v>6.2260740740740748E-3</v>
      </c>
      <c r="CQ31">
        <f t="shared" ref="CQ31" si="17">$CO31*B$3</f>
        <v>4.1527914074074085E-3</v>
      </c>
      <c r="CR31">
        <f t="shared" ref="CR31" si="18">$CO31*C$3</f>
        <v>2.0795087407407408E-3</v>
      </c>
      <c r="CS31">
        <f t="shared" ref="CS31" si="19">$CO31*D$3</f>
        <v>6.2260740740740749E-6</v>
      </c>
      <c r="CT31">
        <v>0</v>
      </c>
      <c r="CU31">
        <v>0</v>
      </c>
      <c r="CV31">
        <v>0</v>
      </c>
      <c r="CW31">
        <v>0</v>
      </c>
      <c r="CX31">
        <v>0</v>
      </c>
      <c r="CY31">
        <v>0</v>
      </c>
      <c r="CZ31">
        <f>' Storage + Transport'!C64</f>
        <v>8.174285816161557E-2</v>
      </c>
      <c r="DA31">
        <f>' Storage + Transport'!D64</f>
        <v>8.174285816161557E-2</v>
      </c>
      <c r="DB31">
        <f>' Storage + Transport'!E64</f>
        <v>8.174285816161557E-2</v>
      </c>
      <c r="DC31">
        <f>' Storage + Transport'!F64</f>
        <v>7.7351087237424163E-2</v>
      </c>
      <c r="DD31">
        <f>' Storage + Transport'!G64</f>
        <v>8.174285816161557E-2</v>
      </c>
      <c r="DE31">
        <f>' Storage + Transport'!H64</f>
        <v>8.174285816161557E-2</v>
      </c>
    </row>
    <row r="32" spans="1:109" ht="14.55" customHeight="1" x14ac:dyDescent="0.3">
      <c r="A32" s="201" t="s">
        <v>570</v>
      </c>
      <c r="B32" s="90" t="s">
        <v>1514</v>
      </c>
      <c r="C32" s="37" t="str">
        <f>IF(I32&lt;&gt;0,"Min_demand","-")</f>
        <v>-</v>
      </c>
      <c r="D32" s="87" t="s">
        <v>1509</v>
      </c>
      <c r="E32" s="25">
        <f t="shared" si="8"/>
        <v>25</v>
      </c>
      <c r="F32" s="13">
        <v>1</v>
      </c>
      <c r="G32" s="13" t="s">
        <v>1511</v>
      </c>
      <c r="H32" s="13">
        <v>0</v>
      </c>
      <c r="I32">
        <v>0</v>
      </c>
      <c r="J32" t="s">
        <v>51</v>
      </c>
      <c r="K32">
        <v>1</v>
      </c>
      <c r="L32">
        <v>0</v>
      </c>
      <c r="M32">
        <f>IF('Solar PV'!C6="inf",M18*100,'Solar PV'!C6)</f>
        <v>2000000</v>
      </c>
      <c r="N32">
        <v>0</v>
      </c>
      <c r="O32">
        <v>0</v>
      </c>
      <c r="P32">
        <v>0</v>
      </c>
      <c r="Q32">
        <v>0</v>
      </c>
      <c r="R32">
        <v>0</v>
      </c>
      <c r="S32">
        <v>0</v>
      </c>
      <c r="T32" s="82">
        <v>0</v>
      </c>
      <c r="U32" s="82">
        <v>0</v>
      </c>
      <c r="V32" s="82">
        <v>0</v>
      </c>
      <c r="W32" s="82">
        <v>0</v>
      </c>
      <c r="X32" s="82">
        <v>0</v>
      </c>
      <c r="Y32" s="82">
        <v>0</v>
      </c>
      <c r="Z32">
        <v>0</v>
      </c>
      <c r="AA32">
        <v>0</v>
      </c>
      <c r="AB32">
        <v>0</v>
      </c>
      <c r="AC32">
        <v>0</v>
      </c>
      <c r="AD32">
        <v>0</v>
      </c>
      <c r="AE32">
        <v>0</v>
      </c>
      <c r="AF32" s="79">
        <v>0</v>
      </c>
      <c r="AG32" s="79">
        <v>0</v>
      </c>
      <c r="AH32" s="79">
        <v>0</v>
      </c>
      <c r="AI32" s="79">
        <v>0</v>
      </c>
      <c r="AJ32" s="79">
        <v>0</v>
      </c>
      <c r="AK32" s="79">
        <v>0</v>
      </c>
      <c r="AL32" s="79">
        <v>1</v>
      </c>
      <c r="AM32" s="79">
        <v>1</v>
      </c>
      <c r="AN32" s="79">
        <v>1</v>
      </c>
      <c r="AO32" s="79">
        <v>1</v>
      </c>
      <c r="AP32" s="79">
        <v>1</v>
      </c>
      <c r="AQ32" s="79">
        <v>1</v>
      </c>
      <c r="AR32" s="79">
        <v>1</v>
      </c>
      <c r="AS32" s="79">
        <v>1</v>
      </c>
      <c r="AT32" s="79">
        <v>1</v>
      </c>
      <c r="AU32" s="79">
        <v>1</v>
      </c>
      <c r="AV32" s="79">
        <v>1</v>
      </c>
      <c r="AW32" s="79">
        <v>1</v>
      </c>
      <c r="AX32" s="79">
        <v>1</v>
      </c>
      <c r="AY32" s="79">
        <v>1</v>
      </c>
      <c r="AZ32" s="79">
        <v>1</v>
      </c>
      <c r="BA32" s="79">
        <v>1</v>
      </c>
      <c r="BB32" s="79">
        <v>1</v>
      </c>
      <c r="BC32" s="79">
        <v>1</v>
      </c>
      <c r="BD32">
        <v>0</v>
      </c>
      <c r="BE32">
        <v>0</v>
      </c>
      <c r="BF32">
        <v>0</v>
      </c>
      <c r="BG32">
        <v>0</v>
      </c>
      <c r="BH32">
        <v>0</v>
      </c>
      <c r="BI32">
        <v>0</v>
      </c>
      <c r="BJ32">
        <f>'Solar PV'!C7</f>
        <v>552.67870000000005</v>
      </c>
      <c r="BK32">
        <f>'Solar PV'!D7</f>
        <v>552.67870000000005</v>
      </c>
      <c r="BL32">
        <f>'Solar PV'!E7</f>
        <v>552.67870000000005</v>
      </c>
      <c r="BM32">
        <f>'Solar PV'!F7</f>
        <v>396.26020000000005</v>
      </c>
      <c r="BN32">
        <f>'Solar PV'!G7</f>
        <v>344.12070000000006</v>
      </c>
      <c r="BO32">
        <f>'Solar PV'!H7</f>
        <v>312.83700000000005</v>
      </c>
      <c r="BP32">
        <f>'Solar PV'!C8</f>
        <v>9.1244125000000018</v>
      </c>
      <c r="BQ32">
        <f>'Solar PV'!D8</f>
        <v>9.1244125000000018</v>
      </c>
      <c r="BR32">
        <f>'Solar PV'!E8</f>
        <v>9.1244125000000018</v>
      </c>
      <c r="BS32">
        <f>'Solar PV'!F8</f>
        <v>7.5602275000000008</v>
      </c>
      <c r="BT32">
        <f>'Solar PV'!G8</f>
        <v>6.9084837500000003</v>
      </c>
      <c r="BU32">
        <f>'Solar PV'!H8</f>
        <v>6.5174375000000007</v>
      </c>
      <c r="BV32">
        <f>'Solar PV'!C9</f>
        <v>0</v>
      </c>
      <c r="BW32">
        <f>'Solar PV'!D9</f>
        <v>0</v>
      </c>
      <c r="BX32">
        <f>'Solar PV'!E9</f>
        <v>0</v>
      </c>
      <c r="BY32">
        <f>'Solar PV'!F9</f>
        <v>0</v>
      </c>
      <c r="BZ32">
        <f>'Solar PV'!G9</f>
        <v>0</v>
      </c>
      <c r="CA32">
        <f>'Solar PV'!H9</f>
        <v>0</v>
      </c>
      <c r="CB32">
        <v>0</v>
      </c>
      <c r="CC32">
        <v>0</v>
      </c>
      <c r="CD32">
        <v>0</v>
      </c>
      <c r="CE32">
        <v>0</v>
      </c>
      <c r="CF32">
        <v>0</v>
      </c>
      <c r="CG32">
        <v>0</v>
      </c>
      <c r="CH32">
        <v>0</v>
      </c>
      <c r="CI32">
        <v>0</v>
      </c>
      <c r="CJ32">
        <v>0</v>
      </c>
      <c r="CK32">
        <v>0</v>
      </c>
      <c r="CL32">
        <v>0</v>
      </c>
      <c r="CM32">
        <v>0</v>
      </c>
      <c r="CN32">
        <f>'Solar PV'!C12</f>
        <v>90.584795321637415</v>
      </c>
      <c r="CO32">
        <f>'Solar PV'!D12</f>
        <v>90.584795321637415</v>
      </c>
      <c r="CP32">
        <f>'Solar PV'!E12</f>
        <v>90.584795321637415</v>
      </c>
      <c r="CQ32">
        <f t="shared" si="14"/>
        <v>60.420058479532159</v>
      </c>
      <c r="CR32">
        <f t="shared" si="15"/>
        <v>30.255321637426892</v>
      </c>
      <c r="CS32">
        <f t="shared" si="16"/>
        <v>9.0584795321637421E-2</v>
      </c>
      <c r="CT32">
        <f>'Solar PV'!C13</f>
        <v>0</v>
      </c>
      <c r="CU32">
        <f>'Solar PV'!D13</f>
        <v>0</v>
      </c>
      <c r="CV32">
        <f>'Solar PV'!E13</f>
        <v>0</v>
      </c>
      <c r="CW32">
        <f t="shared" si="11"/>
        <v>0</v>
      </c>
      <c r="CX32">
        <f t="shared" si="12"/>
        <v>0</v>
      </c>
      <c r="CY32">
        <f t="shared" si="13"/>
        <v>0</v>
      </c>
      <c r="CZ32">
        <f>'Solar PV'!C11</f>
        <v>8.5803264560679798E-2</v>
      </c>
      <c r="DA32">
        <f>'Solar PV'!D11</f>
        <v>8.5803264560679798E-2</v>
      </c>
      <c r="DB32">
        <f>'Solar PV'!E11</f>
        <v>8.5803264560679798E-2</v>
      </c>
      <c r="DC32">
        <f>'Solar PV'!F11</f>
        <v>7.9666036677694424E-2</v>
      </c>
      <c r="DD32">
        <f>'Solar PV'!G11</f>
        <v>8.3860161500585326E-2</v>
      </c>
      <c r="DE32">
        <f>'Solar PV'!H11</f>
        <v>8.3860161500585326E-2</v>
      </c>
    </row>
    <row r="33" spans="1:109" ht="14.55" customHeight="1" x14ac:dyDescent="0.3">
      <c r="A33" s="201"/>
      <c r="B33" s="90" t="s">
        <v>1513</v>
      </c>
      <c r="C33" s="37" t="s">
        <v>51</v>
      </c>
      <c r="D33" s="87" t="s">
        <v>1510</v>
      </c>
      <c r="E33" s="25">
        <f t="shared" si="8"/>
        <v>26</v>
      </c>
      <c r="F33" s="13">
        <v>1</v>
      </c>
      <c r="G33" s="13" t="s">
        <v>1512</v>
      </c>
      <c r="H33" s="13">
        <v>0</v>
      </c>
      <c r="I33">
        <v>0</v>
      </c>
      <c r="J33" t="s">
        <v>51</v>
      </c>
      <c r="K33">
        <v>1</v>
      </c>
      <c r="L33">
        <v>0</v>
      </c>
      <c r="M33">
        <f t="shared" ref="M33:M46" si="20">$M$32</f>
        <v>2000000</v>
      </c>
      <c r="N33">
        <v>0</v>
      </c>
      <c r="O33">
        <v>0</v>
      </c>
      <c r="P33">
        <v>0</v>
      </c>
      <c r="Q33">
        <v>0</v>
      </c>
      <c r="R33">
        <v>0</v>
      </c>
      <c r="S33">
        <v>0</v>
      </c>
      <c r="T33" s="82">
        <v>0</v>
      </c>
      <c r="U33" s="82">
        <v>0</v>
      </c>
      <c r="V33" s="82">
        <v>0</v>
      </c>
      <c r="W33" s="82">
        <v>0</v>
      </c>
      <c r="X33" s="82">
        <v>0</v>
      </c>
      <c r="Y33" s="82">
        <v>0</v>
      </c>
      <c r="Z33">
        <v>0</v>
      </c>
      <c r="AA33">
        <v>0</v>
      </c>
      <c r="AB33">
        <v>0</v>
      </c>
      <c r="AC33">
        <v>0</v>
      </c>
      <c r="AD33">
        <v>0</v>
      </c>
      <c r="AE33">
        <v>0</v>
      </c>
      <c r="AF33" s="79">
        <v>0</v>
      </c>
      <c r="AG33" s="79">
        <v>0</v>
      </c>
      <c r="AH33" s="79">
        <v>0</v>
      </c>
      <c r="AI33" s="79">
        <v>0</v>
      </c>
      <c r="AJ33" s="79">
        <v>0</v>
      </c>
      <c r="AK33" s="79">
        <v>0</v>
      </c>
      <c r="AL33" s="79">
        <v>1</v>
      </c>
      <c r="AM33" s="79">
        <v>1</v>
      </c>
      <c r="AN33" s="79">
        <v>1</v>
      </c>
      <c r="AO33" s="79">
        <v>1</v>
      </c>
      <c r="AP33" s="79">
        <v>1</v>
      </c>
      <c r="AQ33" s="79">
        <v>1</v>
      </c>
      <c r="AR33" s="79">
        <v>1</v>
      </c>
      <c r="AS33" s="79">
        <v>1</v>
      </c>
      <c r="AT33" s="79">
        <v>1</v>
      </c>
      <c r="AU33" s="79">
        <v>1</v>
      </c>
      <c r="AV33" s="79">
        <v>1</v>
      </c>
      <c r="AW33" s="79">
        <v>1</v>
      </c>
      <c r="AX33" s="79">
        <v>1</v>
      </c>
      <c r="AY33" s="79">
        <v>1</v>
      </c>
      <c r="AZ33" s="79">
        <v>1</v>
      </c>
      <c r="BA33" s="79">
        <v>1</v>
      </c>
      <c r="BB33" s="79">
        <v>1</v>
      </c>
      <c r="BC33" s="79">
        <v>1</v>
      </c>
      <c r="BD33">
        <v>0</v>
      </c>
      <c r="BE33">
        <v>0</v>
      </c>
      <c r="BF33">
        <v>0</v>
      </c>
      <c r="BG33">
        <v>0</v>
      </c>
      <c r="BH33">
        <v>0</v>
      </c>
      <c r="BI33">
        <v>0</v>
      </c>
      <c r="BJ33">
        <f>'Solar PV tracking'!C7</f>
        <v>761.23670000000004</v>
      </c>
      <c r="BK33">
        <f>'Solar PV tracking'!D7</f>
        <v>646.52980000000002</v>
      </c>
      <c r="BL33">
        <f>'Solar PV tracking'!E7</f>
        <v>583.96240000000012</v>
      </c>
      <c r="BM33">
        <f>'Solar PV tracking'!F7</f>
        <v>458.82760000000007</v>
      </c>
      <c r="BN33">
        <f>'Solar PV tracking'!G7</f>
        <v>406.68810000000002</v>
      </c>
      <c r="BO33">
        <f>'Solar PV tracking'!H7</f>
        <v>375.40440000000001</v>
      </c>
      <c r="BP33">
        <f>'Solar PV tracking'!C8</f>
        <v>11.601038750000001</v>
      </c>
      <c r="BQ33">
        <f>'Solar PV tracking'!D8</f>
        <v>11.157853000000001</v>
      </c>
      <c r="BR33">
        <f>'Solar PV tracking'!E8</f>
        <v>7.6905762500000012</v>
      </c>
      <c r="BS33">
        <f>'Solar PV tracking'!F8</f>
        <v>9.2808310000000009</v>
      </c>
      <c r="BT33">
        <f>'Solar PV tracking'!G8</f>
        <v>8.5508780000000009</v>
      </c>
      <c r="BU33">
        <f>'Solar PV tracking'!H8</f>
        <v>8.1337620000000008</v>
      </c>
      <c r="BV33">
        <f>'Solar PV tracking'!C9</f>
        <v>0</v>
      </c>
      <c r="BW33">
        <f>'Solar PV tracking'!D9</f>
        <v>0</v>
      </c>
      <c r="BX33">
        <f>'Solar PV tracking'!E9</f>
        <v>0</v>
      </c>
      <c r="BY33">
        <f>'Solar PV tracking'!F9</f>
        <v>0</v>
      </c>
      <c r="BZ33">
        <f>'Solar PV tracking'!G9</f>
        <v>0</v>
      </c>
      <c r="CA33">
        <f>'Solar PV tracking'!H9</f>
        <v>0</v>
      </c>
      <c r="CB33">
        <v>0</v>
      </c>
      <c r="CC33">
        <v>0</v>
      </c>
      <c r="CD33">
        <v>0</v>
      </c>
      <c r="CE33">
        <v>0</v>
      </c>
      <c r="CF33">
        <v>0</v>
      </c>
      <c r="CG33">
        <v>0</v>
      </c>
      <c r="CH33">
        <v>0</v>
      </c>
      <c r="CI33">
        <v>0</v>
      </c>
      <c r="CJ33">
        <v>0</v>
      </c>
      <c r="CK33">
        <v>0</v>
      </c>
      <c r="CL33">
        <v>0</v>
      </c>
      <c r="CM33">
        <v>0</v>
      </c>
      <c r="CN33">
        <f>'Solar PV tracking'!C12</f>
        <v>90.584795321637415</v>
      </c>
      <c r="CO33">
        <f>'Solar PV tracking'!D12</f>
        <v>90.584795321637415</v>
      </c>
      <c r="CP33">
        <f>'Solar PV tracking'!E12</f>
        <v>90.584795321637415</v>
      </c>
      <c r="CQ33">
        <f t="shared" si="14"/>
        <v>60.420058479532159</v>
      </c>
      <c r="CR33">
        <f t="shared" si="15"/>
        <v>30.255321637426892</v>
      </c>
      <c r="CS33">
        <f t="shared" si="16"/>
        <v>9.0584795321637421E-2</v>
      </c>
      <c r="CT33">
        <f>'Solar PV tracking'!C13</f>
        <v>0</v>
      </c>
      <c r="CU33">
        <f>'Solar PV tracking'!D13</f>
        <v>0</v>
      </c>
      <c r="CV33">
        <f>'Solar PV tracking'!E13</f>
        <v>0</v>
      </c>
      <c r="CW33">
        <f t="shared" si="11"/>
        <v>0</v>
      </c>
      <c r="CX33">
        <f t="shared" si="12"/>
        <v>0</v>
      </c>
      <c r="CY33">
        <f t="shared" si="13"/>
        <v>0</v>
      </c>
      <c r="CZ33">
        <f>'Solar PV tracking'!C11</f>
        <v>8.5803264560679798E-2</v>
      </c>
      <c r="DA33">
        <f>'Solar PV tracking'!D11</f>
        <v>8.5803264560679798E-2</v>
      </c>
      <c r="DB33">
        <f>'Solar PV tracking'!E11</f>
        <v>8.5803264560679798E-2</v>
      </c>
      <c r="DC33">
        <f>'Solar PV tracking'!F11</f>
        <v>7.9666036677694424E-2</v>
      </c>
      <c r="DD33">
        <f>'Solar PV tracking'!G11</f>
        <v>8.3860161500585326E-2</v>
      </c>
      <c r="DE33">
        <f>'Solar PV tracking'!H11</f>
        <v>8.3860161500585326E-2</v>
      </c>
    </row>
    <row r="34" spans="1:109" x14ac:dyDescent="0.3">
      <c r="A34" s="201"/>
      <c r="B34" s="90" t="str">
        <f>CONCATENATE("RPU_"&amp;D34)</f>
        <v>RPU_ON_SP198-HH100</v>
      </c>
      <c r="C34" s="37" t="str">
        <f t="shared" ref="C34:C45" si="21">IF(I34&lt;&gt;0,"Min_demand","-")</f>
        <v>-</v>
      </c>
      <c r="D34" s="17" t="s">
        <v>1576</v>
      </c>
      <c r="E34" s="25">
        <f t="shared" si="8"/>
        <v>27</v>
      </c>
      <c r="F34" s="13">
        <v>1</v>
      </c>
      <c r="G34" s="13" t="s">
        <v>1544</v>
      </c>
      <c r="H34" s="13">
        <v>0</v>
      </c>
      <c r="I34">
        <v>0</v>
      </c>
      <c r="J34" t="s">
        <v>51</v>
      </c>
      <c r="K34">
        <v>1</v>
      </c>
      <c r="L34">
        <v>0</v>
      </c>
      <c r="M34">
        <f t="shared" si="20"/>
        <v>2000000</v>
      </c>
      <c r="N34">
        <v>0</v>
      </c>
      <c r="O34">
        <v>0</v>
      </c>
      <c r="P34">
        <v>0</v>
      </c>
      <c r="Q34">
        <v>0</v>
      </c>
      <c r="R34">
        <v>0</v>
      </c>
      <c r="S34">
        <v>0</v>
      </c>
      <c r="T34" s="82">
        <v>0</v>
      </c>
      <c r="U34" s="82">
        <v>0</v>
      </c>
      <c r="V34" s="82">
        <v>0</v>
      </c>
      <c r="W34" s="82">
        <v>0</v>
      </c>
      <c r="X34" s="82">
        <v>0</v>
      </c>
      <c r="Y34" s="82">
        <v>0</v>
      </c>
      <c r="Z34">
        <v>0</v>
      </c>
      <c r="AA34">
        <v>0</v>
      </c>
      <c r="AB34">
        <v>0</v>
      </c>
      <c r="AC34">
        <v>0</v>
      </c>
      <c r="AD34">
        <v>0</v>
      </c>
      <c r="AE34">
        <v>0</v>
      </c>
      <c r="AF34" s="79">
        <v>0</v>
      </c>
      <c r="AG34" s="79">
        <v>0</v>
      </c>
      <c r="AH34" s="79">
        <v>0</v>
      </c>
      <c r="AI34" s="79">
        <v>0</v>
      </c>
      <c r="AJ34" s="79">
        <v>0</v>
      </c>
      <c r="AK34" s="79">
        <v>0</v>
      </c>
      <c r="AL34" s="79">
        <v>1</v>
      </c>
      <c r="AM34" s="79">
        <v>1</v>
      </c>
      <c r="AN34" s="79">
        <v>1</v>
      </c>
      <c r="AO34" s="79">
        <v>1</v>
      </c>
      <c r="AP34" s="79">
        <v>1</v>
      </c>
      <c r="AQ34" s="79">
        <v>1</v>
      </c>
      <c r="AR34" s="79">
        <v>1</v>
      </c>
      <c r="AS34" s="79">
        <v>1</v>
      </c>
      <c r="AT34" s="79">
        <v>1</v>
      </c>
      <c r="AU34" s="79">
        <v>1</v>
      </c>
      <c r="AV34" s="79">
        <v>1</v>
      </c>
      <c r="AW34" s="79">
        <v>1</v>
      </c>
      <c r="AX34" s="79">
        <v>1</v>
      </c>
      <c r="AY34" s="79">
        <v>1</v>
      </c>
      <c r="AZ34" s="79">
        <v>1</v>
      </c>
      <c r="BA34" s="79">
        <v>1</v>
      </c>
      <c r="BB34" s="79">
        <v>1</v>
      </c>
      <c r="BC34" s="79">
        <v>1</v>
      </c>
      <c r="BD34">
        <v>0</v>
      </c>
      <c r="BE34">
        <v>0</v>
      </c>
      <c r="BF34">
        <v>0</v>
      </c>
      <c r="BG34">
        <v>0</v>
      </c>
      <c r="BH34">
        <v>0</v>
      </c>
      <c r="BI34">
        <v>0</v>
      </c>
      <c r="BJ34">
        <f>Wind_turbines!C17</f>
        <v>1758.6807528485745</v>
      </c>
      <c r="BK34">
        <f>Wind_turbines!D17</f>
        <v>1758.6807528485745</v>
      </c>
      <c r="BL34">
        <f>Wind_turbines!E17</f>
        <v>1758.6807528485745</v>
      </c>
      <c r="BM34">
        <f>Wind_turbines!F17</f>
        <v>1633.0606990736801</v>
      </c>
      <c r="BN34">
        <f>Wind_turbines!G17</f>
        <v>1538.8456587425023</v>
      </c>
      <c r="BO34">
        <f>Wind_turbines!H17</f>
        <v>1507.4406452987776</v>
      </c>
      <c r="BP34">
        <f>Wind_turbines!C29</f>
        <v>14.599060000000001</v>
      </c>
      <c r="BQ34">
        <f>Wind_turbines!D29</f>
        <v>14.599060000000001</v>
      </c>
      <c r="BR34">
        <f>Wind_turbines!E29</f>
        <v>14.599060000000001</v>
      </c>
      <c r="BS34">
        <f>Wind_turbines!F29</f>
        <v>13.139154000000001</v>
      </c>
      <c r="BT34">
        <f>Wind_turbines!G29</f>
        <v>12.088021680000002</v>
      </c>
      <c r="BU34">
        <f>Wind_turbines!H29</f>
        <v>11.8252386</v>
      </c>
      <c r="BV34">
        <f>Wind_turbines!C41</f>
        <v>1.5641850000000001E-3</v>
      </c>
      <c r="BW34">
        <f>Wind_turbines!D41</f>
        <v>1.5641850000000001E-3</v>
      </c>
      <c r="BX34">
        <f>Wind_turbines!E41</f>
        <v>1.5641850000000001E-3</v>
      </c>
      <c r="BY34">
        <f>Wind_turbines!F41</f>
        <v>1.4077665000000001E-3</v>
      </c>
      <c r="BZ34">
        <f>Wind_turbines!G41</f>
        <v>1.2930596E-3</v>
      </c>
      <c r="CA34">
        <f>Wind_turbines!H41</f>
        <v>1.2722038E-3</v>
      </c>
      <c r="CB34">
        <v>0</v>
      </c>
      <c r="CC34">
        <v>0</v>
      </c>
      <c r="CD34">
        <v>0</v>
      </c>
      <c r="CE34">
        <v>0</v>
      </c>
      <c r="CF34">
        <v>0</v>
      </c>
      <c r="CG34">
        <v>0</v>
      </c>
      <c r="CH34">
        <v>0</v>
      </c>
      <c r="CI34">
        <v>0</v>
      </c>
      <c r="CJ34">
        <v>0</v>
      </c>
      <c r="CK34">
        <v>0</v>
      </c>
      <c r="CL34">
        <v>0</v>
      </c>
      <c r="CM34">
        <v>0</v>
      </c>
      <c r="CN34" s="126">
        <f>Wind_turbines!C77</f>
        <v>55.12222222222222</v>
      </c>
      <c r="CO34" s="126">
        <f>Wind_turbines!D77</f>
        <v>55.12222222222222</v>
      </c>
      <c r="CP34" s="126">
        <f>Wind_turbines!E77</f>
        <v>55.12222222222222</v>
      </c>
      <c r="CQ34">
        <f t="shared" si="14"/>
        <v>36.766522222222221</v>
      </c>
      <c r="CR34">
        <f t="shared" si="15"/>
        <v>18.410822222222219</v>
      </c>
      <c r="CS34">
        <f t="shared" si="16"/>
        <v>5.5122222222222218E-2</v>
      </c>
      <c r="CT34">
        <v>0</v>
      </c>
      <c r="CU34">
        <v>0</v>
      </c>
      <c r="CV34">
        <v>0</v>
      </c>
      <c r="CW34">
        <f t="shared" si="11"/>
        <v>0</v>
      </c>
      <c r="CX34">
        <f t="shared" si="12"/>
        <v>0</v>
      </c>
      <c r="CY34">
        <f t="shared" si="13"/>
        <v>0</v>
      </c>
      <c r="CZ34">
        <f>Wind_turbines!C65</f>
        <v>9.1448096207564403E-2</v>
      </c>
      <c r="DA34">
        <f>Wind_turbines!D65</f>
        <v>9.1448096207564403E-2</v>
      </c>
      <c r="DB34">
        <f>Wind_turbines!E65</f>
        <v>9.1448096207564403E-2</v>
      </c>
      <c r="DC34">
        <f>Wind_turbines!F65</f>
        <v>8.4918639638364407E-2</v>
      </c>
      <c r="DD34">
        <f>Wind_turbines!G65</f>
        <v>8.8827433387272267E-2</v>
      </c>
      <c r="DE34">
        <f>Wind_turbines!H65</f>
        <v>8.8827433387272267E-2</v>
      </c>
    </row>
    <row r="35" spans="1:109" x14ac:dyDescent="0.3">
      <c r="A35" s="201"/>
      <c r="B35" s="90" t="str">
        <f t="shared" ref="B35:B45" si="22">CONCATENATE("RPU_"&amp;D35)</f>
        <v>RPU_ON_SP198-HH150</v>
      </c>
      <c r="C35" s="37" t="str">
        <f t="shared" si="21"/>
        <v>-</v>
      </c>
      <c r="D35" s="17" t="s">
        <v>1577</v>
      </c>
      <c r="E35" s="25">
        <f t="shared" si="8"/>
        <v>28</v>
      </c>
      <c r="F35" s="13">
        <v>1</v>
      </c>
      <c r="G35" s="13" t="s">
        <v>1548</v>
      </c>
      <c r="H35" s="13">
        <v>0</v>
      </c>
      <c r="I35">
        <v>0</v>
      </c>
      <c r="J35" t="s">
        <v>51</v>
      </c>
      <c r="K35">
        <v>1</v>
      </c>
      <c r="L35">
        <v>0</v>
      </c>
      <c r="M35">
        <f t="shared" si="20"/>
        <v>2000000</v>
      </c>
      <c r="N35">
        <v>0</v>
      </c>
      <c r="O35">
        <v>0</v>
      </c>
      <c r="P35">
        <v>0</v>
      </c>
      <c r="Q35">
        <v>0</v>
      </c>
      <c r="R35">
        <v>0</v>
      </c>
      <c r="S35">
        <v>0</v>
      </c>
      <c r="T35" s="82">
        <v>0</v>
      </c>
      <c r="U35" s="82">
        <v>0</v>
      </c>
      <c r="V35" s="82">
        <v>0</v>
      </c>
      <c r="W35" s="82">
        <v>0</v>
      </c>
      <c r="X35" s="82">
        <v>0</v>
      </c>
      <c r="Y35" s="82">
        <v>0</v>
      </c>
      <c r="Z35">
        <v>0</v>
      </c>
      <c r="AA35">
        <v>0</v>
      </c>
      <c r="AB35">
        <v>0</v>
      </c>
      <c r="AC35">
        <v>0</v>
      </c>
      <c r="AD35">
        <v>0</v>
      </c>
      <c r="AE35">
        <v>0</v>
      </c>
      <c r="AF35" s="79">
        <v>0</v>
      </c>
      <c r="AG35" s="79">
        <v>0</v>
      </c>
      <c r="AH35" s="79">
        <v>0</v>
      </c>
      <c r="AI35" s="79">
        <v>0</v>
      </c>
      <c r="AJ35" s="79">
        <v>0</v>
      </c>
      <c r="AK35" s="79">
        <v>0</v>
      </c>
      <c r="AL35" s="79">
        <v>1</v>
      </c>
      <c r="AM35" s="79">
        <v>1</v>
      </c>
      <c r="AN35" s="79">
        <v>1</v>
      </c>
      <c r="AO35" s="79">
        <v>1</v>
      </c>
      <c r="AP35" s="79">
        <v>1</v>
      </c>
      <c r="AQ35" s="79">
        <v>1</v>
      </c>
      <c r="AR35" s="79">
        <v>1</v>
      </c>
      <c r="AS35" s="79">
        <v>1</v>
      </c>
      <c r="AT35" s="79">
        <v>1</v>
      </c>
      <c r="AU35" s="79">
        <v>1</v>
      </c>
      <c r="AV35" s="79">
        <v>1</v>
      </c>
      <c r="AW35" s="79">
        <v>1</v>
      </c>
      <c r="AX35" s="79">
        <v>1</v>
      </c>
      <c r="AY35" s="79">
        <v>1</v>
      </c>
      <c r="AZ35" s="79">
        <v>1</v>
      </c>
      <c r="BA35" s="79">
        <v>1</v>
      </c>
      <c r="BB35" s="79">
        <v>1</v>
      </c>
      <c r="BC35" s="79">
        <v>1</v>
      </c>
      <c r="BD35">
        <v>0</v>
      </c>
      <c r="BE35">
        <v>0</v>
      </c>
      <c r="BF35">
        <v>0</v>
      </c>
      <c r="BG35">
        <v>0</v>
      </c>
      <c r="BH35">
        <v>0</v>
      </c>
      <c r="BI35">
        <v>0</v>
      </c>
      <c r="BJ35">
        <f>Wind_turbines!C18</f>
        <v>2188.7934195531479</v>
      </c>
      <c r="BK35">
        <f>Wind_turbines!D18</f>
        <v>2188.7934195531479</v>
      </c>
      <c r="BL35">
        <f>Wind_turbines!E18</f>
        <v>2188.7934195531479</v>
      </c>
      <c r="BM35">
        <f>Wind_turbines!F18</f>
        <v>2032.4510324422088</v>
      </c>
      <c r="BN35">
        <f>Wind_turbines!G18</f>
        <v>1915.1942421090046</v>
      </c>
      <c r="BO35">
        <f>Wind_turbines!H18</f>
        <v>1876.1086453312696</v>
      </c>
      <c r="BP35">
        <f>Wind_turbines!C30</f>
        <v>14.599060000000001</v>
      </c>
      <c r="BQ35">
        <f>Wind_turbines!D30</f>
        <v>14.599060000000001</v>
      </c>
      <c r="BR35">
        <f>Wind_turbines!E30</f>
        <v>14.599060000000001</v>
      </c>
      <c r="BS35">
        <f>Wind_turbines!F30</f>
        <v>13.139154000000001</v>
      </c>
      <c r="BT35">
        <f>Wind_turbines!G30</f>
        <v>12.088021680000002</v>
      </c>
      <c r="BU35">
        <f>Wind_turbines!H30</f>
        <v>11.8252386</v>
      </c>
      <c r="BV35">
        <f>Wind_turbines!C42</f>
        <v>1.5641850000000001E-3</v>
      </c>
      <c r="BW35">
        <f>Wind_turbines!D42</f>
        <v>1.5641850000000001E-3</v>
      </c>
      <c r="BX35">
        <f>Wind_turbines!E42</f>
        <v>1.5641850000000001E-3</v>
      </c>
      <c r="BY35">
        <f>Wind_turbines!F42</f>
        <v>1.4077665000000001E-3</v>
      </c>
      <c r="BZ35">
        <f>Wind_turbines!G42</f>
        <v>1.2930596E-3</v>
      </c>
      <c r="CA35">
        <f>Wind_turbines!H42</f>
        <v>1.2722038E-3</v>
      </c>
      <c r="CB35">
        <v>0</v>
      </c>
      <c r="CC35">
        <v>0</v>
      </c>
      <c r="CD35">
        <v>0</v>
      </c>
      <c r="CE35">
        <v>0</v>
      </c>
      <c r="CF35">
        <v>0</v>
      </c>
      <c r="CG35">
        <v>0</v>
      </c>
      <c r="CH35">
        <v>0</v>
      </c>
      <c r="CI35">
        <v>0</v>
      </c>
      <c r="CJ35">
        <v>0</v>
      </c>
      <c r="CK35">
        <v>0</v>
      </c>
      <c r="CL35">
        <v>0</v>
      </c>
      <c r="CM35">
        <v>0</v>
      </c>
      <c r="CN35" s="126">
        <f>Wind_turbines!C78</f>
        <v>55.12222222222222</v>
      </c>
      <c r="CO35" s="126">
        <f>Wind_turbines!D78</f>
        <v>55.12222222222222</v>
      </c>
      <c r="CP35" s="126">
        <f>Wind_turbines!E78</f>
        <v>55.12222222222222</v>
      </c>
      <c r="CQ35">
        <f t="shared" si="14"/>
        <v>36.766522222222221</v>
      </c>
      <c r="CR35">
        <f t="shared" si="15"/>
        <v>18.410822222222219</v>
      </c>
      <c r="CS35">
        <f t="shared" si="16"/>
        <v>5.5122222222222218E-2</v>
      </c>
      <c r="CT35">
        <v>0</v>
      </c>
      <c r="CU35">
        <v>0</v>
      </c>
      <c r="CV35">
        <v>0</v>
      </c>
      <c r="CW35">
        <f t="shared" si="11"/>
        <v>0</v>
      </c>
      <c r="CX35">
        <f t="shared" si="12"/>
        <v>0</v>
      </c>
      <c r="CY35">
        <f t="shared" si="13"/>
        <v>0</v>
      </c>
      <c r="CZ35">
        <f>Wind_turbines!C66</f>
        <v>9.1448096207564403E-2</v>
      </c>
      <c r="DA35">
        <f>Wind_turbines!D66</f>
        <v>9.1448096207564403E-2</v>
      </c>
      <c r="DB35">
        <f>Wind_turbines!E66</f>
        <v>9.1448096207564403E-2</v>
      </c>
      <c r="DC35">
        <f>Wind_turbines!F66</f>
        <v>8.4918639638364407E-2</v>
      </c>
      <c r="DD35">
        <f>Wind_turbines!G66</f>
        <v>8.8827433387272267E-2</v>
      </c>
      <c r="DE35">
        <f>Wind_turbines!H66</f>
        <v>8.8827433387272267E-2</v>
      </c>
    </row>
    <row r="36" spans="1:109" x14ac:dyDescent="0.3">
      <c r="A36" s="201"/>
      <c r="B36" s="90" t="str">
        <f t="shared" si="22"/>
        <v>RPU_ON_SP237-HH100</v>
      </c>
      <c r="C36" s="37" t="str">
        <f t="shared" si="21"/>
        <v>-</v>
      </c>
      <c r="D36" s="17" t="s">
        <v>1578</v>
      </c>
      <c r="E36" s="25">
        <f t="shared" si="8"/>
        <v>29</v>
      </c>
      <c r="F36" s="13">
        <v>1</v>
      </c>
      <c r="G36" s="13" t="s">
        <v>1549</v>
      </c>
      <c r="H36" s="13">
        <v>0</v>
      </c>
      <c r="I36">
        <v>0</v>
      </c>
      <c r="J36" t="s">
        <v>51</v>
      </c>
      <c r="K36">
        <v>1</v>
      </c>
      <c r="L36">
        <v>0</v>
      </c>
      <c r="M36">
        <f t="shared" si="20"/>
        <v>2000000</v>
      </c>
      <c r="N36">
        <v>0</v>
      </c>
      <c r="O36">
        <v>0</v>
      </c>
      <c r="P36">
        <v>0</v>
      </c>
      <c r="Q36">
        <v>0</v>
      </c>
      <c r="R36">
        <v>0</v>
      </c>
      <c r="S36">
        <v>0</v>
      </c>
      <c r="T36" s="82">
        <v>0</v>
      </c>
      <c r="U36" s="82">
        <v>0</v>
      </c>
      <c r="V36" s="82">
        <v>0</v>
      </c>
      <c r="W36" s="82">
        <v>0</v>
      </c>
      <c r="X36" s="82">
        <v>0</v>
      </c>
      <c r="Y36" s="82">
        <v>0</v>
      </c>
      <c r="Z36">
        <v>0</v>
      </c>
      <c r="AA36">
        <v>0</v>
      </c>
      <c r="AB36">
        <v>0</v>
      </c>
      <c r="AC36">
        <v>0</v>
      </c>
      <c r="AD36">
        <v>0</v>
      </c>
      <c r="AE36">
        <v>0</v>
      </c>
      <c r="AF36" s="79">
        <v>0</v>
      </c>
      <c r="AG36" s="79">
        <v>0</v>
      </c>
      <c r="AH36" s="79">
        <v>0</v>
      </c>
      <c r="AI36" s="79">
        <v>0</v>
      </c>
      <c r="AJ36" s="79">
        <v>0</v>
      </c>
      <c r="AK36" s="79">
        <v>0</v>
      </c>
      <c r="AL36" s="79">
        <v>1</v>
      </c>
      <c r="AM36" s="79">
        <v>1</v>
      </c>
      <c r="AN36" s="79">
        <v>1</v>
      </c>
      <c r="AO36" s="79">
        <v>1</v>
      </c>
      <c r="AP36" s="79">
        <v>1</v>
      </c>
      <c r="AQ36" s="79">
        <v>1</v>
      </c>
      <c r="AR36" s="79">
        <v>1</v>
      </c>
      <c r="AS36" s="79">
        <v>1</v>
      </c>
      <c r="AT36" s="79">
        <v>1</v>
      </c>
      <c r="AU36" s="79">
        <v>1</v>
      </c>
      <c r="AV36" s="79">
        <v>1</v>
      </c>
      <c r="AW36" s="79">
        <v>1</v>
      </c>
      <c r="AX36" s="79">
        <v>1</v>
      </c>
      <c r="AY36" s="79">
        <v>1</v>
      </c>
      <c r="AZ36" s="79">
        <v>1</v>
      </c>
      <c r="BA36" s="79">
        <v>1</v>
      </c>
      <c r="BB36" s="79">
        <v>1</v>
      </c>
      <c r="BC36" s="79">
        <v>1</v>
      </c>
      <c r="BD36">
        <v>0</v>
      </c>
      <c r="BE36">
        <v>0</v>
      </c>
      <c r="BF36">
        <v>0</v>
      </c>
      <c r="BG36">
        <v>0</v>
      </c>
      <c r="BH36">
        <v>0</v>
      </c>
      <c r="BI36">
        <v>0</v>
      </c>
      <c r="BJ36">
        <f>Wind_turbines!C19</f>
        <v>1554.7627916706663</v>
      </c>
      <c r="BK36">
        <f>Wind_turbines!D19</f>
        <v>1554.7627916706663</v>
      </c>
      <c r="BL36">
        <f>Wind_turbines!E19</f>
        <v>1554.7627916706663</v>
      </c>
      <c r="BM36">
        <f>Wind_turbines!F19</f>
        <v>1443.7083065513327</v>
      </c>
      <c r="BN36">
        <f>Wind_turbines!G19</f>
        <v>1360.4174427118328</v>
      </c>
      <c r="BO36">
        <f>Wind_turbines!H19</f>
        <v>1332.6538214319989</v>
      </c>
      <c r="BP36">
        <f>Wind_turbines!C31</f>
        <v>14.599060000000001</v>
      </c>
      <c r="BQ36">
        <f>Wind_turbines!D31</f>
        <v>14.599060000000001</v>
      </c>
      <c r="BR36">
        <f>Wind_turbines!E31</f>
        <v>14.599060000000001</v>
      </c>
      <c r="BS36">
        <f>Wind_turbines!F31</f>
        <v>13.139154000000001</v>
      </c>
      <c r="BT36">
        <f>Wind_turbines!G31</f>
        <v>12.088021680000002</v>
      </c>
      <c r="BU36">
        <f>Wind_turbines!H31</f>
        <v>11.8252386</v>
      </c>
      <c r="BV36">
        <f>Wind_turbines!C43</f>
        <v>1.5641850000000001E-3</v>
      </c>
      <c r="BW36">
        <f>Wind_turbines!D43</f>
        <v>1.5641850000000001E-3</v>
      </c>
      <c r="BX36">
        <f>Wind_turbines!E43</f>
        <v>1.5641850000000001E-3</v>
      </c>
      <c r="BY36">
        <f>Wind_turbines!F43</f>
        <v>1.4077665000000001E-3</v>
      </c>
      <c r="BZ36">
        <f>Wind_turbines!G43</f>
        <v>1.2930596E-3</v>
      </c>
      <c r="CA36">
        <f>Wind_turbines!H43</f>
        <v>1.2722038E-3</v>
      </c>
      <c r="CB36">
        <v>0</v>
      </c>
      <c r="CC36">
        <v>0</v>
      </c>
      <c r="CD36">
        <v>0</v>
      </c>
      <c r="CE36">
        <v>0</v>
      </c>
      <c r="CF36">
        <v>0</v>
      </c>
      <c r="CG36">
        <v>0</v>
      </c>
      <c r="CH36">
        <v>0</v>
      </c>
      <c r="CI36">
        <v>0</v>
      </c>
      <c r="CJ36">
        <v>0</v>
      </c>
      <c r="CK36">
        <v>0</v>
      </c>
      <c r="CL36">
        <v>0</v>
      </c>
      <c r="CM36">
        <v>0</v>
      </c>
      <c r="CN36" s="126">
        <f>Wind_turbines!C79</f>
        <v>55.12222222222222</v>
      </c>
      <c r="CO36" s="126">
        <f>Wind_turbines!D79</f>
        <v>55.12222222222222</v>
      </c>
      <c r="CP36" s="126">
        <f>Wind_turbines!E79</f>
        <v>55.12222222222222</v>
      </c>
      <c r="CQ36">
        <f t="shared" si="14"/>
        <v>36.766522222222221</v>
      </c>
      <c r="CR36">
        <f t="shared" si="15"/>
        <v>18.410822222222219</v>
      </c>
      <c r="CS36">
        <f t="shared" si="16"/>
        <v>5.5122222222222218E-2</v>
      </c>
      <c r="CT36">
        <v>0</v>
      </c>
      <c r="CU36">
        <v>0</v>
      </c>
      <c r="CV36">
        <v>0</v>
      </c>
      <c r="CW36">
        <f t="shared" si="11"/>
        <v>0</v>
      </c>
      <c r="CX36">
        <f t="shared" si="12"/>
        <v>0</v>
      </c>
      <c r="CY36">
        <f t="shared" si="13"/>
        <v>0</v>
      </c>
      <c r="CZ36">
        <f>Wind_turbines!C67</f>
        <v>9.1448096207564403E-2</v>
      </c>
      <c r="DA36">
        <f>Wind_turbines!D67</f>
        <v>9.1448096207564403E-2</v>
      </c>
      <c r="DB36">
        <f>Wind_turbines!E67</f>
        <v>9.1448096207564403E-2</v>
      </c>
      <c r="DC36">
        <f>Wind_turbines!F67</f>
        <v>8.4918639638364407E-2</v>
      </c>
      <c r="DD36">
        <f>Wind_turbines!G67</f>
        <v>8.8827433387272267E-2</v>
      </c>
      <c r="DE36">
        <f>Wind_turbines!H67</f>
        <v>8.8827433387272267E-2</v>
      </c>
    </row>
    <row r="37" spans="1:109" x14ac:dyDescent="0.3">
      <c r="A37" s="201"/>
      <c r="B37" s="90" t="str">
        <f t="shared" si="22"/>
        <v>RPU_ON_SP237-HH150</v>
      </c>
      <c r="C37" s="37" t="str">
        <f t="shared" si="21"/>
        <v>-</v>
      </c>
      <c r="D37" s="17" t="s">
        <v>1579</v>
      </c>
      <c r="E37" s="25">
        <f t="shared" si="8"/>
        <v>30</v>
      </c>
      <c r="F37" s="13">
        <v>1</v>
      </c>
      <c r="G37" s="13" t="s">
        <v>1552</v>
      </c>
      <c r="H37" s="13">
        <v>0</v>
      </c>
      <c r="I37">
        <v>0</v>
      </c>
      <c r="J37" t="s">
        <v>51</v>
      </c>
      <c r="K37">
        <v>1</v>
      </c>
      <c r="L37">
        <v>0</v>
      </c>
      <c r="M37">
        <f t="shared" si="20"/>
        <v>2000000</v>
      </c>
      <c r="N37">
        <v>0</v>
      </c>
      <c r="O37">
        <v>0</v>
      </c>
      <c r="P37">
        <v>0</v>
      </c>
      <c r="Q37">
        <v>0</v>
      </c>
      <c r="R37">
        <v>0</v>
      </c>
      <c r="S37">
        <v>0</v>
      </c>
      <c r="T37" s="82">
        <v>0</v>
      </c>
      <c r="U37" s="82">
        <v>0</v>
      </c>
      <c r="V37" s="82">
        <v>0</v>
      </c>
      <c r="W37" s="82">
        <v>0</v>
      </c>
      <c r="X37" s="82">
        <v>0</v>
      </c>
      <c r="Y37" s="82">
        <v>0</v>
      </c>
      <c r="Z37">
        <v>0</v>
      </c>
      <c r="AA37">
        <v>0</v>
      </c>
      <c r="AB37">
        <v>0</v>
      </c>
      <c r="AC37">
        <v>0</v>
      </c>
      <c r="AD37">
        <v>0</v>
      </c>
      <c r="AE37">
        <v>0</v>
      </c>
      <c r="AF37" s="79">
        <v>0</v>
      </c>
      <c r="AG37" s="79">
        <v>0</v>
      </c>
      <c r="AH37" s="79">
        <v>0</v>
      </c>
      <c r="AI37" s="79">
        <v>0</v>
      </c>
      <c r="AJ37" s="79">
        <v>0</v>
      </c>
      <c r="AK37" s="79">
        <v>0</v>
      </c>
      <c r="AL37" s="79">
        <v>1</v>
      </c>
      <c r="AM37" s="79">
        <v>1</v>
      </c>
      <c r="AN37" s="79">
        <v>1</v>
      </c>
      <c r="AO37" s="79">
        <v>1</v>
      </c>
      <c r="AP37" s="79">
        <v>1</v>
      </c>
      <c r="AQ37" s="79">
        <v>1</v>
      </c>
      <c r="AR37" s="79">
        <v>1</v>
      </c>
      <c r="AS37" s="79">
        <v>1</v>
      </c>
      <c r="AT37" s="79">
        <v>1</v>
      </c>
      <c r="AU37" s="79">
        <v>1</v>
      </c>
      <c r="AV37" s="79">
        <v>1</v>
      </c>
      <c r="AW37" s="79">
        <v>1</v>
      </c>
      <c r="AX37" s="79">
        <v>1</v>
      </c>
      <c r="AY37" s="79">
        <v>1</v>
      </c>
      <c r="AZ37" s="79">
        <v>1</v>
      </c>
      <c r="BA37" s="79">
        <v>1</v>
      </c>
      <c r="BB37" s="79">
        <v>1</v>
      </c>
      <c r="BC37" s="79">
        <v>1</v>
      </c>
      <c r="BD37">
        <v>0</v>
      </c>
      <c r="BE37">
        <v>0</v>
      </c>
      <c r="BF37">
        <v>0</v>
      </c>
      <c r="BG37">
        <v>0</v>
      </c>
      <c r="BH37">
        <v>0</v>
      </c>
      <c r="BI37">
        <v>0</v>
      </c>
      <c r="BJ37">
        <f>Wind_turbines!C20</f>
        <v>1947.4738868244795</v>
      </c>
      <c r="BK37">
        <f>Wind_turbines!D20</f>
        <v>1947.4738868244795</v>
      </c>
      <c r="BL37">
        <f>Wind_turbines!E20</f>
        <v>1947.4738868244795</v>
      </c>
      <c r="BM37">
        <f>Wind_turbines!F20</f>
        <v>1808.3686091941595</v>
      </c>
      <c r="BN37">
        <f>Wind_turbines!G20</f>
        <v>1704.0396509714192</v>
      </c>
      <c r="BO37">
        <f>Wind_turbines!H20</f>
        <v>1669.2633315638391</v>
      </c>
      <c r="BP37">
        <f>Wind_turbines!C32</f>
        <v>14.599060000000001</v>
      </c>
      <c r="BQ37">
        <f>Wind_turbines!D32</f>
        <v>14.599060000000001</v>
      </c>
      <c r="BR37">
        <f>Wind_turbines!E32</f>
        <v>14.599060000000001</v>
      </c>
      <c r="BS37">
        <f>Wind_turbines!F32</f>
        <v>13.139154000000001</v>
      </c>
      <c r="BT37">
        <f>Wind_turbines!G32</f>
        <v>12.088021680000002</v>
      </c>
      <c r="BU37">
        <f>Wind_turbines!H32</f>
        <v>11.8252386</v>
      </c>
      <c r="BV37">
        <f>Wind_turbines!C44</f>
        <v>1.5641850000000001E-3</v>
      </c>
      <c r="BW37">
        <f>Wind_turbines!D44</f>
        <v>1.5641850000000001E-3</v>
      </c>
      <c r="BX37">
        <f>Wind_turbines!E44</f>
        <v>1.5641850000000001E-3</v>
      </c>
      <c r="BY37">
        <f>Wind_turbines!F44</f>
        <v>1.4077665000000001E-3</v>
      </c>
      <c r="BZ37">
        <f>Wind_turbines!G44</f>
        <v>1.2930596E-3</v>
      </c>
      <c r="CA37">
        <f>Wind_turbines!H44</f>
        <v>1.2722038E-3</v>
      </c>
      <c r="CB37">
        <v>0</v>
      </c>
      <c r="CC37">
        <v>0</v>
      </c>
      <c r="CD37">
        <v>0</v>
      </c>
      <c r="CE37">
        <v>0</v>
      </c>
      <c r="CF37">
        <v>0</v>
      </c>
      <c r="CG37">
        <v>0</v>
      </c>
      <c r="CH37">
        <v>0</v>
      </c>
      <c r="CI37">
        <v>0</v>
      </c>
      <c r="CJ37">
        <v>0</v>
      </c>
      <c r="CK37">
        <v>0</v>
      </c>
      <c r="CL37">
        <v>0</v>
      </c>
      <c r="CM37">
        <v>0</v>
      </c>
      <c r="CN37" s="126">
        <f>Wind_turbines!C80</f>
        <v>55.12222222222222</v>
      </c>
      <c r="CO37" s="126">
        <f>Wind_turbines!D80</f>
        <v>55.12222222222222</v>
      </c>
      <c r="CP37" s="126">
        <f>Wind_turbines!E80</f>
        <v>55.12222222222222</v>
      </c>
      <c r="CQ37">
        <f t="shared" si="14"/>
        <v>36.766522222222221</v>
      </c>
      <c r="CR37">
        <f t="shared" si="15"/>
        <v>18.410822222222219</v>
      </c>
      <c r="CS37">
        <f t="shared" si="16"/>
        <v>5.5122222222222218E-2</v>
      </c>
      <c r="CT37">
        <v>0</v>
      </c>
      <c r="CU37">
        <v>0</v>
      </c>
      <c r="CV37">
        <v>0</v>
      </c>
      <c r="CW37">
        <f t="shared" si="11"/>
        <v>0</v>
      </c>
      <c r="CX37">
        <f t="shared" si="12"/>
        <v>0</v>
      </c>
      <c r="CY37">
        <f t="shared" si="13"/>
        <v>0</v>
      </c>
      <c r="CZ37">
        <f>Wind_turbines!C68</f>
        <v>9.1448096207564403E-2</v>
      </c>
      <c r="DA37">
        <f>Wind_turbines!D68</f>
        <v>9.1448096207564403E-2</v>
      </c>
      <c r="DB37">
        <f>Wind_turbines!E68</f>
        <v>9.1448096207564403E-2</v>
      </c>
      <c r="DC37">
        <f>Wind_turbines!F68</f>
        <v>8.4918639638364407E-2</v>
      </c>
      <c r="DD37">
        <f>Wind_turbines!G68</f>
        <v>8.8827433387272267E-2</v>
      </c>
      <c r="DE37">
        <f>Wind_turbines!H68</f>
        <v>8.8827433387272267E-2</v>
      </c>
    </row>
    <row r="38" spans="1:109" x14ac:dyDescent="0.3">
      <c r="A38" s="201"/>
      <c r="B38" s="90" t="str">
        <f t="shared" si="22"/>
        <v>RPU_ON_SP277-HH100</v>
      </c>
      <c r="C38" s="37" t="str">
        <f t="shared" si="21"/>
        <v>-</v>
      </c>
      <c r="D38" s="17" t="s">
        <v>1580</v>
      </c>
      <c r="E38" s="25">
        <f t="shared" si="8"/>
        <v>31</v>
      </c>
      <c r="F38" s="13">
        <v>1</v>
      </c>
      <c r="G38" s="13" t="s">
        <v>1553</v>
      </c>
      <c r="H38" s="13">
        <v>0</v>
      </c>
      <c r="I38">
        <v>0</v>
      </c>
      <c r="J38" t="s">
        <v>51</v>
      </c>
      <c r="K38">
        <v>1</v>
      </c>
      <c r="L38">
        <v>0</v>
      </c>
      <c r="M38">
        <f t="shared" si="20"/>
        <v>2000000</v>
      </c>
      <c r="N38">
        <v>0</v>
      </c>
      <c r="O38">
        <v>0</v>
      </c>
      <c r="P38">
        <v>0</v>
      </c>
      <c r="Q38">
        <v>0</v>
      </c>
      <c r="R38">
        <v>0</v>
      </c>
      <c r="S38">
        <v>0</v>
      </c>
      <c r="T38" s="82">
        <v>0</v>
      </c>
      <c r="U38" s="82">
        <v>0</v>
      </c>
      <c r="V38" s="82">
        <v>0</v>
      </c>
      <c r="W38" s="82">
        <v>0</v>
      </c>
      <c r="X38" s="82">
        <v>0</v>
      </c>
      <c r="Y38" s="82">
        <v>0</v>
      </c>
      <c r="Z38">
        <v>0</v>
      </c>
      <c r="AA38">
        <v>0</v>
      </c>
      <c r="AB38">
        <v>0</v>
      </c>
      <c r="AC38">
        <v>0</v>
      </c>
      <c r="AD38">
        <v>0</v>
      </c>
      <c r="AE38">
        <v>0</v>
      </c>
      <c r="AF38" s="79">
        <v>0</v>
      </c>
      <c r="AG38" s="79">
        <v>0</v>
      </c>
      <c r="AH38" s="79">
        <v>0</v>
      </c>
      <c r="AI38" s="79">
        <v>0</v>
      </c>
      <c r="AJ38" s="79">
        <v>0</v>
      </c>
      <c r="AK38" s="79">
        <v>0</v>
      </c>
      <c r="AL38" s="79">
        <v>1</v>
      </c>
      <c r="AM38" s="79">
        <v>1</v>
      </c>
      <c r="AN38" s="79">
        <v>1</v>
      </c>
      <c r="AO38" s="79">
        <v>1</v>
      </c>
      <c r="AP38" s="79">
        <v>1</v>
      </c>
      <c r="AQ38" s="79">
        <v>1</v>
      </c>
      <c r="AR38" s="79">
        <v>1</v>
      </c>
      <c r="AS38" s="79">
        <v>1</v>
      </c>
      <c r="AT38" s="79">
        <v>1</v>
      </c>
      <c r="AU38" s="79">
        <v>1</v>
      </c>
      <c r="AV38" s="79">
        <v>1</v>
      </c>
      <c r="AW38" s="79">
        <v>1</v>
      </c>
      <c r="AX38" s="79">
        <v>1</v>
      </c>
      <c r="AY38" s="79">
        <v>1</v>
      </c>
      <c r="AZ38" s="79">
        <v>1</v>
      </c>
      <c r="BA38" s="79">
        <v>1</v>
      </c>
      <c r="BB38" s="79">
        <v>1</v>
      </c>
      <c r="BC38" s="79">
        <v>1</v>
      </c>
      <c r="BD38">
        <v>0</v>
      </c>
      <c r="BE38">
        <v>0</v>
      </c>
      <c r="BF38">
        <v>0</v>
      </c>
      <c r="BG38">
        <v>0</v>
      </c>
      <c r="BH38">
        <v>0</v>
      </c>
      <c r="BI38">
        <v>0</v>
      </c>
      <c r="BJ38">
        <f>Wind_turbines!C21</f>
        <v>1414.9828559823698</v>
      </c>
      <c r="BK38">
        <f>Wind_turbines!D21</f>
        <v>1414.9828559823698</v>
      </c>
      <c r="BL38">
        <f>Wind_turbines!E21</f>
        <v>1414.9828559823698</v>
      </c>
      <c r="BM38">
        <f>Wind_turbines!F21</f>
        <v>1313.9126519836288</v>
      </c>
      <c r="BN38">
        <f>Wind_turbines!G21</f>
        <v>1238.1099989845734</v>
      </c>
      <c r="BO38">
        <f>Wind_turbines!H21</f>
        <v>1212.8424479848879</v>
      </c>
      <c r="BP38">
        <f>Wind_turbines!C33</f>
        <v>14.599060000000001</v>
      </c>
      <c r="BQ38">
        <f>Wind_turbines!D33</f>
        <v>14.599060000000001</v>
      </c>
      <c r="BR38">
        <f>Wind_turbines!E33</f>
        <v>14.599060000000001</v>
      </c>
      <c r="BS38">
        <f>Wind_turbines!F33</f>
        <v>13.139154000000001</v>
      </c>
      <c r="BT38">
        <f>Wind_turbines!G33</f>
        <v>12.088021680000002</v>
      </c>
      <c r="BU38">
        <f>Wind_turbines!H33</f>
        <v>11.8252386</v>
      </c>
      <c r="BV38">
        <f>Wind_turbines!C45</f>
        <v>1.5641850000000001E-3</v>
      </c>
      <c r="BW38">
        <f>Wind_turbines!D45</f>
        <v>1.5641850000000001E-3</v>
      </c>
      <c r="BX38">
        <f>Wind_turbines!E45</f>
        <v>1.5641850000000001E-3</v>
      </c>
      <c r="BY38">
        <f>Wind_turbines!F45</f>
        <v>1.4077665000000001E-3</v>
      </c>
      <c r="BZ38">
        <f>Wind_turbines!G45</f>
        <v>1.2930596E-3</v>
      </c>
      <c r="CA38">
        <f>Wind_turbines!H45</f>
        <v>1.2722038E-3</v>
      </c>
      <c r="CB38">
        <v>0</v>
      </c>
      <c r="CC38">
        <v>0</v>
      </c>
      <c r="CD38">
        <v>0</v>
      </c>
      <c r="CE38">
        <v>0</v>
      </c>
      <c r="CF38">
        <v>0</v>
      </c>
      <c r="CG38">
        <v>0</v>
      </c>
      <c r="CH38">
        <v>0</v>
      </c>
      <c r="CI38">
        <v>0</v>
      </c>
      <c r="CJ38">
        <v>0</v>
      </c>
      <c r="CK38">
        <v>0</v>
      </c>
      <c r="CL38">
        <v>0</v>
      </c>
      <c r="CM38">
        <v>0</v>
      </c>
      <c r="CN38" s="126">
        <f>Wind_turbines!C81</f>
        <v>55.12222222222222</v>
      </c>
      <c r="CO38" s="126">
        <f>Wind_turbines!D81</f>
        <v>55.12222222222222</v>
      </c>
      <c r="CP38" s="126">
        <f>Wind_turbines!E81</f>
        <v>55.12222222222222</v>
      </c>
      <c r="CQ38">
        <f t="shared" si="14"/>
        <v>36.766522222222221</v>
      </c>
      <c r="CR38">
        <f t="shared" si="15"/>
        <v>18.410822222222219</v>
      </c>
      <c r="CS38">
        <f t="shared" si="16"/>
        <v>5.5122222222222218E-2</v>
      </c>
      <c r="CT38">
        <v>0</v>
      </c>
      <c r="CU38">
        <v>0</v>
      </c>
      <c r="CV38">
        <v>0</v>
      </c>
      <c r="CW38">
        <f t="shared" si="11"/>
        <v>0</v>
      </c>
      <c r="CX38">
        <f t="shared" si="12"/>
        <v>0</v>
      </c>
      <c r="CY38">
        <f t="shared" si="13"/>
        <v>0</v>
      </c>
      <c r="CZ38">
        <f>Wind_turbines!C69</f>
        <v>9.1448096207564403E-2</v>
      </c>
      <c r="DA38">
        <f>Wind_turbines!D69</f>
        <v>9.1448096207564403E-2</v>
      </c>
      <c r="DB38">
        <f>Wind_turbines!E69</f>
        <v>9.1448096207564403E-2</v>
      </c>
      <c r="DC38">
        <f>Wind_turbines!F69</f>
        <v>8.4918639638364407E-2</v>
      </c>
      <c r="DD38">
        <f>Wind_turbines!G69</f>
        <v>8.8827433387272267E-2</v>
      </c>
      <c r="DE38">
        <f>Wind_turbines!H69</f>
        <v>8.8827433387272267E-2</v>
      </c>
    </row>
    <row r="39" spans="1:109" x14ac:dyDescent="0.3">
      <c r="A39" s="201"/>
      <c r="B39" s="90" t="str">
        <f t="shared" si="22"/>
        <v>RPU_ON_SP277-HH150</v>
      </c>
      <c r="C39" s="37" t="str">
        <f t="shared" si="21"/>
        <v>-</v>
      </c>
      <c r="D39" s="17" t="s">
        <v>1581</v>
      </c>
      <c r="E39" s="25">
        <f t="shared" si="8"/>
        <v>32</v>
      </c>
      <c r="F39" s="13">
        <v>1</v>
      </c>
      <c r="G39" s="13" t="s">
        <v>1555</v>
      </c>
      <c r="H39" s="13">
        <v>0</v>
      </c>
      <c r="I39">
        <v>0</v>
      </c>
      <c r="J39" t="s">
        <v>51</v>
      </c>
      <c r="K39">
        <v>1</v>
      </c>
      <c r="L39">
        <v>0</v>
      </c>
      <c r="M39">
        <f t="shared" si="20"/>
        <v>2000000</v>
      </c>
      <c r="N39">
        <v>0</v>
      </c>
      <c r="O39">
        <v>0</v>
      </c>
      <c r="P39">
        <v>0</v>
      </c>
      <c r="Q39">
        <v>0</v>
      </c>
      <c r="R39">
        <v>0</v>
      </c>
      <c r="S39">
        <v>0</v>
      </c>
      <c r="T39" s="82">
        <v>0</v>
      </c>
      <c r="U39" s="82">
        <v>0</v>
      </c>
      <c r="V39" s="82">
        <v>0</v>
      </c>
      <c r="W39" s="82">
        <v>0</v>
      </c>
      <c r="X39" s="82">
        <v>0</v>
      </c>
      <c r="Y39" s="82">
        <v>0</v>
      </c>
      <c r="Z39">
        <v>0</v>
      </c>
      <c r="AA39">
        <v>0</v>
      </c>
      <c r="AB39">
        <v>0</v>
      </c>
      <c r="AC39">
        <v>0</v>
      </c>
      <c r="AD39">
        <v>0</v>
      </c>
      <c r="AE39">
        <v>0</v>
      </c>
      <c r="AF39" s="79">
        <v>0</v>
      </c>
      <c r="AG39" s="79">
        <v>0</v>
      </c>
      <c r="AH39" s="79">
        <v>0</v>
      </c>
      <c r="AI39" s="79">
        <v>0</v>
      </c>
      <c r="AJ39" s="79">
        <v>0</v>
      </c>
      <c r="AK39" s="79">
        <v>0</v>
      </c>
      <c r="AL39" s="79">
        <v>1</v>
      </c>
      <c r="AM39" s="79">
        <v>1</v>
      </c>
      <c r="AN39" s="79">
        <v>1</v>
      </c>
      <c r="AO39" s="79">
        <v>1</v>
      </c>
      <c r="AP39" s="79">
        <v>1</v>
      </c>
      <c r="AQ39" s="79">
        <v>1</v>
      </c>
      <c r="AR39" s="79">
        <v>1</v>
      </c>
      <c r="AS39" s="79">
        <v>1</v>
      </c>
      <c r="AT39" s="79">
        <v>1</v>
      </c>
      <c r="AU39" s="79">
        <v>1</v>
      </c>
      <c r="AV39" s="79">
        <v>1</v>
      </c>
      <c r="AW39" s="79">
        <v>1</v>
      </c>
      <c r="AX39" s="79">
        <v>1</v>
      </c>
      <c r="AY39" s="79">
        <v>1</v>
      </c>
      <c r="AZ39" s="79">
        <v>1</v>
      </c>
      <c r="BA39" s="79">
        <v>1</v>
      </c>
      <c r="BB39" s="79">
        <v>1</v>
      </c>
      <c r="BC39" s="79">
        <v>1</v>
      </c>
      <c r="BD39">
        <v>0</v>
      </c>
      <c r="BE39">
        <v>0</v>
      </c>
      <c r="BF39">
        <v>0</v>
      </c>
      <c r="BG39">
        <v>0</v>
      </c>
      <c r="BH39">
        <v>0</v>
      </c>
      <c r="BI39">
        <v>0</v>
      </c>
      <c r="BJ39">
        <f>Wind_turbines!C22</f>
        <v>1807.6939511361822</v>
      </c>
      <c r="BK39">
        <f>Wind_turbines!D22</f>
        <v>1807.6939511361822</v>
      </c>
      <c r="BL39">
        <f>Wind_turbines!E22</f>
        <v>1807.6939511361822</v>
      </c>
      <c r="BM39">
        <f>Wind_turbines!F22</f>
        <v>1678.5729546264547</v>
      </c>
      <c r="BN39">
        <f>Wind_turbines!G22</f>
        <v>1581.7322072441593</v>
      </c>
      <c r="BO39">
        <f>Wind_turbines!H22</f>
        <v>1549.4519581167272</v>
      </c>
      <c r="BP39">
        <f>Wind_turbines!C34</f>
        <v>14.599060000000001</v>
      </c>
      <c r="BQ39">
        <f>Wind_turbines!D34</f>
        <v>14.599060000000001</v>
      </c>
      <c r="BR39">
        <f>Wind_turbines!E34</f>
        <v>14.599060000000001</v>
      </c>
      <c r="BS39">
        <f>Wind_turbines!F34</f>
        <v>13.139154000000001</v>
      </c>
      <c r="BT39">
        <f>Wind_turbines!G34</f>
        <v>12.088021680000002</v>
      </c>
      <c r="BU39">
        <f>Wind_turbines!H34</f>
        <v>11.8252386</v>
      </c>
      <c r="BV39">
        <f>Wind_turbines!C46</f>
        <v>1.5641850000000001E-3</v>
      </c>
      <c r="BW39">
        <f>Wind_turbines!D46</f>
        <v>1.5641850000000001E-3</v>
      </c>
      <c r="BX39">
        <f>Wind_turbines!E46</f>
        <v>1.5641850000000001E-3</v>
      </c>
      <c r="BY39">
        <f>Wind_turbines!F46</f>
        <v>1.4077665000000001E-3</v>
      </c>
      <c r="BZ39">
        <f>Wind_turbines!G46</f>
        <v>1.2930596E-3</v>
      </c>
      <c r="CA39">
        <f>Wind_turbines!H46</f>
        <v>1.2722038E-3</v>
      </c>
      <c r="CB39">
        <v>0</v>
      </c>
      <c r="CC39">
        <v>0</v>
      </c>
      <c r="CD39">
        <v>0</v>
      </c>
      <c r="CE39">
        <v>0</v>
      </c>
      <c r="CF39">
        <v>0</v>
      </c>
      <c r="CG39">
        <v>0</v>
      </c>
      <c r="CH39">
        <v>0</v>
      </c>
      <c r="CI39">
        <v>0</v>
      </c>
      <c r="CJ39">
        <v>0</v>
      </c>
      <c r="CK39">
        <v>0</v>
      </c>
      <c r="CL39">
        <v>0</v>
      </c>
      <c r="CM39">
        <v>0</v>
      </c>
      <c r="CN39" s="126">
        <f>Wind_turbines!C82</f>
        <v>55.12222222222222</v>
      </c>
      <c r="CO39" s="126">
        <f>Wind_turbines!D82</f>
        <v>55.12222222222222</v>
      </c>
      <c r="CP39" s="126">
        <f>Wind_turbines!E82</f>
        <v>55.12222222222222</v>
      </c>
      <c r="CQ39">
        <f t="shared" si="14"/>
        <v>36.766522222222221</v>
      </c>
      <c r="CR39">
        <f t="shared" si="15"/>
        <v>18.410822222222219</v>
      </c>
      <c r="CS39">
        <f t="shared" si="16"/>
        <v>5.5122222222222218E-2</v>
      </c>
      <c r="CT39">
        <v>0</v>
      </c>
      <c r="CU39">
        <v>0</v>
      </c>
      <c r="CV39">
        <v>0</v>
      </c>
      <c r="CW39">
        <f t="shared" si="11"/>
        <v>0</v>
      </c>
      <c r="CX39">
        <f t="shared" si="12"/>
        <v>0</v>
      </c>
      <c r="CY39">
        <f t="shared" si="13"/>
        <v>0</v>
      </c>
      <c r="CZ39">
        <f>Wind_turbines!C70</f>
        <v>9.1448096207564403E-2</v>
      </c>
      <c r="DA39">
        <f>Wind_turbines!D70</f>
        <v>9.1448096207564403E-2</v>
      </c>
      <c r="DB39">
        <f>Wind_turbines!E70</f>
        <v>9.1448096207564403E-2</v>
      </c>
      <c r="DC39">
        <f>Wind_turbines!F70</f>
        <v>8.4918639638364407E-2</v>
      </c>
      <c r="DD39">
        <f>Wind_turbines!G70</f>
        <v>8.8827433387272267E-2</v>
      </c>
      <c r="DE39">
        <f>Wind_turbines!H70</f>
        <v>8.8827433387272267E-2</v>
      </c>
    </row>
    <row r="40" spans="1:109" x14ac:dyDescent="0.3">
      <c r="A40" s="201"/>
      <c r="B40" s="90" t="str">
        <f t="shared" si="22"/>
        <v>RPU_ON_SP321-HH100</v>
      </c>
      <c r="C40" s="37" t="str">
        <f t="shared" si="21"/>
        <v>-</v>
      </c>
      <c r="D40" s="17" t="s">
        <v>1582</v>
      </c>
      <c r="E40" s="25">
        <f t="shared" si="8"/>
        <v>33</v>
      </c>
      <c r="F40" s="13">
        <v>1</v>
      </c>
      <c r="G40" s="13" t="s">
        <v>1556</v>
      </c>
      <c r="H40" s="13">
        <v>0</v>
      </c>
      <c r="I40">
        <v>0</v>
      </c>
      <c r="J40" t="s">
        <v>51</v>
      </c>
      <c r="K40">
        <v>1</v>
      </c>
      <c r="L40">
        <v>0</v>
      </c>
      <c r="M40">
        <f t="shared" si="20"/>
        <v>2000000</v>
      </c>
      <c r="N40">
        <v>0</v>
      </c>
      <c r="O40">
        <v>0</v>
      </c>
      <c r="P40">
        <v>0</v>
      </c>
      <c r="Q40">
        <v>0</v>
      </c>
      <c r="R40">
        <v>0</v>
      </c>
      <c r="S40">
        <v>0</v>
      </c>
      <c r="T40" s="82">
        <v>0</v>
      </c>
      <c r="U40" s="82">
        <v>0</v>
      </c>
      <c r="V40" s="82">
        <v>0</v>
      </c>
      <c r="W40" s="82">
        <v>0</v>
      </c>
      <c r="X40" s="82">
        <v>0</v>
      </c>
      <c r="Y40" s="82">
        <v>0</v>
      </c>
      <c r="Z40">
        <v>0</v>
      </c>
      <c r="AA40">
        <v>0</v>
      </c>
      <c r="AB40">
        <v>0</v>
      </c>
      <c r="AC40">
        <v>0</v>
      </c>
      <c r="AD40">
        <v>0</v>
      </c>
      <c r="AE40">
        <v>0</v>
      </c>
      <c r="AF40" s="79">
        <v>0</v>
      </c>
      <c r="AG40" s="79">
        <v>0</v>
      </c>
      <c r="AH40" s="79">
        <v>0</v>
      </c>
      <c r="AI40" s="79">
        <v>0</v>
      </c>
      <c r="AJ40" s="79">
        <v>0</v>
      </c>
      <c r="AK40" s="79">
        <v>0</v>
      </c>
      <c r="AL40" s="79">
        <v>1</v>
      </c>
      <c r="AM40" s="79">
        <v>1</v>
      </c>
      <c r="AN40" s="79">
        <v>1</v>
      </c>
      <c r="AO40" s="79">
        <v>1</v>
      </c>
      <c r="AP40" s="79">
        <v>1</v>
      </c>
      <c r="AQ40" s="79">
        <v>1</v>
      </c>
      <c r="AR40" s="79">
        <v>1</v>
      </c>
      <c r="AS40" s="79">
        <v>1</v>
      </c>
      <c r="AT40" s="79">
        <v>1</v>
      </c>
      <c r="AU40" s="79">
        <v>1</v>
      </c>
      <c r="AV40" s="79">
        <v>1</v>
      </c>
      <c r="AW40" s="79">
        <v>1</v>
      </c>
      <c r="AX40" s="79">
        <v>1</v>
      </c>
      <c r="AY40" s="79">
        <v>1</v>
      </c>
      <c r="AZ40" s="79">
        <v>1</v>
      </c>
      <c r="BA40" s="79">
        <v>1</v>
      </c>
      <c r="BB40" s="79">
        <v>1</v>
      </c>
      <c r="BC40" s="79">
        <v>1</v>
      </c>
      <c r="BD40">
        <v>0</v>
      </c>
      <c r="BE40">
        <v>0</v>
      </c>
      <c r="BF40">
        <v>0</v>
      </c>
      <c r="BG40">
        <v>0</v>
      </c>
      <c r="BH40">
        <v>0</v>
      </c>
      <c r="BI40">
        <v>0</v>
      </c>
      <c r="BJ40">
        <f>Wind_turbines!C23</f>
        <v>1301.2947800734096</v>
      </c>
      <c r="BK40">
        <f>Wind_turbines!D23</f>
        <v>1301.2947800734096</v>
      </c>
      <c r="BL40">
        <f>Wind_turbines!E23</f>
        <v>1301.2947800734096</v>
      </c>
      <c r="BM40">
        <f>Wind_turbines!F23</f>
        <v>1208.3451529253089</v>
      </c>
      <c r="BN40">
        <f>Wind_turbines!G23</f>
        <v>1138.6329325642334</v>
      </c>
      <c r="BO40">
        <f>Wind_turbines!H23</f>
        <v>1115.3955257772077</v>
      </c>
      <c r="BP40">
        <f>Wind_turbines!C35</f>
        <v>14.599060000000001</v>
      </c>
      <c r="BQ40">
        <f>Wind_turbines!D35</f>
        <v>14.599060000000001</v>
      </c>
      <c r="BR40">
        <f>Wind_turbines!E35</f>
        <v>14.599060000000001</v>
      </c>
      <c r="BS40">
        <f>Wind_turbines!F35</f>
        <v>13.139154000000001</v>
      </c>
      <c r="BT40">
        <f>Wind_turbines!G35</f>
        <v>12.088021680000002</v>
      </c>
      <c r="BU40">
        <f>Wind_turbines!H35</f>
        <v>11.8252386</v>
      </c>
      <c r="BV40">
        <f>Wind_turbines!C47</f>
        <v>1.5641850000000001E-3</v>
      </c>
      <c r="BW40">
        <f>Wind_turbines!D47</f>
        <v>1.5641850000000001E-3</v>
      </c>
      <c r="BX40">
        <f>Wind_turbines!E47</f>
        <v>1.5641850000000001E-3</v>
      </c>
      <c r="BY40">
        <f>Wind_turbines!F47</f>
        <v>1.4077665000000001E-3</v>
      </c>
      <c r="BZ40">
        <f>Wind_turbines!G47</f>
        <v>1.2930596E-3</v>
      </c>
      <c r="CA40">
        <f>Wind_turbines!H47</f>
        <v>1.2722038E-3</v>
      </c>
      <c r="CB40">
        <v>0</v>
      </c>
      <c r="CC40">
        <v>0</v>
      </c>
      <c r="CD40">
        <v>0</v>
      </c>
      <c r="CE40">
        <v>0</v>
      </c>
      <c r="CF40">
        <v>0</v>
      </c>
      <c r="CG40">
        <v>0</v>
      </c>
      <c r="CH40">
        <v>0</v>
      </c>
      <c r="CI40">
        <v>0</v>
      </c>
      <c r="CJ40">
        <v>0</v>
      </c>
      <c r="CK40">
        <v>0</v>
      </c>
      <c r="CL40">
        <v>0</v>
      </c>
      <c r="CM40">
        <v>0</v>
      </c>
      <c r="CN40" s="126">
        <f>Wind_turbines!C83</f>
        <v>55.12222222222222</v>
      </c>
      <c r="CO40" s="126">
        <f>Wind_turbines!D83</f>
        <v>55.12222222222222</v>
      </c>
      <c r="CP40" s="126">
        <f>Wind_turbines!E83</f>
        <v>55.12222222222222</v>
      </c>
      <c r="CQ40">
        <f t="shared" si="14"/>
        <v>36.766522222222221</v>
      </c>
      <c r="CR40">
        <f t="shared" si="15"/>
        <v>18.410822222222219</v>
      </c>
      <c r="CS40">
        <f t="shared" si="16"/>
        <v>5.5122222222222218E-2</v>
      </c>
      <c r="CT40">
        <v>0</v>
      </c>
      <c r="CU40">
        <v>0</v>
      </c>
      <c r="CV40">
        <v>0</v>
      </c>
      <c r="CW40">
        <f t="shared" si="11"/>
        <v>0</v>
      </c>
      <c r="CX40">
        <f t="shared" si="12"/>
        <v>0</v>
      </c>
      <c r="CY40">
        <f t="shared" si="13"/>
        <v>0</v>
      </c>
      <c r="CZ40">
        <f>Wind_turbines!C71</f>
        <v>9.1448096207564403E-2</v>
      </c>
      <c r="DA40">
        <f>Wind_turbines!D71</f>
        <v>9.1448096207564403E-2</v>
      </c>
      <c r="DB40">
        <f>Wind_turbines!E71</f>
        <v>9.1448096207564403E-2</v>
      </c>
      <c r="DC40">
        <f>Wind_turbines!F71</f>
        <v>8.4918639638364407E-2</v>
      </c>
      <c r="DD40">
        <f>Wind_turbines!G71</f>
        <v>8.8827433387272267E-2</v>
      </c>
      <c r="DE40">
        <f>Wind_turbines!H71</f>
        <v>8.8827433387272267E-2</v>
      </c>
    </row>
    <row r="41" spans="1:109" x14ac:dyDescent="0.3">
      <c r="A41" s="201"/>
      <c r="B41" s="90" t="str">
        <f t="shared" si="22"/>
        <v>RPU_ON_SP321-HH150</v>
      </c>
      <c r="C41" s="37" t="str">
        <f t="shared" si="21"/>
        <v>-</v>
      </c>
      <c r="D41" s="17" t="s">
        <v>1583</v>
      </c>
      <c r="E41" s="25">
        <f t="shared" si="8"/>
        <v>34</v>
      </c>
      <c r="F41" s="13">
        <v>1</v>
      </c>
      <c r="G41" s="13" t="s">
        <v>1558</v>
      </c>
      <c r="H41" s="13">
        <v>0</v>
      </c>
      <c r="I41">
        <v>0</v>
      </c>
      <c r="J41" t="s">
        <v>51</v>
      </c>
      <c r="K41">
        <v>1</v>
      </c>
      <c r="L41">
        <v>0</v>
      </c>
      <c r="M41">
        <f t="shared" si="20"/>
        <v>2000000</v>
      </c>
      <c r="N41">
        <v>0</v>
      </c>
      <c r="O41">
        <v>0</v>
      </c>
      <c r="P41">
        <v>0</v>
      </c>
      <c r="Q41">
        <v>0</v>
      </c>
      <c r="R41">
        <v>0</v>
      </c>
      <c r="S41">
        <v>0</v>
      </c>
      <c r="T41" s="82">
        <v>0</v>
      </c>
      <c r="U41" s="82">
        <v>0</v>
      </c>
      <c r="V41" s="82">
        <v>0</v>
      </c>
      <c r="W41" s="82">
        <v>0</v>
      </c>
      <c r="X41" s="82">
        <v>0</v>
      </c>
      <c r="Y41" s="82">
        <v>0</v>
      </c>
      <c r="Z41">
        <v>0</v>
      </c>
      <c r="AA41">
        <v>0</v>
      </c>
      <c r="AB41">
        <v>0</v>
      </c>
      <c r="AC41">
        <v>0</v>
      </c>
      <c r="AD41">
        <v>0</v>
      </c>
      <c r="AE41">
        <v>0</v>
      </c>
      <c r="AF41" s="79">
        <v>0</v>
      </c>
      <c r="AG41" s="79">
        <v>0</v>
      </c>
      <c r="AH41" s="79">
        <v>0</v>
      </c>
      <c r="AI41" s="79">
        <v>0</v>
      </c>
      <c r="AJ41" s="79">
        <v>0</v>
      </c>
      <c r="AK41" s="79">
        <v>0</v>
      </c>
      <c r="AL41" s="79">
        <v>1</v>
      </c>
      <c r="AM41" s="79">
        <v>1</v>
      </c>
      <c r="AN41" s="79">
        <v>1</v>
      </c>
      <c r="AO41" s="79">
        <v>1</v>
      </c>
      <c r="AP41" s="79">
        <v>1</v>
      </c>
      <c r="AQ41" s="79">
        <v>1</v>
      </c>
      <c r="AR41" s="79">
        <v>1</v>
      </c>
      <c r="AS41" s="79">
        <v>1</v>
      </c>
      <c r="AT41" s="79">
        <v>1</v>
      </c>
      <c r="AU41" s="79">
        <v>1</v>
      </c>
      <c r="AV41" s="79">
        <v>1</v>
      </c>
      <c r="AW41" s="79">
        <v>1</v>
      </c>
      <c r="AX41" s="79">
        <v>1</v>
      </c>
      <c r="AY41" s="79">
        <v>1</v>
      </c>
      <c r="AZ41" s="79">
        <v>1</v>
      </c>
      <c r="BA41" s="79">
        <v>1</v>
      </c>
      <c r="BB41" s="79">
        <v>1</v>
      </c>
      <c r="BC41" s="79">
        <v>1</v>
      </c>
      <c r="BD41">
        <v>0</v>
      </c>
      <c r="BE41">
        <v>0</v>
      </c>
      <c r="BF41">
        <v>0</v>
      </c>
      <c r="BG41">
        <v>0</v>
      </c>
      <c r="BH41">
        <v>0</v>
      </c>
      <c r="BI41">
        <v>0</v>
      </c>
      <c r="BJ41">
        <f>Wind_turbines!C24</f>
        <v>1694.0063453254108</v>
      </c>
      <c r="BK41">
        <f>Wind_turbines!D24</f>
        <v>1694.0063453254108</v>
      </c>
      <c r="BL41">
        <f>Wind_turbines!E24</f>
        <v>1694.0063453254108</v>
      </c>
      <c r="BM41">
        <f>Wind_turbines!F24</f>
        <v>1573.0058920878812</v>
      </c>
      <c r="BN41">
        <f>Wind_turbines!G24</f>
        <v>1482.2555521597342</v>
      </c>
      <c r="BO41">
        <f>Wind_turbines!H24</f>
        <v>1452.0054388503518</v>
      </c>
      <c r="BP41">
        <f>Wind_turbines!C36</f>
        <v>14.599060000000001</v>
      </c>
      <c r="BQ41">
        <f>Wind_turbines!D36</f>
        <v>14.599060000000001</v>
      </c>
      <c r="BR41">
        <f>Wind_turbines!E36</f>
        <v>14.599060000000001</v>
      </c>
      <c r="BS41">
        <f>Wind_turbines!F36</f>
        <v>13.139154000000001</v>
      </c>
      <c r="BT41">
        <f>Wind_turbines!G36</f>
        <v>12.088021680000002</v>
      </c>
      <c r="BU41">
        <f>Wind_turbines!H36</f>
        <v>11.8252386</v>
      </c>
      <c r="BV41">
        <f>Wind_turbines!C48</f>
        <v>1.5641850000000001E-3</v>
      </c>
      <c r="BW41">
        <f>Wind_turbines!D48</f>
        <v>1.5641850000000001E-3</v>
      </c>
      <c r="BX41">
        <f>Wind_turbines!E48</f>
        <v>1.5641850000000001E-3</v>
      </c>
      <c r="BY41">
        <f>Wind_turbines!F48</f>
        <v>1.4077665000000001E-3</v>
      </c>
      <c r="BZ41">
        <f>Wind_turbines!G48</f>
        <v>1.2930596E-3</v>
      </c>
      <c r="CA41">
        <f>Wind_turbines!H48</f>
        <v>1.2722038E-3</v>
      </c>
      <c r="CB41">
        <v>0</v>
      </c>
      <c r="CC41">
        <v>0</v>
      </c>
      <c r="CD41">
        <v>0</v>
      </c>
      <c r="CE41">
        <v>0</v>
      </c>
      <c r="CF41">
        <v>0</v>
      </c>
      <c r="CG41">
        <v>0</v>
      </c>
      <c r="CH41">
        <v>0</v>
      </c>
      <c r="CI41">
        <v>0</v>
      </c>
      <c r="CJ41">
        <v>0</v>
      </c>
      <c r="CK41">
        <v>0</v>
      </c>
      <c r="CL41">
        <v>0</v>
      </c>
      <c r="CM41">
        <v>0</v>
      </c>
      <c r="CN41" s="126">
        <f>Wind_turbines!C84</f>
        <v>55.12222222222222</v>
      </c>
      <c r="CO41" s="126">
        <f>Wind_turbines!D84</f>
        <v>55.12222222222222</v>
      </c>
      <c r="CP41" s="126">
        <f>Wind_turbines!E84</f>
        <v>55.12222222222222</v>
      </c>
      <c r="CQ41">
        <f t="shared" si="14"/>
        <v>36.766522222222221</v>
      </c>
      <c r="CR41">
        <f t="shared" si="15"/>
        <v>18.410822222222219</v>
      </c>
      <c r="CS41">
        <f t="shared" si="16"/>
        <v>5.5122222222222218E-2</v>
      </c>
      <c r="CT41">
        <v>0</v>
      </c>
      <c r="CU41">
        <v>0</v>
      </c>
      <c r="CV41">
        <v>0</v>
      </c>
      <c r="CW41">
        <f t="shared" si="11"/>
        <v>0</v>
      </c>
      <c r="CX41">
        <f t="shared" si="12"/>
        <v>0</v>
      </c>
      <c r="CY41">
        <f t="shared" si="13"/>
        <v>0</v>
      </c>
      <c r="CZ41">
        <f>Wind_turbines!C72</f>
        <v>9.1448096207564403E-2</v>
      </c>
      <c r="DA41">
        <f>Wind_turbines!D72</f>
        <v>9.1448096207564403E-2</v>
      </c>
      <c r="DB41">
        <f>Wind_turbines!E72</f>
        <v>9.1448096207564403E-2</v>
      </c>
      <c r="DC41">
        <f>Wind_turbines!F72</f>
        <v>8.4918639638364407E-2</v>
      </c>
      <c r="DD41">
        <f>Wind_turbines!G72</f>
        <v>8.8827433387272267E-2</v>
      </c>
      <c r="DE41">
        <f>Wind_turbines!H72</f>
        <v>8.8827433387272267E-2</v>
      </c>
    </row>
    <row r="42" spans="1:109" x14ac:dyDescent="0.3">
      <c r="A42" s="201"/>
      <c r="B42" s="90" t="str">
        <f t="shared" si="22"/>
        <v>RPU_OFF_SP379-HH100</v>
      </c>
      <c r="C42" s="37" t="str">
        <f t="shared" si="21"/>
        <v>-</v>
      </c>
      <c r="D42" s="17" t="s">
        <v>1584</v>
      </c>
      <c r="E42" s="25">
        <f t="shared" si="8"/>
        <v>35</v>
      </c>
      <c r="F42" s="13">
        <v>1</v>
      </c>
      <c r="G42" s="13" t="s">
        <v>1559</v>
      </c>
      <c r="H42" s="13">
        <v>0</v>
      </c>
      <c r="I42">
        <v>0</v>
      </c>
      <c r="J42" t="s">
        <v>51</v>
      </c>
      <c r="K42">
        <v>1</v>
      </c>
      <c r="L42">
        <v>0</v>
      </c>
      <c r="M42">
        <f t="shared" si="20"/>
        <v>2000000</v>
      </c>
      <c r="N42">
        <v>0</v>
      </c>
      <c r="O42">
        <v>0</v>
      </c>
      <c r="P42">
        <v>0</v>
      </c>
      <c r="Q42">
        <v>0</v>
      </c>
      <c r="R42">
        <v>0</v>
      </c>
      <c r="S42">
        <v>0</v>
      </c>
      <c r="T42" s="82">
        <v>0</v>
      </c>
      <c r="U42" s="82">
        <v>0</v>
      </c>
      <c r="V42" s="82">
        <v>0</v>
      </c>
      <c r="W42" s="82">
        <v>0</v>
      </c>
      <c r="X42" s="82">
        <v>0</v>
      </c>
      <c r="Y42" s="82">
        <v>0</v>
      </c>
      <c r="Z42">
        <v>0</v>
      </c>
      <c r="AA42">
        <v>0</v>
      </c>
      <c r="AB42">
        <v>0</v>
      </c>
      <c r="AC42">
        <v>0</v>
      </c>
      <c r="AD42">
        <v>0</v>
      </c>
      <c r="AE42">
        <v>0</v>
      </c>
      <c r="AF42" s="79">
        <v>0</v>
      </c>
      <c r="AG42" s="79">
        <v>0</v>
      </c>
      <c r="AH42" s="79">
        <v>0</v>
      </c>
      <c r="AI42" s="79">
        <v>0</v>
      </c>
      <c r="AJ42" s="79">
        <v>0</v>
      </c>
      <c r="AK42" s="79">
        <v>0</v>
      </c>
      <c r="AL42" s="79">
        <v>1</v>
      </c>
      <c r="AM42" s="79">
        <v>1</v>
      </c>
      <c r="AN42" s="79">
        <v>1</v>
      </c>
      <c r="AO42" s="79">
        <v>1</v>
      </c>
      <c r="AP42" s="79">
        <v>1</v>
      </c>
      <c r="AQ42" s="79">
        <v>1</v>
      </c>
      <c r="AR42" s="79">
        <v>1</v>
      </c>
      <c r="AS42" s="79">
        <v>1</v>
      </c>
      <c r="AT42" s="79">
        <v>1</v>
      </c>
      <c r="AU42" s="79">
        <v>1</v>
      </c>
      <c r="AV42" s="79">
        <v>1</v>
      </c>
      <c r="AW42" s="79">
        <v>1</v>
      </c>
      <c r="AX42" s="79">
        <v>1</v>
      </c>
      <c r="AY42" s="79">
        <v>1</v>
      </c>
      <c r="AZ42" s="79">
        <v>1</v>
      </c>
      <c r="BA42" s="79">
        <v>1</v>
      </c>
      <c r="BB42" s="79">
        <v>1</v>
      </c>
      <c r="BC42" s="79">
        <v>1</v>
      </c>
      <c r="BD42">
        <v>0</v>
      </c>
      <c r="BE42">
        <v>0</v>
      </c>
      <c r="BF42">
        <v>0</v>
      </c>
      <c r="BG42">
        <v>0</v>
      </c>
      <c r="BH42">
        <v>0</v>
      </c>
      <c r="BI42">
        <v>0</v>
      </c>
      <c r="BJ42">
        <f>Wind_turbines!C25</f>
        <v>2205.1904479084506</v>
      </c>
      <c r="BK42">
        <f>Wind_turbines!D25</f>
        <v>2205.1904479084506</v>
      </c>
      <c r="BL42">
        <f>Wind_turbines!E25</f>
        <v>2205.1904479084506</v>
      </c>
      <c r="BM42">
        <f>Wind_turbines!F25</f>
        <v>1998.1303119546053</v>
      </c>
      <c r="BN42">
        <f>Wind_turbines!G25</f>
        <v>1873.8942303822985</v>
      </c>
      <c r="BO42">
        <f>Wind_turbines!H25</f>
        <v>1842.8352099892215</v>
      </c>
      <c r="BP42">
        <f>Wind_turbines!C37</f>
        <v>41.773124610000004</v>
      </c>
      <c r="BQ42">
        <f>Wind_turbines!D37</f>
        <v>41.773124610000004</v>
      </c>
      <c r="BR42">
        <f>Wind_turbines!E37</f>
        <v>41.773124610000004</v>
      </c>
      <c r="BS42">
        <f>Wind_turbines!F37</f>
        <v>37.595707870000005</v>
      </c>
      <c r="BT42">
        <f>Wind_turbines!G37</f>
        <v>34.588301510000008</v>
      </c>
      <c r="BU42">
        <f>Wind_turbines!H37</f>
        <v>33.836449920000007</v>
      </c>
      <c r="BV42">
        <f>Wind_turbines!C49</f>
        <v>3.1283700000000001E-3</v>
      </c>
      <c r="BW42">
        <f>Wind_turbines!D49</f>
        <v>3.1283700000000001E-3</v>
      </c>
      <c r="BX42">
        <f>Wind_turbines!E49</f>
        <v>3.1283700000000001E-3</v>
      </c>
      <c r="BY42">
        <f>Wind_turbines!F49</f>
        <v>2.8155330000000003E-3</v>
      </c>
      <c r="BZ42">
        <f>Wind_turbines!G49</f>
        <v>2.6069750000000001E-3</v>
      </c>
      <c r="CA42">
        <f>Wind_turbines!H49</f>
        <v>2.5026960000000004E-3</v>
      </c>
      <c r="CB42">
        <v>0</v>
      </c>
      <c r="CC42">
        <v>0</v>
      </c>
      <c r="CD42">
        <v>0</v>
      </c>
      <c r="CE42">
        <v>0</v>
      </c>
      <c r="CF42">
        <v>0</v>
      </c>
      <c r="CG42">
        <v>0</v>
      </c>
      <c r="CH42">
        <v>0</v>
      </c>
      <c r="CI42">
        <v>0</v>
      </c>
      <c r="CJ42">
        <v>0</v>
      </c>
      <c r="CK42">
        <v>0</v>
      </c>
      <c r="CL42">
        <v>0</v>
      </c>
      <c r="CM42">
        <v>0</v>
      </c>
      <c r="CN42">
        <f>Wind_turbines!C85</f>
        <v>53.529999999999994</v>
      </c>
      <c r="CO42">
        <f>Wind_turbines!D85</f>
        <v>53.529999999999994</v>
      </c>
      <c r="CP42">
        <f>Wind_turbines!E85</f>
        <v>53.529999999999994</v>
      </c>
      <c r="CQ42">
        <f t="shared" si="14"/>
        <v>35.704509999999999</v>
      </c>
      <c r="CR42">
        <f t="shared" si="15"/>
        <v>17.879019999999997</v>
      </c>
      <c r="CS42">
        <f t="shared" si="16"/>
        <v>5.3529999999999994E-2</v>
      </c>
      <c r="CT42">
        <v>0</v>
      </c>
      <c r="CU42">
        <v>0</v>
      </c>
      <c r="CV42">
        <v>0</v>
      </c>
      <c r="CW42">
        <f t="shared" si="11"/>
        <v>0</v>
      </c>
      <c r="CX42">
        <f t="shared" si="12"/>
        <v>0</v>
      </c>
      <c r="CY42">
        <f t="shared" si="13"/>
        <v>0</v>
      </c>
      <c r="CZ42">
        <f>Wind_turbines!C73</f>
        <v>9.1448096207564403E-2</v>
      </c>
      <c r="DA42">
        <f>Wind_turbines!D73</f>
        <v>9.1448096207564403E-2</v>
      </c>
      <c r="DB42">
        <f>Wind_turbines!E73</f>
        <v>9.1448096207564403E-2</v>
      </c>
      <c r="DC42">
        <f>Wind_turbines!F73</f>
        <v>8.4918639638364407E-2</v>
      </c>
      <c r="DD42">
        <f>Wind_turbines!G73</f>
        <v>8.8827433387272267E-2</v>
      </c>
      <c r="DE42">
        <f>Wind_turbines!H73</f>
        <v>8.8827433387272267E-2</v>
      </c>
    </row>
    <row r="43" spans="1:109" x14ac:dyDescent="0.3">
      <c r="A43" s="201"/>
      <c r="B43" s="90" t="str">
        <f t="shared" si="22"/>
        <v>RPU_OFF_SP379-HH150</v>
      </c>
      <c r="C43" s="37" t="str">
        <f t="shared" si="21"/>
        <v>-</v>
      </c>
      <c r="D43" s="17" t="s">
        <v>1585</v>
      </c>
      <c r="E43" s="25">
        <f t="shared" si="8"/>
        <v>36</v>
      </c>
      <c r="F43" s="13">
        <v>1</v>
      </c>
      <c r="G43" s="13" t="s">
        <v>1562</v>
      </c>
      <c r="H43" s="13">
        <v>0</v>
      </c>
      <c r="I43">
        <v>0</v>
      </c>
      <c r="J43" t="s">
        <v>51</v>
      </c>
      <c r="K43">
        <v>1</v>
      </c>
      <c r="L43">
        <v>0</v>
      </c>
      <c r="M43">
        <f t="shared" si="20"/>
        <v>2000000</v>
      </c>
      <c r="N43">
        <v>0</v>
      </c>
      <c r="O43">
        <v>0</v>
      </c>
      <c r="P43">
        <v>0</v>
      </c>
      <c r="Q43">
        <v>0</v>
      </c>
      <c r="R43">
        <v>0</v>
      </c>
      <c r="S43">
        <v>0</v>
      </c>
      <c r="T43" s="82">
        <v>0</v>
      </c>
      <c r="U43" s="82">
        <v>0</v>
      </c>
      <c r="V43" s="82">
        <v>0</v>
      </c>
      <c r="W43" s="82">
        <v>0</v>
      </c>
      <c r="X43" s="82">
        <v>0</v>
      </c>
      <c r="Y43" s="82">
        <v>0</v>
      </c>
      <c r="Z43">
        <v>0</v>
      </c>
      <c r="AA43">
        <v>0</v>
      </c>
      <c r="AB43">
        <v>0</v>
      </c>
      <c r="AC43">
        <v>0</v>
      </c>
      <c r="AD43">
        <v>0</v>
      </c>
      <c r="AE43">
        <v>0</v>
      </c>
      <c r="AF43" s="79">
        <v>0</v>
      </c>
      <c r="AG43" s="79">
        <v>0</v>
      </c>
      <c r="AH43" s="79">
        <v>0</v>
      </c>
      <c r="AI43" s="79">
        <v>0</v>
      </c>
      <c r="AJ43" s="79">
        <v>0</v>
      </c>
      <c r="AK43" s="79">
        <v>0</v>
      </c>
      <c r="AL43" s="79">
        <v>1</v>
      </c>
      <c r="AM43" s="79">
        <v>1</v>
      </c>
      <c r="AN43" s="79">
        <v>1</v>
      </c>
      <c r="AO43" s="79">
        <v>1</v>
      </c>
      <c r="AP43" s="79">
        <v>1</v>
      </c>
      <c r="AQ43" s="79">
        <v>1</v>
      </c>
      <c r="AR43" s="79">
        <v>1</v>
      </c>
      <c r="AS43" s="79">
        <v>1</v>
      </c>
      <c r="AT43" s="79">
        <v>1</v>
      </c>
      <c r="AU43" s="79">
        <v>1</v>
      </c>
      <c r="AV43" s="79">
        <v>1</v>
      </c>
      <c r="AW43" s="79">
        <v>1</v>
      </c>
      <c r="AX43" s="79">
        <v>1</v>
      </c>
      <c r="AY43" s="79">
        <v>1</v>
      </c>
      <c r="AZ43" s="79">
        <v>1</v>
      </c>
      <c r="BA43" s="79">
        <v>1</v>
      </c>
      <c r="BB43" s="79">
        <v>1</v>
      </c>
      <c r="BC43" s="79">
        <v>1</v>
      </c>
      <c r="BD43">
        <v>0</v>
      </c>
      <c r="BE43">
        <v>0</v>
      </c>
      <c r="BF43">
        <v>0</v>
      </c>
      <c r="BG43">
        <v>0</v>
      </c>
      <c r="BH43">
        <v>0</v>
      </c>
      <c r="BI43">
        <v>0</v>
      </c>
      <c r="BJ43">
        <f>Wind_turbines!C26</f>
        <v>2534.6071744804217</v>
      </c>
      <c r="BK43">
        <f>Wind_turbines!D26</f>
        <v>2534.6071744804217</v>
      </c>
      <c r="BL43">
        <f>Wind_turbines!E26</f>
        <v>2534.6071744804217</v>
      </c>
      <c r="BM43">
        <f>Wind_turbines!F26</f>
        <v>2296.6158904916497</v>
      </c>
      <c r="BN43">
        <f>Wind_turbines!G26</f>
        <v>2153.8211200983869</v>
      </c>
      <c r="BO43">
        <f>Wind_turbines!H26</f>
        <v>2118.1224275000709</v>
      </c>
      <c r="BP43">
        <f>Wind_turbines!C38</f>
        <v>41.773124610000004</v>
      </c>
      <c r="BQ43">
        <f>Wind_turbines!D38</f>
        <v>41.773124610000004</v>
      </c>
      <c r="BR43">
        <f>Wind_turbines!E38</f>
        <v>41.773124610000004</v>
      </c>
      <c r="BS43">
        <f>Wind_turbines!F38</f>
        <v>37.595707870000005</v>
      </c>
      <c r="BT43">
        <f>Wind_turbines!G38</f>
        <v>34.588301510000008</v>
      </c>
      <c r="BU43">
        <f>Wind_turbines!H38</f>
        <v>33.836449920000007</v>
      </c>
      <c r="BV43">
        <f>Wind_turbines!C50</f>
        <v>3.1283700000000001E-3</v>
      </c>
      <c r="BW43">
        <f>Wind_turbines!D50</f>
        <v>3.1283700000000001E-3</v>
      </c>
      <c r="BX43">
        <f>Wind_turbines!E50</f>
        <v>3.1283700000000001E-3</v>
      </c>
      <c r="BY43">
        <f>Wind_turbines!F50</f>
        <v>2.8155330000000003E-3</v>
      </c>
      <c r="BZ43">
        <f>Wind_turbines!G50</f>
        <v>2.6069750000000001E-3</v>
      </c>
      <c r="CA43">
        <f>Wind_turbines!H50</f>
        <v>2.5026960000000004E-3</v>
      </c>
      <c r="CB43">
        <v>0</v>
      </c>
      <c r="CC43">
        <v>0</v>
      </c>
      <c r="CD43">
        <v>0</v>
      </c>
      <c r="CE43">
        <v>0</v>
      </c>
      <c r="CF43">
        <v>0</v>
      </c>
      <c r="CG43">
        <v>0</v>
      </c>
      <c r="CH43">
        <v>0</v>
      </c>
      <c r="CI43">
        <v>0</v>
      </c>
      <c r="CJ43">
        <v>0</v>
      </c>
      <c r="CK43">
        <v>0</v>
      </c>
      <c r="CL43">
        <v>0</v>
      </c>
      <c r="CM43">
        <v>0</v>
      </c>
      <c r="CN43">
        <f>Wind_turbines!C86</f>
        <v>53.529999999999994</v>
      </c>
      <c r="CO43">
        <f>Wind_turbines!D86</f>
        <v>53.529999999999994</v>
      </c>
      <c r="CP43">
        <f>Wind_turbines!E86</f>
        <v>53.529999999999994</v>
      </c>
      <c r="CQ43">
        <f t="shared" si="14"/>
        <v>35.704509999999999</v>
      </c>
      <c r="CR43">
        <f t="shared" si="15"/>
        <v>17.879019999999997</v>
      </c>
      <c r="CS43">
        <f t="shared" si="16"/>
        <v>5.3529999999999994E-2</v>
      </c>
      <c r="CT43">
        <v>0</v>
      </c>
      <c r="CU43">
        <v>0</v>
      </c>
      <c r="CV43">
        <v>0</v>
      </c>
      <c r="CW43">
        <f t="shared" si="11"/>
        <v>0</v>
      </c>
      <c r="CX43">
        <f t="shared" si="12"/>
        <v>0</v>
      </c>
      <c r="CY43">
        <f t="shared" si="13"/>
        <v>0</v>
      </c>
      <c r="CZ43">
        <f>Wind_turbines!C74</f>
        <v>9.1448096207564403E-2</v>
      </c>
      <c r="DA43">
        <f>Wind_turbines!D74</f>
        <v>9.1448096207564403E-2</v>
      </c>
      <c r="DB43">
        <f>Wind_turbines!E74</f>
        <v>9.1448096207564403E-2</v>
      </c>
      <c r="DC43">
        <f>Wind_turbines!F74</f>
        <v>8.4918639638364407E-2</v>
      </c>
      <c r="DD43">
        <f>Wind_turbines!G74</f>
        <v>8.8827433387272267E-2</v>
      </c>
      <c r="DE43">
        <f>Wind_turbines!H74</f>
        <v>8.8827433387272267E-2</v>
      </c>
    </row>
    <row r="44" spans="1:109" x14ac:dyDescent="0.3">
      <c r="A44" s="201"/>
      <c r="B44" s="90" t="str">
        <f t="shared" si="22"/>
        <v>RPU_OFF_SP450-HH100</v>
      </c>
      <c r="C44" s="37" t="str">
        <f t="shared" si="21"/>
        <v>-</v>
      </c>
      <c r="D44" s="17" t="s">
        <v>1586</v>
      </c>
      <c r="E44" s="25">
        <f t="shared" si="8"/>
        <v>37</v>
      </c>
      <c r="F44" s="13">
        <v>1</v>
      </c>
      <c r="G44" s="13" t="s">
        <v>1563</v>
      </c>
      <c r="H44" s="13">
        <v>0</v>
      </c>
      <c r="I44">
        <v>0</v>
      </c>
      <c r="J44" t="s">
        <v>51</v>
      </c>
      <c r="K44">
        <v>1</v>
      </c>
      <c r="L44">
        <v>0</v>
      </c>
      <c r="M44">
        <f t="shared" si="20"/>
        <v>2000000</v>
      </c>
      <c r="N44">
        <v>0</v>
      </c>
      <c r="O44">
        <v>0</v>
      </c>
      <c r="P44">
        <v>0</v>
      </c>
      <c r="Q44">
        <v>0</v>
      </c>
      <c r="R44">
        <v>0</v>
      </c>
      <c r="S44">
        <v>0</v>
      </c>
      <c r="T44" s="82">
        <v>0</v>
      </c>
      <c r="U44" s="82">
        <v>0</v>
      </c>
      <c r="V44" s="82">
        <v>0</v>
      </c>
      <c r="W44" s="82">
        <v>0</v>
      </c>
      <c r="X44" s="82">
        <v>0</v>
      </c>
      <c r="Y44" s="82">
        <v>0</v>
      </c>
      <c r="Z44">
        <v>0</v>
      </c>
      <c r="AA44">
        <v>0</v>
      </c>
      <c r="AB44">
        <v>0</v>
      </c>
      <c r="AC44">
        <v>0</v>
      </c>
      <c r="AD44">
        <v>0</v>
      </c>
      <c r="AE44">
        <v>0</v>
      </c>
      <c r="AF44" s="79">
        <v>0</v>
      </c>
      <c r="AG44" s="79">
        <v>0</v>
      </c>
      <c r="AH44" s="79">
        <v>0</v>
      </c>
      <c r="AI44" s="79">
        <v>0</v>
      </c>
      <c r="AJ44" s="79">
        <v>0</v>
      </c>
      <c r="AK44" s="79">
        <v>0</v>
      </c>
      <c r="AL44" s="79">
        <v>1</v>
      </c>
      <c r="AM44" s="79">
        <v>1</v>
      </c>
      <c r="AN44" s="79">
        <v>1</v>
      </c>
      <c r="AO44" s="79">
        <v>1</v>
      </c>
      <c r="AP44" s="79">
        <v>1</v>
      </c>
      <c r="AQ44" s="79">
        <v>1</v>
      </c>
      <c r="AR44" s="79">
        <v>1</v>
      </c>
      <c r="AS44" s="79">
        <v>1</v>
      </c>
      <c r="AT44" s="79">
        <v>1</v>
      </c>
      <c r="AU44" s="79">
        <v>1</v>
      </c>
      <c r="AV44" s="79">
        <v>1</v>
      </c>
      <c r="AW44" s="79">
        <v>1</v>
      </c>
      <c r="AX44" s="79">
        <v>1</v>
      </c>
      <c r="AY44" s="79">
        <v>1</v>
      </c>
      <c r="AZ44" s="79">
        <v>1</v>
      </c>
      <c r="BA44" s="79">
        <v>1</v>
      </c>
      <c r="BB44" s="79">
        <v>1</v>
      </c>
      <c r="BC44" s="79">
        <v>1</v>
      </c>
      <c r="BD44">
        <v>0</v>
      </c>
      <c r="BE44">
        <v>0</v>
      </c>
      <c r="BF44">
        <v>0</v>
      </c>
      <c r="BG44">
        <v>0</v>
      </c>
      <c r="BH44">
        <v>0</v>
      </c>
      <c r="BI44">
        <v>0</v>
      </c>
      <c r="BJ44">
        <f>Wind_turbines!C27</f>
        <v>1988.1234836201065</v>
      </c>
      <c r="BK44">
        <f>Wind_turbines!D27</f>
        <v>1988.1234836201065</v>
      </c>
      <c r="BL44">
        <f>Wind_turbines!E27</f>
        <v>1988.1234836201065</v>
      </c>
      <c r="BM44">
        <f>Wind_turbines!F27</f>
        <v>1801.4452222473265</v>
      </c>
      <c r="BN44">
        <f>Wind_turbines!G27</f>
        <v>1689.4382654236588</v>
      </c>
      <c r="BO44">
        <f>Wind_turbines!H27</f>
        <v>1661.4365262177421</v>
      </c>
      <c r="BP44">
        <f>Wind_turbines!C39</f>
        <v>41.773124610000004</v>
      </c>
      <c r="BQ44">
        <f>Wind_turbines!D39</f>
        <v>41.773124610000004</v>
      </c>
      <c r="BR44">
        <f>Wind_turbines!E39</f>
        <v>41.773124610000004</v>
      </c>
      <c r="BS44">
        <f>Wind_turbines!F39</f>
        <v>37.595707870000005</v>
      </c>
      <c r="BT44">
        <f>Wind_turbines!G39</f>
        <v>34.588301510000008</v>
      </c>
      <c r="BU44">
        <f>Wind_turbines!H39</f>
        <v>33.836449920000007</v>
      </c>
      <c r="BV44">
        <f>Wind_turbines!C51</f>
        <v>3.1283700000000001E-3</v>
      </c>
      <c r="BW44">
        <f>Wind_turbines!D51</f>
        <v>3.1283700000000001E-3</v>
      </c>
      <c r="BX44">
        <f>Wind_turbines!E51</f>
        <v>3.1283700000000001E-3</v>
      </c>
      <c r="BY44">
        <f>Wind_turbines!F51</f>
        <v>2.8155330000000003E-3</v>
      </c>
      <c r="BZ44">
        <f>Wind_turbines!G51</f>
        <v>2.6069750000000001E-3</v>
      </c>
      <c r="CA44">
        <f>Wind_turbines!H51</f>
        <v>2.5026960000000004E-3</v>
      </c>
      <c r="CB44">
        <v>0</v>
      </c>
      <c r="CC44">
        <v>0</v>
      </c>
      <c r="CD44">
        <v>0</v>
      </c>
      <c r="CE44">
        <v>0</v>
      </c>
      <c r="CF44">
        <v>0</v>
      </c>
      <c r="CG44">
        <v>0</v>
      </c>
      <c r="CH44">
        <v>0</v>
      </c>
      <c r="CI44">
        <v>0</v>
      </c>
      <c r="CJ44">
        <v>0</v>
      </c>
      <c r="CK44">
        <v>0</v>
      </c>
      <c r="CL44">
        <v>0</v>
      </c>
      <c r="CM44">
        <v>0</v>
      </c>
      <c r="CN44">
        <f>Wind_turbines!C87</f>
        <v>53.529999999999994</v>
      </c>
      <c r="CO44">
        <f>Wind_turbines!D87</f>
        <v>53.529999999999994</v>
      </c>
      <c r="CP44">
        <f>Wind_turbines!E87</f>
        <v>53.529999999999994</v>
      </c>
      <c r="CQ44">
        <f t="shared" si="14"/>
        <v>35.704509999999999</v>
      </c>
      <c r="CR44">
        <f t="shared" si="15"/>
        <v>17.879019999999997</v>
      </c>
      <c r="CS44">
        <f t="shared" si="16"/>
        <v>5.3529999999999994E-2</v>
      </c>
      <c r="CT44">
        <v>0</v>
      </c>
      <c r="CU44">
        <v>0</v>
      </c>
      <c r="CV44">
        <v>0</v>
      </c>
      <c r="CW44">
        <f t="shared" si="11"/>
        <v>0</v>
      </c>
      <c r="CX44">
        <f t="shared" si="12"/>
        <v>0</v>
      </c>
      <c r="CY44">
        <f t="shared" si="13"/>
        <v>0</v>
      </c>
      <c r="CZ44">
        <f>Wind_turbines!C75</f>
        <v>9.1448096207564403E-2</v>
      </c>
      <c r="DA44">
        <f>Wind_turbines!D75</f>
        <v>9.1448096207564403E-2</v>
      </c>
      <c r="DB44">
        <f>Wind_turbines!E75</f>
        <v>9.1448096207564403E-2</v>
      </c>
      <c r="DC44">
        <f>Wind_turbines!F75</f>
        <v>8.4918639638364407E-2</v>
      </c>
      <c r="DD44">
        <f>Wind_turbines!G75</f>
        <v>8.8827433387272267E-2</v>
      </c>
      <c r="DE44">
        <f>Wind_turbines!H75</f>
        <v>8.8827433387272267E-2</v>
      </c>
    </row>
    <row r="45" spans="1:109" x14ac:dyDescent="0.3">
      <c r="A45" s="201"/>
      <c r="B45" s="90" t="str">
        <f t="shared" si="22"/>
        <v>RPU_OFF_SP450-HH150</v>
      </c>
      <c r="C45" s="37" t="str">
        <f t="shared" si="21"/>
        <v>-</v>
      </c>
      <c r="D45" s="17" t="s">
        <v>1587</v>
      </c>
      <c r="E45" s="25">
        <f t="shared" si="8"/>
        <v>38</v>
      </c>
      <c r="F45" s="13">
        <v>1</v>
      </c>
      <c r="G45" s="13" t="s">
        <v>1565</v>
      </c>
      <c r="H45" s="13">
        <v>0</v>
      </c>
      <c r="I45">
        <v>0</v>
      </c>
      <c r="J45" t="s">
        <v>51</v>
      </c>
      <c r="K45">
        <v>1</v>
      </c>
      <c r="L45">
        <v>0</v>
      </c>
      <c r="M45">
        <f t="shared" si="20"/>
        <v>2000000</v>
      </c>
      <c r="N45">
        <v>0</v>
      </c>
      <c r="O45">
        <v>0</v>
      </c>
      <c r="P45">
        <v>0</v>
      </c>
      <c r="Q45">
        <v>0</v>
      </c>
      <c r="R45">
        <v>0</v>
      </c>
      <c r="S45">
        <v>0</v>
      </c>
      <c r="T45" s="82">
        <v>0</v>
      </c>
      <c r="U45" s="82">
        <v>0</v>
      </c>
      <c r="V45" s="82">
        <v>0</v>
      </c>
      <c r="W45" s="82">
        <v>0</v>
      </c>
      <c r="X45" s="82">
        <v>0</v>
      </c>
      <c r="Y45" s="82">
        <v>0</v>
      </c>
      <c r="Z45">
        <v>0</v>
      </c>
      <c r="AA45">
        <v>0</v>
      </c>
      <c r="AB45">
        <v>0</v>
      </c>
      <c r="AC45">
        <v>0</v>
      </c>
      <c r="AD45">
        <v>0</v>
      </c>
      <c r="AE45">
        <v>0</v>
      </c>
      <c r="AF45" s="79">
        <v>0</v>
      </c>
      <c r="AG45" s="79">
        <v>0</v>
      </c>
      <c r="AH45" s="79">
        <v>0</v>
      </c>
      <c r="AI45" s="79">
        <v>0</v>
      </c>
      <c r="AJ45" s="79">
        <v>0</v>
      </c>
      <c r="AK45" s="79">
        <v>0</v>
      </c>
      <c r="AL45" s="79">
        <v>1</v>
      </c>
      <c r="AM45" s="79">
        <v>1</v>
      </c>
      <c r="AN45" s="79">
        <v>1</v>
      </c>
      <c r="AO45" s="79">
        <v>1</v>
      </c>
      <c r="AP45" s="79">
        <v>1</v>
      </c>
      <c r="AQ45" s="79">
        <v>1</v>
      </c>
      <c r="AR45" s="79">
        <v>1</v>
      </c>
      <c r="AS45" s="79">
        <v>1</v>
      </c>
      <c r="AT45" s="79">
        <v>1</v>
      </c>
      <c r="AU45" s="79">
        <v>1</v>
      </c>
      <c r="AV45" s="79">
        <v>1</v>
      </c>
      <c r="AW45" s="79">
        <v>1</v>
      </c>
      <c r="AX45" s="79">
        <v>1</v>
      </c>
      <c r="AY45" s="79">
        <v>1</v>
      </c>
      <c r="AZ45" s="79">
        <v>1</v>
      </c>
      <c r="BA45" s="79">
        <v>1</v>
      </c>
      <c r="BB45" s="79">
        <v>1</v>
      </c>
      <c r="BC45" s="79">
        <v>1</v>
      </c>
      <c r="BD45">
        <v>0</v>
      </c>
      <c r="BE45">
        <v>0</v>
      </c>
      <c r="BF45">
        <v>0</v>
      </c>
      <c r="BG45">
        <v>0</v>
      </c>
      <c r="BH45">
        <v>0</v>
      </c>
      <c r="BI45">
        <v>0</v>
      </c>
      <c r="BJ45">
        <f>Wind_turbines!C28</f>
        <v>2265.5270428386079</v>
      </c>
      <c r="BK45">
        <f>Wind_turbines!D28</f>
        <v>2265.5270428386079</v>
      </c>
      <c r="BL45">
        <f>Wind_turbines!E28</f>
        <v>2265.5270428386079</v>
      </c>
      <c r="BM45">
        <f>Wind_turbines!F28</f>
        <v>2052.8014989101002</v>
      </c>
      <c r="BN45">
        <f>Wind_turbines!G28</f>
        <v>1925.1661725529959</v>
      </c>
      <c r="BO45">
        <f>Wind_turbines!H28</f>
        <v>1893.2573409637196</v>
      </c>
      <c r="BP45">
        <f>Wind_turbines!C40</f>
        <v>41.773124610000004</v>
      </c>
      <c r="BQ45">
        <f>Wind_turbines!D40</f>
        <v>41.773124610000004</v>
      </c>
      <c r="BR45">
        <f>Wind_turbines!E40</f>
        <v>41.773124610000004</v>
      </c>
      <c r="BS45">
        <f>Wind_turbines!F40</f>
        <v>37.595707870000005</v>
      </c>
      <c r="BT45">
        <f>Wind_turbines!G40</f>
        <v>34.588301510000008</v>
      </c>
      <c r="BU45">
        <f>Wind_turbines!H40</f>
        <v>33.836449920000007</v>
      </c>
      <c r="BV45">
        <f>Wind_turbines!C52</f>
        <v>3.1283700000000001E-3</v>
      </c>
      <c r="BW45">
        <f>Wind_turbines!D52</f>
        <v>3.1283700000000001E-3</v>
      </c>
      <c r="BX45">
        <f>Wind_turbines!E52</f>
        <v>3.1283700000000001E-3</v>
      </c>
      <c r="BY45">
        <f>Wind_turbines!F52</f>
        <v>2.8155330000000003E-3</v>
      </c>
      <c r="BZ45">
        <f>Wind_turbines!G52</f>
        <v>2.6069750000000001E-3</v>
      </c>
      <c r="CA45">
        <f>Wind_turbines!H52</f>
        <v>2.5026960000000004E-3</v>
      </c>
      <c r="CB45">
        <v>0</v>
      </c>
      <c r="CC45">
        <v>0</v>
      </c>
      <c r="CD45">
        <v>0</v>
      </c>
      <c r="CE45">
        <v>0</v>
      </c>
      <c r="CF45">
        <v>0</v>
      </c>
      <c r="CG45">
        <v>0</v>
      </c>
      <c r="CH45">
        <v>0</v>
      </c>
      <c r="CI45">
        <v>0</v>
      </c>
      <c r="CJ45">
        <v>0</v>
      </c>
      <c r="CK45">
        <v>0</v>
      </c>
      <c r="CL45">
        <v>0</v>
      </c>
      <c r="CM45">
        <v>0</v>
      </c>
      <c r="CN45">
        <f>Wind_turbines!C88</f>
        <v>53.529999999999994</v>
      </c>
      <c r="CO45">
        <f>Wind_turbines!D88</f>
        <v>53.529999999999994</v>
      </c>
      <c r="CP45">
        <f>Wind_turbines!E88</f>
        <v>53.529999999999994</v>
      </c>
      <c r="CQ45">
        <f t="shared" si="14"/>
        <v>35.704509999999999</v>
      </c>
      <c r="CR45">
        <f t="shared" si="15"/>
        <v>17.879019999999997</v>
      </c>
      <c r="CS45">
        <f t="shared" si="16"/>
        <v>5.3529999999999994E-2</v>
      </c>
      <c r="CT45">
        <v>0</v>
      </c>
      <c r="CU45">
        <v>0</v>
      </c>
      <c r="CV45">
        <v>0</v>
      </c>
      <c r="CW45">
        <f t="shared" si="11"/>
        <v>0</v>
      </c>
      <c r="CX45">
        <f t="shared" si="12"/>
        <v>0</v>
      </c>
      <c r="CY45">
        <f t="shared" si="13"/>
        <v>0</v>
      </c>
      <c r="CZ45">
        <f>Wind_turbines!C76</f>
        <v>9.1448096207564403E-2</v>
      </c>
      <c r="DA45">
        <f>Wind_turbines!D76</f>
        <v>9.1448096207564403E-2</v>
      </c>
      <c r="DB45">
        <f>Wind_turbines!E76</f>
        <v>9.1448096207564403E-2</v>
      </c>
      <c r="DC45">
        <f>Wind_turbines!F76</f>
        <v>8.4918639638364407E-2</v>
      </c>
      <c r="DD45">
        <f>Wind_turbines!G76</f>
        <v>8.8827433387272267E-2</v>
      </c>
      <c r="DE45">
        <f>Wind_turbines!H76</f>
        <v>8.8827433387272267E-2</v>
      </c>
    </row>
    <row r="46" spans="1:109" x14ac:dyDescent="0.3">
      <c r="A46" s="201"/>
      <c r="B46" s="90" t="s">
        <v>1095</v>
      </c>
      <c r="C46" s="37" t="s">
        <v>1096</v>
      </c>
      <c r="D46" s="87" t="s">
        <v>1030</v>
      </c>
      <c r="E46" s="25">
        <f t="shared" si="8"/>
        <v>39</v>
      </c>
      <c r="F46" s="13">
        <v>1</v>
      </c>
      <c r="G46" s="13" t="s">
        <v>1063</v>
      </c>
      <c r="H46" s="13">
        <v>0</v>
      </c>
      <c r="I46">
        <v>0</v>
      </c>
      <c r="J46" t="s">
        <v>51</v>
      </c>
      <c r="K46">
        <v>1</v>
      </c>
      <c r="L46">
        <v>0</v>
      </c>
      <c r="M46">
        <f t="shared" si="20"/>
        <v>2000000</v>
      </c>
      <c r="N46">
        <v>0</v>
      </c>
      <c r="O46">
        <v>0</v>
      </c>
      <c r="P46">
        <v>0</v>
      </c>
      <c r="Q46">
        <v>0</v>
      </c>
      <c r="R46">
        <v>0</v>
      </c>
      <c r="S46">
        <v>0</v>
      </c>
      <c r="T46" s="82">
        <v>0</v>
      </c>
      <c r="U46" s="82">
        <v>0</v>
      </c>
      <c r="V46" s="82">
        <v>0</v>
      </c>
      <c r="W46" s="82">
        <v>0</v>
      </c>
      <c r="X46" s="82">
        <v>0</v>
      </c>
      <c r="Y46" s="82">
        <v>0</v>
      </c>
      <c r="Z46">
        <v>0</v>
      </c>
      <c r="AA46">
        <v>0</v>
      </c>
      <c r="AB46">
        <v>0</v>
      </c>
      <c r="AC46">
        <v>0</v>
      </c>
      <c r="AD46">
        <v>0</v>
      </c>
      <c r="AE46">
        <v>0</v>
      </c>
      <c r="AF46" s="79">
        <v>0</v>
      </c>
      <c r="AG46" s="79">
        <v>0</v>
      </c>
      <c r="AH46" s="79">
        <v>0</v>
      </c>
      <c r="AI46" s="79">
        <v>0</v>
      </c>
      <c r="AJ46" s="79">
        <v>0</v>
      </c>
      <c r="AK46" s="79">
        <v>0</v>
      </c>
      <c r="AL46" s="79">
        <v>1</v>
      </c>
      <c r="AM46" s="79">
        <v>1</v>
      </c>
      <c r="AN46" s="79">
        <v>1</v>
      </c>
      <c r="AO46" s="79">
        <v>1</v>
      </c>
      <c r="AP46" s="79">
        <v>1</v>
      </c>
      <c r="AQ46" s="79">
        <v>1</v>
      </c>
      <c r="AR46" s="79">
        <v>1</v>
      </c>
      <c r="AS46" s="79">
        <v>1</v>
      </c>
      <c r="AT46" s="79">
        <v>1</v>
      </c>
      <c r="AU46" s="79">
        <v>1</v>
      </c>
      <c r="AV46" s="79">
        <v>1</v>
      </c>
      <c r="AW46" s="79">
        <v>1</v>
      </c>
      <c r="AX46" s="79">
        <v>1</v>
      </c>
      <c r="AY46" s="79">
        <v>1</v>
      </c>
      <c r="AZ46" s="79">
        <v>1</v>
      </c>
      <c r="BA46" s="79">
        <v>1</v>
      </c>
      <c r="BB46" s="79">
        <v>1</v>
      </c>
      <c r="BC46" s="79">
        <v>1</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f>'Electrolyser + O2+Heat + Grid'!C45</f>
        <v>1.6649999999999998E-2</v>
      </c>
      <c r="CI46">
        <f>'Electrolyser + O2+Heat + Grid'!D45</f>
        <v>1.6649999999999998E-2</v>
      </c>
      <c r="CJ46">
        <f>'Electrolyser + O2+Heat + Grid'!E45</f>
        <v>1.6649999999999998E-2</v>
      </c>
      <c r="CK46">
        <f>'Electrolyser + O2+Heat + Grid'!F45</f>
        <v>1.6649999999999998E-2</v>
      </c>
      <c r="CL46">
        <f>'Electrolyser + O2+Heat + Grid'!G45</f>
        <v>1.6649999999999998E-2</v>
      </c>
      <c r="CM46">
        <f>'Electrolyser + O2+Heat + Grid'!H45</f>
        <v>1.6649999999999998E-2</v>
      </c>
      <c r="CN46">
        <f>'Electrolyser + O2+Heat + Grid'!C47</f>
        <v>0</v>
      </c>
      <c r="CO46">
        <f>'Electrolyser + O2+Heat + Grid'!D47</f>
        <v>0</v>
      </c>
      <c r="CP46">
        <f>'Electrolyser + O2+Heat + Grid'!E47</f>
        <v>0</v>
      </c>
      <c r="CQ46">
        <f t="shared" si="14"/>
        <v>0</v>
      </c>
      <c r="CR46">
        <f t="shared" si="15"/>
        <v>0</v>
      </c>
      <c r="CS46">
        <f t="shared" si="16"/>
        <v>0</v>
      </c>
      <c r="CT46">
        <f>'Electrolyser + O2+Heat + Grid'!C48</f>
        <v>0.52071675648504789</v>
      </c>
      <c r="CU46">
        <f>'Electrolyser + O2+Heat + Grid'!D48</f>
        <v>0.52071675648504789</v>
      </c>
      <c r="CV46">
        <f>'Electrolyser + O2+Heat + Grid'!E48</f>
        <v>0.52071675648504789</v>
      </c>
      <c r="CW46">
        <f>'Electrolyser + O2+Heat + Grid'!F48</f>
        <v>0.18714358462514541</v>
      </c>
      <c r="CX46">
        <f>'Electrolyser + O2+Heat + Grid'!G48</f>
        <v>1.9847560930373143E-2</v>
      </c>
      <c r="CY46">
        <f>'Electrolyser + O2+Heat + Grid'!H48</f>
        <v>2.8336085303342978E-3</v>
      </c>
      <c r="CZ46">
        <v>0</v>
      </c>
      <c r="DA46">
        <v>0</v>
      </c>
      <c r="DB46">
        <v>0</v>
      </c>
      <c r="DC46">
        <v>0</v>
      </c>
      <c r="DD46">
        <v>0</v>
      </c>
      <c r="DE46">
        <v>0</v>
      </c>
    </row>
    <row r="47" spans="1:109" x14ac:dyDescent="0.3">
      <c r="A47" s="201"/>
      <c r="B47" s="90" t="s">
        <v>1097</v>
      </c>
      <c r="C47" s="37" t="s">
        <v>1098</v>
      </c>
      <c r="D47" s="87" t="s">
        <v>1031</v>
      </c>
      <c r="E47" s="25">
        <f t="shared" si="8"/>
        <v>40</v>
      </c>
      <c r="F47" s="13">
        <v>1</v>
      </c>
      <c r="G47" s="13" t="s">
        <v>1064</v>
      </c>
      <c r="H47" s="13">
        <v>0</v>
      </c>
      <c r="I47">
        <v>0</v>
      </c>
      <c r="J47" t="s">
        <v>51</v>
      </c>
      <c r="K47">
        <v>-1</v>
      </c>
      <c r="L47">
        <v>0</v>
      </c>
      <c r="M47">
        <v>24000</v>
      </c>
      <c r="N47">
        <v>0</v>
      </c>
      <c r="O47">
        <v>0</v>
      </c>
      <c r="P47">
        <v>0</v>
      </c>
      <c r="Q47">
        <v>0</v>
      </c>
      <c r="R47">
        <v>0</v>
      </c>
      <c r="S47">
        <v>0</v>
      </c>
      <c r="T47">
        <v>0</v>
      </c>
      <c r="U47">
        <v>0</v>
      </c>
      <c r="V47">
        <v>0</v>
      </c>
      <c r="W47">
        <v>0</v>
      </c>
      <c r="X47">
        <v>0</v>
      </c>
      <c r="Y47">
        <v>0</v>
      </c>
      <c r="Z47">
        <v>0</v>
      </c>
      <c r="AA47">
        <v>0</v>
      </c>
      <c r="AB47">
        <v>0</v>
      </c>
      <c r="AC47">
        <v>0</v>
      </c>
      <c r="AD47">
        <v>0</v>
      </c>
      <c r="AE47">
        <v>0</v>
      </c>
      <c r="AF47" s="79">
        <v>0</v>
      </c>
      <c r="AG47" s="79">
        <v>0</v>
      </c>
      <c r="AH47" s="79">
        <v>0</v>
      </c>
      <c r="AI47" s="79">
        <v>0</v>
      </c>
      <c r="AJ47" s="79">
        <v>0</v>
      </c>
      <c r="AK47" s="79">
        <v>0</v>
      </c>
      <c r="AL47" s="79">
        <v>1</v>
      </c>
      <c r="AM47" s="79">
        <v>1</v>
      </c>
      <c r="AN47" s="79">
        <v>1</v>
      </c>
      <c r="AO47" s="79">
        <v>1</v>
      </c>
      <c r="AP47" s="79">
        <v>1</v>
      </c>
      <c r="AQ47" s="79">
        <v>1</v>
      </c>
      <c r="AR47" s="79">
        <v>1</v>
      </c>
      <c r="AS47" s="79">
        <v>1</v>
      </c>
      <c r="AT47" s="79">
        <v>1</v>
      </c>
      <c r="AU47" s="79">
        <v>1</v>
      </c>
      <c r="AV47" s="79">
        <v>1</v>
      </c>
      <c r="AW47" s="79">
        <v>1</v>
      </c>
      <c r="AX47" s="79">
        <v>1</v>
      </c>
      <c r="AY47" s="79">
        <v>1</v>
      </c>
      <c r="AZ47" s="79">
        <v>1</v>
      </c>
      <c r="BA47" s="79">
        <v>1</v>
      </c>
      <c r="BB47" s="79">
        <v>1</v>
      </c>
      <c r="BC47" s="79">
        <v>1</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f t="shared" si="14"/>
        <v>0</v>
      </c>
      <c r="CR47">
        <f t="shared" si="15"/>
        <v>0</v>
      </c>
      <c r="CS47">
        <f t="shared" si="16"/>
        <v>0</v>
      </c>
      <c r="CT47">
        <v>0</v>
      </c>
      <c r="CU47">
        <v>0</v>
      </c>
      <c r="CV47">
        <v>0</v>
      </c>
      <c r="CW47">
        <f t="shared" si="11"/>
        <v>0</v>
      </c>
      <c r="CX47">
        <f t="shared" si="12"/>
        <v>0</v>
      </c>
      <c r="CY47">
        <f t="shared" si="13"/>
        <v>0</v>
      </c>
      <c r="CZ47">
        <v>0</v>
      </c>
      <c r="DA47">
        <v>0</v>
      </c>
      <c r="DB47">
        <v>0</v>
      </c>
      <c r="DC47">
        <v>0</v>
      </c>
      <c r="DD47">
        <v>0</v>
      </c>
      <c r="DE47">
        <v>0</v>
      </c>
    </row>
    <row r="48" spans="1:109" x14ac:dyDescent="0.3">
      <c r="A48" s="201"/>
      <c r="B48" s="90" t="s">
        <v>567</v>
      </c>
      <c r="C48" s="37" t="s">
        <v>51</v>
      </c>
      <c r="D48" s="87" t="s">
        <v>1032</v>
      </c>
      <c r="E48" s="25">
        <f t="shared" si="8"/>
        <v>41</v>
      </c>
      <c r="F48" s="13">
        <v>1</v>
      </c>
      <c r="G48" s="13" t="s">
        <v>1065</v>
      </c>
      <c r="H48" s="13">
        <v>0</v>
      </c>
      <c r="I48">
        <v>0</v>
      </c>
      <c r="J48" t="s">
        <v>51</v>
      </c>
      <c r="K48">
        <v>-1</v>
      </c>
      <c r="L48">
        <v>0</v>
      </c>
      <c r="M48">
        <f>M50/2</f>
        <v>10000000</v>
      </c>
      <c r="N48">
        <v>0</v>
      </c>
      <c r="O48">
        <v>0</v>
      </c>
      <c r="P48">
        <v>0</v>
      </c>
      <c r="Q48">
        <v>0</v>
      </c>
      <c r="R48">
        <v>0</v>
      </c>
      <c r="S48">
        <v>0</v>
      </c>
      <c r="T48" s="82">
        <v>0</v>
      </c>
      <c r="U48" s="82">
        <v>0</v>
      </c>
      <c r="V48" s="82">
        <v>0</v>
      </c>
      <c r="W48" s="82">
        <v>0</v>
      </c>
      <c r="X48" s="82">
        <v>0</v>
      </c>
      <c r="Y48" s="82">
        <v>0</v>
      </c>
      <c r="Z48">
        <v>0</v>
      </c>
      <c r="AA48">
        <v>0</v>
      </c>
      <c r="AB48">
        <v>0</v>
      </c>
      <c r="AC48">
        <v>0</v>
      </c>
      <c r="AD48">
        <v>0</v>
      </c>
      <c r="AE48">
        <v>0</v>
      </c>
      <c r="AF48" s="79">
        <v>0</v>
      </c>
      <c r="AG48" s="79">
        <v>0</v>
      </c>
      <c r="AH48" s="79">
        <v>0</v>
      </c>
      <c r="AI48" s="79">
        <v>0</v>
      </c>
      <c r="AJ48" s="79">
        <v>0</v>
      </c>
      <c r="AK48" s="79">
        <v>0</v>
      </c>
      <c r="AL48" s="79">
        <v>1</v>
      </c>
      <c r="AM48" s="79">
        <v>1</v>
      </c>
      <c r="AN48" s="79">
        <v>1</v>
      </c>
      <c r="AO48" s="79">
        <v>1</v>
      </c>
      <c r="AP48" s="79">
        <v>1</v>
      </c>
      <c r="AQ48" s="79">
        <v>1</v>
      </c>
      <c r="AR48" s="79">
        <v>1</v>
      </c>
      <c r="AS48" s="79">
        <v>1</v>
      </c>
      <c r="AT48" s="79">
        <v>1</v>
      </c>
      <c r="AU48" s="79">
        <v>1</v>
      </c>
      <c r="AV48" s="79">
        <v>1</v>
      </c>
      <c r="AW48" s="79">
        <v>1</v>
      </c>
      <c r="AX48" s="79">
        <v>1</v>
      </c>
      <c r="AY48" s="79">
        <v>1</v>
      </c>
      <c r="AZ48" s="79">
        <v>1</v>
      </c>
      <c r="BA48" s="79">
        <v>1</v>
      </c>
      <c r="BB48" s="79">
        <v>1</v>
      </c>
      <c r="BC48" s="79">
        <v>1</v>
      </c>
      <c r="BD48">
        <f>' Storage + Transport'!C86</f>
        <v>0.04</v>
      </c>
      <c r="BE48">
        <f>' Storage + Transport'!D86</f>
        <v>0.04</v>
      </c>
      <c r="BF48">
        <f>' Storage + Transport'!E86</f>
        <v>3.5000000000000003E-2</v>
      </c>
      <c r="BG48">
        <f>' Storage + Transport'!F86</f>
        <v>3.5000000000000003E-2</v>
      </c>
      <c r="BH48">
        <f>' Storage + Transport'!G86</f>
        <v>3.5000000000000003E-2</v>
      </c>
      <c r="BI48">
        <f>' Storage + Transport'!H86</f>
        <v>3.5000000000000003E-2</v>
      </c>
      <c r="BJ48">
        <v>0</v>
      </c>
      <c r="BK48">
        <v>0</v>
      </c>
      <c r="BL48">
        <v>0</v>
      </c>
      <c r="BM48">
        <v>0</v>
      </c>
      <c r="BN48">
        <v>0</v>
      </c>
      <c r="BO48">
        <v>0</v>
      </c>
      <c r="BP48">
        <v>0</v>
      </c>
      <c r="BQ48">
        <v>0</v>
      </c>
      <c r="BR48">
        <v>0</v>
      </c>
      <c r="BS48">
        <v>0</v>
      </c>
      <c r="BT48">
        <v>0</v>
      </c>
      <c r="BU48">
        <v>0</v>
      </c>
      <c r="BV48">
        <f>' Storage + Transport'!C90</f>
        <v>5.8396240000000007E-3</v>
      </c>
      <c r="BW48">
        <f>' Storage + Transport'!D90</f>
        <v>2.0855800000000001E-3</v>
      </c>
      <c r="BX48">
        <f>' Storage + Transport'!E90</f>
        <v>4.1711600000000004E-4</v>
      </c>
      <c r="BY48">
        <f>' Storage + Transport'!F90</f>
        <v>1.8770220000000001E-3</v>
      </c>
      <c r="BZ48">
        <f>' Storage + Transport'!G90</f>
        <v>1.772743E-3</v>
      </c>
      <c r="CA48">
        <f>' Storage + Transport'!H90</f>
        <v>1.6684640000000001E-3</v>
      </c>
      <c r="CB48">
        <v>0</v>
      </c>
      <c r="CC48">
        <v>0</v>
      </c>
      <c r="CD48">
        <v>0</v>
      </c>
      <c r="CE48">
        <v>0</v>
      </c>
      <c r="CF48">
        <v>0</v>
      </c>
      <c r="CG48">
        <v>0</v>
      </c>
      <c r="CH48">
        <v>0</v>
      </c>
      <c r="CI48">
        <v>0</v>
      </c>
      <c r="CJ48">
        <v>0</v>
      </c>
      <c r="CK48">
        <v>0</v>
      </c>
      <c r="CL48">
        <v>0</v>
      </c>
      <c r="CM48">
        <v>0</v>
      </c>
      <c r="CN48">
        <v>0</v>
      </c>
      <c r="CO48">
        <v>0</v>
      </c>
      <c r="CP48">
        <v>0</v>
      </c>
      <c r="CQ48">
        <f t="shared" si="14"/>
        <v>0</v>
      </c>
      <c r="CR48">
        <f t="shared" si="15"/>
        <v>0</v>
      </c>
      <c r="CS48">
        <f t="shared" si="16"/>
        <v>0</v>
      </c>
      <c r="CT48">
        <v>0</v>
      </c>
      <c r="CU48">
        <v>0</v>
      </c>
      <c r="CV48">
        <v>0</v>
      </c>
      <c r="CW48">
        <f t="shared" si="11"/>
        <v>0</v>
      </c>
      <c r="CX48">
        <f t="shared" si="12"/>
        <v>0</v>
      </c>
      <c r="CY48">
        <f t="shared" si="13"/>
        <v>0</v>
      </c>
      <c r="CZ48">
        <v>0</v>
      </c>
      <c r="DA48">
        <v>0</v>
      </c>
      <c r="DB48">
        <v>0</v>
      </c>
      <c r="DC48">
        <v>0</v>
      </c>
      <c r="DD48">
        <v>0</v>
      </c>
      <c r="DE48">
        <v>0</v>
      </c>
    </row>
    <row r="49" spans="1:109" x14ac:dyDescent="0.3">
      <c r="A49" s="201"/>
      <c r="B49" s="90" t="s">
        <v>568</v>
      </c>
      <c r="C49" s="37" t="s">
        <v>51</v>
      </c>
      <c r="D49" s="87" t="s">
        <v>1033</v>
      </c>
      <c r="E49" s="25">
        <f t="shared" si="8"/>
        <v>42</v>
      </c>
      <c r="F49" s="13">
        <v>1</v>
      </c>
      <c r="G49" s="13" t="s">
        <v>1066</v>
      </c>
      <c r="H49" s="13">
        <v>0</v>
      </c>
      <c r="I49">
        <v>0</v>
      </c>
      <c r="J49" t="s">
        <v>51</v>
      </c>
      <c r="K49">
        <v>1</v>
      </c>
      <c r="L49">
        <v>0</v>
      </c>
      <c r="M49">
        <f>3*M50</f>
        <v>60000000</v>
      </c>
      <c r="N49">
        <v>0</v>
      </c>
      <c r="O49">
        <v>0</v>
      </c>
      <c r="P49">
        <v>0</v>
      </c>
      <c r="Q49">
        <v>0</v>
      </c>
      <c r="R49">
        <v>0</v>
      </c>
      <c r="S49">
        <v>0</v>
      </c>
      <c r="T49" s="82">
        <v>0</v>
      </c>
      <c r="U49" s="82">
        <v>0</v>
      </c>
      <c r="V49" s="82">
        <v>0</v>
      </c>
      <c r="W49" s="82">
        <v>0</v>
      </c>
      <c r="X49" s="82">
        <v>0</v>
      </c>
      <c r="Y49" s="82">
        <v>0</v>
      </c>
      <c r="Z49">
        <v>0</v>
      </c>
      <c r="AA49">
        <v>0</v>
      </c>
      <c r="AB49">
        <v>0</v>
      </c>
      <c r="AC49">
        <v>0</v>
      </c>
      <c r="AD49">
        <v>0</v>
      </c>
      <c r="AE49">
        <v>0</v>
      </c>
      <c r="AF49" s="79">
        <v>0</v>
      </c>
      <c r="AG49" s="79">
        <v>0</v>
      </c>
      <c r="AH49" s="79">
        <v>0</v>
      </c>
      <c r="AI49" s="79">
        <v>0</v>
      </c>
      <c r="AJ49" s="79">
        <v>0</v>
      </c>
      <c r="AK49" s="79">
        <v>0</v>
      </c>
      <c r="AL49" s="79">
        <v>1</v>
      </c>
      <c r="AM49" s="79">
        <v>1</v>
      </c>
      <c r="AN49" s="79">
        <v>1</v>
      </c>
      <c r="AO49" s="79">
        <v>1</v>
      </c>
      <c r="AP49" s="79">
        <v>1</v>
      </c>
      <c r="AQ49" s="79">
        <v>1</v>
      </c>
      <c r="AR49" s="79">
        <v>1</v>
      </c>
      <c r="AS49" s="79">
        <v>1</v>
      </c>
      <c r="AT49" s="79">
        <v>1</v>
      </c>
      <c r="AU49" s="79">
        <v>1</v>
      </c>
      <c r="AV49" s="79">
        <v>1</v>
      </c>
      <c r="AW49" s="79">
        <v>1</v>
      </c>
      <c r="AX49" s="79">
        <v>1</v>
      </c>
      <c r="AY49" s="79">
        <v>1</v>
      </c>
      <c r="AZ49" s="79">
        <v>1</v>
      </c>
      <c r="BA49" s="79">
        <v>1</v>
      </c>
      <c r="BB49" s="79">
        <v>1</v>
      </c>
      <c r="BC49" s="79">
        <v>1</v>
      </c>
      <c r="BD49">
        <f>' Storage + Transport'!C87</f>
        <v>0.05</v>
      </c>
      <c r="BE49">
        <f>' Storage + Transport'!D87</f>
        <v>0.05</v>
      </c>
      <c r="BF49">
        <f>' Storage + Transport'!E87</f>
        <v>0.04</v>
      </c>
      <c r="BG49">
        <f>' Storage + Transport'!F87</f>
        <v>4.4999999999999998E-2</v>
      </c>
      <c r="BH49">
        <f>' Storage + Transport'!G87</f>
        <v>4.4999999999999998E-2</v>
      </c>
      <c r="BI49">
        <f>' Storage + Transport'!H87</f>
        <v>4.4999999999999998E-2</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f t="shared" si="14"/>
        <v>0</v>
      </c>
      <c r="CR49">
        <f t="shared" si="15"/>
        <v>0</v>
      </c>
      <c r="CS49">
        <f t="shared" si="16"/>
        <v>0</v>
      </c>
      <c r="CT49">
        <v>0</v>
      </c>
      <c r="CU49">
        <v>0</v>
      </c>
      <c r="CV49">
        <v>0</v>
      </c>
      <c r="CW49">
        <f t="shared" si="11"/>
        <v>0</v>
      </c>
      <c r="CX49">
        <f t="shared" si="12"/>
        <v>0</v>
      </c>
      <c r="CY49">
        <f t="shared" si="13"/>
        <v>0</v>
      </c>
      <c r="CZ49">
        <v>0</v>
      </c>
      <c r="DA49">
        <v>0</v>
      </c>
      <c r="DB49">
        <v>0</v>
      </c>
      <c r="DC49">
        <v>0</v>
      </c>
      <c r="DD49">
        <v>0</v>
      </c>
      <c r="DE49">
        <v>0</v>
      </c>
    </row>
    <row r="50" spans="1:109" x14ac:dyDescent="0.3">
      <c r="A50" s="201"/>
      <c r="B50" s="90" t="s">
        <v>566</v>
      </c>
      <c r="C50" s="37" t="s">
        <v>51</v>
      </c>
      <c r="D50" s="17" t="s">
        <v>48</v>
      </c>
      <c r="E50" s="25">
        <f t="shared" si="8"/>
        <v>43</v>
      </c>
      <c r="F50" s="13">
        <v>1</v>
      </c>
      <c r="G50" s="13" t="s">
        <v>1067</v>
      </c>
      <c r="H50" s="13">
        <v>0</v>
      </c>
      <c r="I50">
        <v>0</v>
      </c>
      <c r="J50" t="s">
        <v>51</v>
      </c>
      <c r="K50">
        <v>0</v>
      </c>
      <c r="L50">
        <v>0</v>
      </c>
      <c r="M50">
        <f>IF(' Storage + Transport'!C84="inf",M18*1000,' Storage + Transport'!C84)</f>
        <v>20000000</v>
      </c>
      <c r="N50">
        <v>0</v>
      </c>
      <c r="O50">
        <v>0</v>
      </c>
      <c r="P50">
        <v>0</v>
      </c>
      <c r="Q50">
        <v>0</v>
      </c>
      <c r="R50">
        <v>0</v>
      </c>
      <c r="S50">
        <v>0</v>
      </c>
      <c r="T50" s="82">
        <v>0</v>
      </c>
      <c r="U50" s="82">
        <v>0</v>
      </c>
      <c r="V50" s="82">
        <v>0</v>
      </c>
      <c r="W50" s="82">
        <v>0</v>
      </c>
      <c r="X50" s="82">
        <v>0</v>
      </c>
      <c r="Y50" s="82">
        <v>0</v>
      </c>
      <c r="Z50">
        <v>0</v>
      </c>
      <c r="AA50">
        <v>0</v>
      </c>
      <c r="AB50">
        <v>0</v>
      </c>
      <c r="AC50">
        <v>0</v>
      </c>
      <c r="AD50">
        <v>0</v>
      </c>
      <c r="AE50">
        <v>0</v>
      </c>
      <c r="AF50" s="79">
        <f>' Storage + Transport'!C85</f>
        <v>0.2</v>
      </c>
      <c r="AG50" s="79">
        <f>' Storage + Transport'!D85</f>
        <v>0.2</v>
      </c>
      <c r="AH50" s="79">
        <f>' Storage + Transport'!E85</f>
        <v>0.2</v>
      </c>
      <c r="AI50" s="79">
        <f>' Storage + Transport'!F85</f>
        <v>0.2</v>
      </c>
      <c r="AJ50" s="79">
        <f>' Storage + Transport'!G85</f>
        <v>0.2</v>
      </c>
      <c r="AK50" s="79">
        <f>' Storage + Transport'!H85</f>
        <v>0.2</v>
      </c>
      <c r="AL50" s="79">
        <v>1</v>
      </c>
      <c r="AM50" s="79">
        <v>1</v>
      </c>
      <c r="AN50" s="79">
        <v>1</v>
      </c>
      <c r="AO50" s="79">
        <v>1</v>
      </c>
      <c r="AP50" s="79">
        <v>1</v>
      </c>
      <c r="AQ50" s="79">
        <v>1</v>
      </c>
      <c r="AR50" s="79">
        <v>1</v>
      </c>
      <c r="AS50" s="79">
        <v>1</v>
      </c>
      <c r="AT50" s="79">
        <v>1</v>
      </c>
      <c r="AU50" s="79">
        <v>1</v>
      </c>
      <c r="AV50" s="79">
        <v>1</v>
      </c>
      <c r="AW50" s="79">
        <v>1</v>
      </c>
      <c r="AX50" s="79">
        <v>1</v>
      </c>
      <c r="AY50" s="79">
        <v>1</v>
      </c>
      <c r="AZ50" s="79">
        <v>1</v>
      </c>
      <c r="BA50" s="79">
        <v>1</v>
      </c>
      <c r="BB50" s="79">
        <v>1</v>
      </c>
      <c r="BC50" s="79">
        <v>1</v>
      </c>
      <c r="BD50">
        <v>0</v>
      </c>
      <c r="BE50">
        <v>0</v>
      </c>
      <c r="BF50">
        <v>0</v>
      </c>
      <c r="BG50">
        <v>0</v>
      </c>
      <c r="BH50">
        <v>0</v>
      </c>
      <c r="BI50">
        <v>0</v>
      </c>
      <c r="BJ50">
        <f>' Storage + Transport'!C88</f>
        <v>1086.5871800000002</v>
      </c>
      <c r="BK50">
        <f>' Storage + Transport'!D88</f>
        <v>361.82973436935305</v>
      </c>
      <c r="BL50">
        <f>' Storage + Transport'!E88</f>
        <v>328.93612215395734</v>
      </c>
      <c r="BM50">
        <f>' Storage + Transport'!F88</f>
        <v>144.73189374774122</v>
      </c>
      <c r="BN50">
        <f>' Storage + Transport'!G88</f>
        <v>144.73189374774122</v>
      </c>
      <c r="BO50">
        <f>' Storage + Transport'!H88</f>
        <v>144.73189374774122</v>
      </c>
      <c r="BP50">
        <f>' Storage + Transport'!C89</f>
        <v>5.0761000000000003</v>
      </c>
      <c r="BQ50">
        <f>' Storage + Transport'!D89</f>
        <v>5.0761000000000003</v>
      </c>
      <c r="BR50">
        <f>' Storage + Transport'!E89</f>
        <v>5.0761000000000003</v>
      </c>
      <c r="BS50">
        <f>' Storage + Transport'!F89</f>
        <v>5.0761000000000003</v>
      </c>
      <c r="BT50">
        <f>' Storage + Transport'!G89</f>
        <v>5.0761000000000003</v>
      </c>
      <c r="BU50">
        <f>' Storage + Transport'!H89</f>
        <v>5.0761000000000003</v>
      </c>
      <c r="BV50">
        <v>0</v>
      </c>
      <c r="BW50">
        <v>0</v>
      </c>
      <c r="BX50">
        <v>0</v>
      </c>
      <c r="BY50">
        <v>0</v>
      </c>
      <c r="BZ50">
        <v>0</v>
      </c>
      <c r="CA50">
        <v>0</v>
      </c>
      <c r="CB50">
        <v>0</v>
      </c>
      <c r="CC50">
        <v>0</v>
      </c>
      <c r="CD50">
        <v>0</v>
      </c>
      <c r="CE50">
        <v>0</v>
      </c>
      <c r="CF50">
        <v>0</v>
      </c>
      <c r="CG50">
        <v>0</v>
      </c>
      <c r="CH50">
        <v>0</v>
      </c>
      <c r="CI50">
        <v>0</v>
      </c>
      <c r="CJ50">
        <v>0</v>
      </c>
      <c r="CK50">
        <v>0</v>
      </c>
      <c r="CL50">
        <v>0</v>
      </c>
      <c r="CM50">
        <v>0</v>
      </c>
      <c r="CN50">
        <f>' Storage + Transport'!C93</f>
        <v>2.6463492063492065</v>
      </c>
      <c r="CO50">
        <f>' Storage + Transport'!D93</f>
        <v>2.6463492063492065</v>
      </c>
      <c r="CP50">
        <f>' Storage + Transport'!E93</f>
        <v>2.6463492063492065</v>
      </c>
      <c r="CQ50">
        <f t="shared" si="14"/>
        <v>1.7651149206349208</v>
      </c>
      <c r="CR50">
        <f t="shared" si="15"/>
        <v>0.88388063492063484</v>
      </c>
      <c r="CS50">
        <f t="shared" si="16"/>
        <v>2.6463492063492065E-3</v>
      </c>
      <c r="CT50">
        <f>' Storage + Transport'!C94</f>
        <v>0</v>
      </c>
      <c r="CU50">
        <f>' Storage + Transport'!D94</f>
        <v>0</v>
      </c>
      <c r="CV50">
        <f>' Storage + Transport'!E94</f>
        <v>0</v>
      </c>
      <c r="CW50">
        <f t="shared" si="11"/>
        <v>0</v>
      </c>
      <c r="CX50">
        <f t="shared" si="12"/>
        <v>0</v>
      </c>
      <c r="CY50">
        <f t="shared" si="13"/>
        <v>0</v>
      </c>
      <c r="CZ50">
        <f>' Storage + Transport'!C92</f>
        <v>0.11682954493601999</v>
      </c>
      <c r="DA50">
        <f>' Storage + Transport'!D92</f>
        <v>0.10185220882315059</v>
      </c>
      <c r="DB50">
        <f>' Storage + Transport'!E92</f>
        <v>9.3678779051968114E-2</v>
      </c>
      <c r="DC50">
        <f>' Storage + Transport'!F92</f>
        <v>8.9946873351580109E-2</v>
      </c>
      <c r="DD50">
        <f>' Storage + Transport'!G92</f>
        <v>8.8827433387272267E-2</v>
      </c>
      <c r="DE50">
        <f>' Storage + Transport'!H92</f>
        <v>8.8827433387272267E-2</v>
      </c>
    </row>
  </sheetData>
  <mergeCells count="18">
    <mergeCell ref="CH3:CM3"/>
    <mergeCell ref="CN3:CS3"/>
    <mergeCell ref="CT3:CY3"/>
    <mergeCell ref="CZ3:DE3"/>
    <mergeCell ref="BV3:CA3"/>
    <mergeCell ref="CB3:CG3"/>
    <mergeCell ref="A32:A50"/>
    <mergeCell ref="AX3:BC3"/>
    <mergeCell ref="BD3:BI3"/>
    <mergeCell ref="BJ3:BO3"/>
    <mergeCell ref="BP3:BU3"/>
    <mergeCell ref="N3:S3"/>
    <mergeCell ref="T3:Y3"/>
    <mergeCell ref="Z3:AE3"/>
    <mergeCell ref="AF3:AK3"/>
    <mergeCell ref="AL3:AQ3"/>
    <mergeCell ref="AR3:AW3"/>
    <mergeCell ref="A8:A31"/>
  </mergeCells>
  <conditionalFormatting sqref="A2">
    <cfRule type="cellIs" dxfId="3" priority="3" operator="equal">
      <formula>TRUE</formula>
    </cfRule>
    <cfRule type="cellIs" dxfId="2" priority="4" operator="equal">
      <formula>FALSE</formula>
    </cfRule>
  </conditionalFormatting>
  <conditionalFormatting sqref="B2">
    <cfRule type="cellIs" dxfId="1" priority="1" operator="equal">
      <formula>FALSE</formula>
    </cfRule>
    <cfRule type="cellIs" dxfId="0" priority="2" operator="equal">
      <formula>TRUE</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I49"/>
  <sheetViews>
    <sheetView topLeftCell="A16" workbookViewId="0">
      <selection activeCell="E23" sqref="E23"/>
    </sheetView>
  </sheetViews>
  <sheetFormatPr defaultRowHeight="14.4" x14ac:dyDescent="0.3"/>
  <cols>
    <col min="1" max="1" width="35.77734375" customWidth="1"/>
    <col min="2" max="2" width="66.77734375" customWidth="1"/>
    <col min="3" max="3" width="7.77734375" customWidth="1"/>
    <col min="4" max="4" width="13.77734375" customWidth="1"/>
    <col min="5" max="5" width="13.21875" customWidth="1"/>
    <col min="6" max="7" width="12" customWidth="1"/>
    <col min="8" max="8" width="11.21875" customWidth="1"/>
    <col min="9" max="9" width="21.21875" customWidth="1"/>
  </cols>
  <sheetData>
    <row r="1" spans="1:9" s="29" customFormat="1" x14ac:dyDescent="0.3">
      <c r="A1" s="71" t="s">
        <v>0</v>
      </c>
    </row>
    <row r="3" spans="1:9" s="33" customFormat="1" x14ac:dyDescent="0.3">
      <c r="A3" s="33" t="s">
        <v>148</v>
      </c>
      <c r="B3" s="32"/>
      <c r="D3" s="32"/>
      <c r="E3" s="34"/>
      <c r="F3" s="32"/>
      <c r="G3" s="48"/>
    </row>
    <row r="4" spans="1:9" x14ac:dyDescent="0.3">
      <c r="B4" s="13"/>
      <c r="D4" s="17"/>
      <c r="E4" s="8"/>
      <c r="F4" s="13"/>
      <c r="G4" s="5"/>
    </row>
    <row r="5" spans="1:9" s="17" customFormat="1" x14ac:dyDescent="0.3">
      <c r="A5" s="17" t="s">
        <v>85</v>
      </c>
      <c r="B5" s="17" t="s">
        <v>52</v>
      </c>
      <c r="C5" s="17" t="s">
        <v>184</v>
      </c>
      <c r="D5" s="18" t="s">
        <v>106</v>
      </c>
      <c r="E5" s="17" t="s">
        <v>183</v>
      </c>
      <c r="F5" s="17">
        <v>2030</v>
      </c>
      <c r="G5" s="17">
        <v>2040</v>
      </c>
      <c r="H5" s="49">
        <v>2050</v>
      </c>
      <c r="I5" s="15"/>
    </row>
    <row r="6" spans="1:9" x14ac:dyDescent="0.3">
      <c r="A6" t="s">
        <v>218</v>
      </c>
      <c r="B6" s="13" t="s">
        <v>266</v>
      </c>
      <c r="C6" s="5" t="s">
        <v>422</v>
      </c>
      <c r="D6" s="5" t="s">
        <v>422</v>
      </c>
      <c r="E6" s="5" t="s">
        <v>422</v>
      </c>
      <c r="F6" s="5" t="s">
        <v>422</v>
      </c>
      <c r="G6" s="5" t="s">
        <v>422</v>
      </c>
      <c r="H6" s="5" t="s">
        <v>422</v>
      </c>
    </row>
    <row r="7" spans="1:9" x14ac:dyDescent="0.3">
      <c r="A7" t="s">
        <v>107</v>
      </c>
      <c r="B7" s="13" t="s">
        <v>51</v>
      </c>
      <c r="C7">
        <v>0</v>
      </c>
      <c r="D7" s="14">
        <v>0</v>
      </c>
      <c r="E7" s="5">
        <v>0</v>
      </c>
      <c r="F7" s="5">
        <v>0</v>
      </c>
      <c r="G7" s="5">
        <v>0</v>
      </c>
      <c r="H7" s="5">
        <v>0</v>
      </c>
    </row>
    <row r="8" spans="1:9" x14ac:dyDescent="0.3">
      <c r="A8" t="s">
        <v>111</v>
      </c>
      <c r="B8" s="13" t="s">
        <v>267</v>
      </c>
      <c r="C8">
        <f t="shared" ref="C8:H8" si="0">$C$23</f>
        <v>4.0000000000000001E-3</v>
      </c>
      <c r="D8">
        <f t="shared" si="0"/>
        <v>4.0000000000000001E-3</v>
      </c>
      <c r="E8">
        <f t="shared" si="0"/>
        <v>4.0000000000000001E-3</v>
      </c>
      <c r="F8">
        <f t="shared" si="0"/>
        <v>4.0000000000000001E-3</v>
      </c>
      <c r="G8">
        <f t="shared" si="0"/>
        <v>4.0000000000000001E-3</v>
      </c>
      <c r="H8">
        <f t="shared" si="0"/>
        <v>4.0000000000000001E-3</v>
      </c>
    </row>
    <row r="9" spans="1:9" x14ac:dyDescent="0.3">
      <c r="A9" t="s">
        <v>1779</v>
      </c>
      <c r="B9" s="13" t="s">
        <v>268</v>
      </c>
      <c r="C9">
        <f t="shared" ref="C9:H9" si="1">$C$31</f>
        <v>26.145191534958482</v>
      </c>
      <c r="D9">
        <f t="shared" si="1"/>
        <v>26.145191534958482</v>
      </c>
      <c r="E9">
        <f t="shared" si="1"/>
        <v>26.145191534958482</v>
      </c>
      <c r="F9">
        <f t="shared" si="1"/>
        <v>26.145191534958482</v>
      </c>
      <c r="G9">
        <f t="shared" si="1"/>
        <v>26.145191534958482</v>
      </c>
      <c r="H9">
        <f t="shared" si="1"/>
        <v>26.145191534958482</v>
      </c>
    </row>
    <row r="10" spans="1:9" x14ac:dyDescent="0.3">
      <c r="A10" t="s">
        <v>1750</v>
      </c>
      <c r="B10" s="13" t="s">
        <v>277</v>
      </c>
      <c r="C10">
        <v>0</v>
      </c>
      <c r="D10">
        <v>0</v>
      </c>
      <c r="E10">
        <v>0</v>
      </c>
      <c r="F10">
        <v>0</v>
      </c>
      <c r="G10">
        <v>0</v>
      </c>
      <c r="H10">
        <v>0</v>
      </c>
    </row>
    <row r="11" spans="1:9" x14ac:dyDescent="0.3">
      <c r="A11" t="s">
        <v>1752</v>
      </c>
      <c r="B11" s="13" t="s">
        <v>1212</v>
      </c>
      <c r="C11">
        <f t="shared" ref="C11:H11" si="2">$C$38</f>
        <v>2.5895169211536745E-4</v>
      </c>
      <c r="D11">
        <f t="shared" si="2"/>
        <v>2.5895169211536745E-4</v>
      </c>
      <c r="E11">
        <f t="shared" si="2"/>
        <v>2.5895169211536745E-4</v>
      </c>
      <c r="F11">
        <f t="shared" si="2"/>
        <v>2.5895169211536745E-4</v>
      </c>
      <c r="G11">
        <f t="shared" si="2"/>
        <v>2.5895169211536745E-4</v>
      </c>
      <c r="H11">
        <f t="shared" si="2"/>
        <v>2.5895169211536745E-4</v>
      </c>
    </row>
    <row r="12" spans="1:9" x14ac:dyDescent="0.3">
      <c r="A12" t="s">
        <v>1211</v>
      </c>
      <c r="B12" s="13" t="s">
        <v>1212</v>
      </c>
      <c r="F12" s="13"/>
      <c r="G12" s="13"/>
      <c r="H12" s="5"/>
    </row>
    <row r="13" spans="1:9" x14ac:dyDescent="0.3">
      <c r="A13" t="s">
        <v>110</v>
      </c>
      <c r="B13" s="13" t="s">
        <v>201</v>
      </c>
      <c r="C13">
        <f t="shared" ref="C13:H13" si="3">$C$44</f>
        <v>20</v>
      </c>
      <c r="D13">
        <f t="shared" si="3"/>
        <v>20</v>
      </c>
      <c r="E13">
        <f t="shared" si="3"/>
        <v>20</v>
      </c>
      <c r="F13">
        <f t="shared" si="3"/>
        <v>20</v>
      </c>
      <c r="G13">
        <f t="shared" si="3"/>
        <v>20</v>
      </c>
      <c r="H13">
        <f t="shared" si="3"/>
        <v>20</v>
      </c>
    </row>
    <row r="14" spans="1:9" x14ac:dyDescent="0.3">
      <c r="A14" t="s">
        <v>103</v>
      </c>
      <c r="B14" s="13" t="s">
        <v>51</v>
      </c>
      <c r="C14" s="23">
        <f>Annuities!AF11</f>
        <v>0.10185220882315059</v>
      </c>
      <c r="D14" s="23">
        <f>Annuities!AG11</f>
        <v>0.10185220882315059</v>
      </c>
      <c r="E14" s="23">
        <f>Annuities!AH11</f>
        <v>0.10185220882315059</v>
      </c>
      <c r="F14" s="23">
        <f>Annuities!AI11</f>
        <v>0.10185220882315059</v>
      </c>
      <c r="G14" s="23">
        <f>Annuities!AJ11</f>
        <v>0.10185220882315059</v>
      </c>
      <c r="H14" s="23">
        <f>Annuities!AK11</f>
        <v>0.10185220882315059</v>
      </c>
      <c r="I14" s="23"/>
    </row>
    <row r="15" spans="1:9" x14ac:dyDescent="0.3">
      <c r="A15" t="s">
        <v>1642</v>
      </c>
      <c r="B15" s="13" t="s">
        <v>1678</v>
      </c>
      <c r="C15" s="4">
        <v>0</v>
      </c>
      <c r="D15" s="4">
        <v>0</v>
      </c>
      <c r="E15" s="4">
        <v>0</v>
      </c>
      <c r="F15" s="4">
        <v>0</v>
      </c>
      <c r="G15" s="4">
        <v>0</v>
      </c>
      <c r="H15" s="4">
        <v>0</v>
      </c>
      <c r="I15" s="23"/>
    </row>
    <row r="16" spans="1:9" x14ac:dyDescent="0.3">
      <c r="A16" t="s">
        <v>1651</v>
      </c>
      <c r="B16" s="13" t="s">
        <v>1679</v>
      </c>
      <c r="C16" s="4">
        <v>0</v>
      </c>
      <c r="D16" s="4">
        <v>0</v>
      </c>
      <c r="E16" s="4">
        <v>0</v>
      </c>
      <c r="F16" s="4">
        <v>0</v>
      </c>
      <c r="G16" s="4">
        <v>0</v>
      </c>
      <c r="H16" s="4">
        <v>0</v>
      </c>
      <c r="I16" s="23"/>
    </row>
    <row r="18" spans="1:8" s="26" customFormat="1" x14ac:dyDescent="0.3">
      <c r="A18" s="26" t="s">
        <v>112</v>
      </c>
      <c r="B18" s="27"/>
      <c r="D18" s="57"/>
      <c r="E18" s="28"/>
      <c r="F18" s="27"/>
      <c r="G18" s="50"/>
    </row>
    <row r="19" spans="1:8" x14ac:dyDescent="0.3">
      <c r="B19" s="13"/>
      <c r="D19" s="5"/>
      <c r="E19" s="8"/>
      <c r="F19" s="13"/>
      <c r="G19" s="5"/>
    </row>
    <row r="20" spans="1:8" x14ac:dyDescent="0.3">
      <c r="A20" s="17" t="s">
        <v>85</v>
      </c>
      <c r="B20" s="17" t="s">
        <v>82</v>
      </c>
      <c r="C20" s="15" t="s">
        <v>49</v>
      </c>
      <c r="D20" s="17" t="s">
        <v>52</v>
      </c>
      <c r="E20" s="18" t="s">
        <v>58</v>
      </c>
      <c r="F20" s="15" t="s">
        <v>93</v>
      </c>
      <c r="G20" s="49" t="s">
        <v>80</v>
      </c>
      <c r="H20" s="15" t="s">
        <v>59</v>
      </c>
    </row>
    <row r="22" spans="1:8" x14ac:dyDescent="0.3">
      <c r="A22" s="203" t="s">
        <v>111</v>
      </c>
      <c r="B22" t="s">
        <v>367</v>
      </c>
      <c r="C22">
        <v>3.0000000000000001E-3</v>
      </c>
      <c r="D22" t="s">
        <v>267</v>
      </c>
      <c r="E22" t="str">
        <f>Sources!A2</f>
        <v>Armijo2020</v>
      </c>
      <c r="G22" t="str">
        <f>Sources!A3</f>
        <v>Comite Solar2018</v>
      </c>
      <c r="H22" t="s">
        <v>276</v>
      </c>
    </row>
    <row r="23" spans="1:8" s="45" customFormat="1" x14ac:dyDescent="0.3">
      <c r="A23" s="203"/>
      <c r="B23" s="45" t="s">
        <v>1214</v>
      </c>
      <c r="C23" s="45">
        <f>0.004</f>
        <v>4.0000000000000001E-3</v>
      </c>
      <c r="D23" s="45" t="s">
        <v>267</v>
      </c>
      <c r="E23" s="45" t="str">
        <f>Sources!A99</f>
        <v>Kettani2020</v>
      </c>
    </row>
    <row r="24" spans="1:8" x14ac:dyDescent="0.3">
      <c r="A24" s="203"/>
      <c r="B24" t="s">
        <v>1207</v>
      </c>
      <c r="C24">
        <f>5.25/1000</f>
        <v>5.2500000000000003E-3</v>
      </c>
      <c r="D24" t="s">
        <v>267</v>
      </c>
      <c r="E24" t="str">
        <f>Sources!A98</f>
        <v>Lin2021</v>
      </c>
      <c r="H24" t="s">
        <v>1210</v>
      </c>
    </row>
    <row r="25" spans="1:8" x14ac:dyDescent="0.3">
      <c r="A25" s="203"/>
      <c r="B25" t="s">
        <v>370</v>
      </c>
      <c r="C25">
        <v>1.6E-2</v>
      </c>
      <c r="D25" t="s">
        <v>267</v>
      </c>
      <c r="E25" t="str">
        <f>Sources!A41</f>
        <v>Banares-Alcantara2015</v>
      </c>
      <c r="G25" t="str">
        <f>Sources!A9</f>
        <v>Morgan2013</v>
      </c>
    </row>
    <row r="26" spans="1:8" x14ac:dyDescent="0.3">
      <c r="A26" s="203"/>
      <c r="B26" t="s">
        <v>368</v>
      </c>
      <c r="C26">
        <v>2.1999999999999999E-2</v>
      </c>
      <c r="D26" t="s">
        <v>267</v>
      </c>
      <c r="E26" t="str">
        <f>Sources!A41</f>
        <v>Banares-Alcantara2015</v>
      </c>
      <c r="G26" t="str">
        <f>Sources!A9</f>
        <v>Morgan2013</v>
      </c>
    </row>
    <row r="27" spans="1:8" x14ac:dyDescent="0.3">
      <c r="A27" s="203"/>
      <c r="B27" t="s">
        <v>577</v>
      </c>
      <c r="C27">
        <v>3.0000000000000001E-3</v>
      </c>
      <c r="D27" t="s">
        <v>267</v>
      </c>
      <c r="E27" t="str">
        <f>Sources!A50</f>
        <v>IEA2019</v>
      </c>
    </row>
    <row r="28" spans="1:8" x14ac:dyDescent="0.3">
      <c r="A28" s="203"/>
      <c r="B28" t="s">
        <v>366</v>
      </c>
      <c r="C28">
        <v>0.01</v>
      </c>
      <c r="D28" t="s">
        <v>267</v>
      </c>
      <c r="E28" t="str">
        <f>Sources!A41</f>
        <v>Banares-Alcantara2015</v>
      </c>
      <c r="G28" t="str">
        <f>Sources!A9</f>
        <v>Morgan2013</v>
      </c>
    </row>
    <row r="30" spans="1:8" x14ac:dyDescent="0.3">
      <c r="A30" s="203" t="s">
        <v>269</v>
      </c>
      <c r="B30" t="s">
        <v>1295</v>
      </c>
      <c r="C30">
        <f>(7400*DE2019_)/(1000/24)*(CEPCI_ref/CEPCI2019)</f>
        <v>158.58558799892847</v>
      </c>
      <c r="D30" t="s">
        <v>273</v>
      </c>
      <c r="E30" t="str">
        <f>Sources!A2</f>
        <v>Armijo2020</v>
      </c>
      <c r="G30" t="str">
        <f>Sources!A3</f>
        <v>Comite Solar2018</v>
      </c>
      <c r="H30" t="s">
        <v>276</v>
      </c>
    </row>
    <row r="31" spans="1:8" s="45" customFormat="1" x14ac:dyDescent="0.3">
      <c r="A31" s="203"/>
      <c r="B31" s="45" t="s">
        <v>1288</v>
      </c>
      <c r="C31" s="45">
        <f>(1220*24/1000)*DE2019_*(CEPCI_ref/CEPCI2019)</f>
        <v>26.145191534958482</v>
      </c>
      <c r="D31" s="45" t="s">
        <v>1296</v>
      </c>
      <c r="E31" s="45" t="str">
        <f>Sources!A99</f>
        <v>Kettani2020</v>
      </c>
    </row>
    <row r="32" spans="1:8" x14ac:dyDescent="0.3">
      <c r="A32" s="203"/>
      <c r="B32" t="s">
        <v>807</v>
      </c>
      <c r="C32">
        <f>61200/2000*(CEPCI_ref/CEPCI2019)</f>
        <v>30.6</v>
      </c>
      <c r="D32" t="s">
        <v>273</v>
      </c>
      <c r="E32" t="str">
        <f>Sources!A60</f>
        <v>Jepma2018</v>
      </c>
    </row>
    <row r="34" spans="1:8" x14ac:dyDescent="0.3">
      <c r="A34" s="203" t="s">
        <v>1755</v>
      </c>
      <c r="B34" t="s">
        <v>270</v>
      </c>
      <c r="C34">
        <v>3</v>
      </c>
      <c r="D34" t="s">
        <v>274</v>
      </c>
      <c r="E34" t="str">
        <f>Sources!A2</f>
        <v>Armijo2020</v>
      </c>
      <c r="G34" t="str">
        <f>Sources!A3</f>
        <v>Comite Solar2018</v>
      </c>
      <c r="H34" t="s">
        <v>276</v>
      </c>
    </row>
    <row r="35" spans="1:8" x14ac:dyDescent="0.3">
      <c r="A35" s="203"/>
    </row>
    <row r="36" spans="1:8" x14ac:dyDescent="0.3">
      <c r="A36" s="203"/>
      <c r="B36" t="s">
        <v>808</v>
      </c>
      <c r="C36">
        <v>2.5</v>
      </c>
      <c r="D36" t="s">
        <v>274</v>
      </c>
      <c r="E36" t="str">
        <f>Sources!A60</f>
        <v>Jepma2018</v>
      </c>
    </row>
    <row r="38" spans="1:8" s="45" customFormat="1" x14ac:dyDescent="0.3">
      <c r="A38" s="43" t="s">
        <v>1752</v>
      </c>
      <c r="B38" s="45" t="s">
        <v>1756</v>
      </c>
      <c r="C38" s="45">
        <f>(0.29/1000)*DE2019_*(CEPCI_ref/CEPCI2019)</f>
        <v>2.5895169211536745E-4</v>
      </c>
      <c r="D38" s="45" t="s">
        <v>1212</v>
      </c>
      <c r="E38" s="45" t="str">
        <f>Sources!A99</f>
        <v>Kettani2020</v>
      </c>
    </row>
    <row r="40" spans="1:8" x14ac:dyDescent="0.3">
      <c r="A40" s="13" t="s">
        <v>1211</v>
      </c>
      <c r="B40" t="s">
        <v>1213</v>
      </c>
      <c r="E40" t="str">
        <f>Sources!A99</f>
        <v>Kettani2020</v>
      </c>
    </row>
    <row r="43" spans="1:8" x14ac:dyDescent="0.3">
      <c r="A43" s="203" t="s">
        <v>211</v>
      </c>
      <c r="C43">
        <v>30</v>
      </c>
      <c r="D43" t="s">
        <v>132</v>
      </c>
      <c r="E43" t="str">
        <f>Sources!A2</f>
        <v>Armijo2020</v>
      </c>
      <c r="G43" t="str">
        <f>Sources!A3</f>
        <v>Comite Solar2018</v>
      </c>
      <c r="H43" t="s">
        <v>276</v>
      </c>
    </row>
    <row r="44" spans="1:8" s="45" customFormat="1" x14ac:dyDescent="0.3">
      <c r="A44" s="203"/>
      <c r="B44" s="45" t="s">
        <v>2059</v>
      </c>
      <c r="C44" s="45">
        <v>20</v>
      </c>
      <c r="D44" s="45" t="s">
        <v>132</v>
      </c>
      <c r="E44" s="45" t="str">
        <f>Sources!A99</f>
        <v>Kettani2020</v>
      </c>
    </row>
    <row r="45" spans="1:8" x14ac:dyDescent="0.3">
      <c r="A45" s="203"/>
      <c r="B45" t="s">
        <v>270</v>
      </c>
      <c r="C45">
        <v>15</v>
      </c>
      <c r="D45" t="s">
        <v>132</v>
      </c>
      <c r="E45" t="str">
        <f>Sources!A98</f>
        <v>Lin2021</v>
      </c>
    </row>
    <row r="47" spans="1:8" x14ac:dyDescent="0.3">
      <c r="A47" s="13" t="s">
        <v>278</v>
      </c>
      <c r="C47">
        <v>7.5</v>
      </c>
      <c r="D47" t="s">
        <v>202</v>
      </c>
      <c r="E47" t="str">
        <f>Sources!A3</f>
        <v>Comite Solar2018</v>
      </c>
      <c r="H47" t="s">
        <v>284</v>
      </c>
    </row>
    <row r="49" spans="1:2" x14ac:dyDescent="0.3">
      <c r="A49" s="13" t="s">
        <v>578</v>
      </c>
      <c r="B49" t="s">
        <v>811</v>
      </c>
    </row>
  </sheetData>
  <mergeCells count="4">
    <mergeCell ref="A22:A28"/>
    <mergeCell ref="A30:A32"/>
    <mergeCell ref="A34:A36"/>
    <mergeCell ref="A43:A45"/>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04"/>
  <sheetViews>
    <sheetView topLeftCell="A103" zoomScale="85" zoomScaleNormal="85" workbookViewId="0">
      <selection activeCell="E116" sqref="E116"/>
    </sheetView>
  </sheetViews>
  <sheetFormatPr defaultColWidth="8.77734375" defaultRowHeight="14.4" x14ac:dyDescent="0.3"/>
  <cols>
    <col min="1" max="1" width="42.33203125" customWidth="1"/>
    <col min="2" max="2" width="78.77734375" customWidth="1"/>
    <col min="3" max="3" width="9.44140625" style="5" customWidth="1"/>
    <col min="4" max="4" width="28.77734375" style="5" customWidth="1"/>
    <col min="5" max="5" width="22.109375" style="5" customWidth="1"/>
    <col min="6" max="7" width="12" customWidth="1"/>
    <col min="8" max="8" width="10.77734375" customWidth="1"/>
    <col min="9" max="9" width="21.21875" customWidth="1"/>
  </cols>
  <sheetData>
    <row r="1" spans="1:9" s="29" customFormat="1" x14ac:dyDescent="0.3">
      <c r="A1" s="204" t="s">
        <v>1848</v>
      </c>
      <c r="B1" s="204"/>
      <c r="C1" s="47"/>
      <c r="D1" s="47"/>
      <c r="E1" s="91"/>
      <c r="I1" s="31"/>
    </row>
    <row r="2" spans="1:9" x14ac:dyDescent="0.3">
      <c r="B2" s="13"/>
      <c r="D2" s="49"/>
      <c r="E2" s="14"/>
      <c r="F2" s="13"/>
      <c r="G2" s="5"/>
    </row>
    <row r="3" spans="1:9" s="33" customFormat="1" x14ac:dyDescent="0.3">
      <c r="A3" s="32" t="s">
        <v>105</v>
      </c>
      <c r="B3" s="32"/>
      <c r="D3" s="63"/>
      <c r="E3" s="92"/>
      <c r="F3" s="32"/>
      <c r="G3" s="32"/>
      <c r="H3" s="32"/>
    </row>
    <row r="4" spans="1:9" s="66" customFormat="1" x14ac:dyDescent="0.3">
      <c r="A4" s="66" t="s">
        <v>2060</v>
      </c>
      <c r="B4" s="68"/>
      <c r="C4" s="70"/>
      <c r="D4" s="70"/>
      <c r="E4" s="115"/>
      <c r="F4" s="68"/>
      <c r="G4" s="70"/>
    </row>
    <row r="5" spans="1:9" s="17" customFormat="1" x14ac:dyDescent="0.3">
      <c r="A5" s="17" t="s">
        <v>85</v>
      </c>
      <c r="B5" s="17" t="s">
        <v>52</v>
      </c>
      <c r="C5" s="49" t="s">
        <v>184</v>
      </c>
      <c r="D5" s="95" t="s">
        <v>106</v>
      </c>
      <c r="E5" s="49" t="s">
        <v>183</v>
      </c>
      <c r="F5" s="17">
        <v>2030</v>
      </c>
      <c r="G5" s="17">
        <v>2040</v>
      </c>
      <c r="H5" s="49">
        <v>2050</v>
      </c>
      <c r="I5" s="15"/>
    </row>
    <row r="6" spans="1:9" x14ac:dyDescent="0.3">
      <c r="A6" t="s">
        <v>218</v>
      </c>
      <c r="B6" s="13" t="s">
        <v>540</v>
      </c>
      <c r="C6" s="5">
        <v>20000</v>
      </c>
      <c r="D6" s="5">
        <v>20000</v>
      </c>
      <c r="E6" s="5">
        <v>20000</v>
      </c>
      <c r="F6" s="5">
        <v>20000</v>
      </c>
      <c r="G6" s="5">
        <v>20000</v>
      </c>
      <c r="H6" s="5">
        <v>20000</v>
      </c>
    </row>
    <row r="7" spans="1:9" x14ac:dyDescent="0.3">
      <c r="A7" t="s">
        <v>107</v>
      </c>
      <c r="B7" s="13" t="s">
        <v>765</v>
      </c>
      <c r="C7" s="80">
        <f>$C$67</f>
        <v>0.4</v>
      </c>
      <c r="D7" s="80">
        <f>$C$67</f>
        <v>0.4</v>
      </c>
      <c r="E7" s="80">
        <f>$C$67</f>
        <v>0.4</v>
      </c>
      <c r="F7" s="81">
        <f>$C$68</f>
        <v>0.1</v>
      </c>
      <c r="G7" s="81">
        <f>$C$68</f>
        <v>0.1</v>
      </c>
      <c r="H7" s="81">
        <f>$C$68</f>
        <v>0.1</v>
      </c>
    </row>
    <row r="8" spans="1:9" x14ac:dyDescent="0.3">
      <c r="A8" t="s">
        <v>417</v>
      </c>
      <c r="B8" s="13" t="s">
        <v>765</v>
      </c>
      <c r="C8" s="113">
        <v>1</v>
      </c>
      <c r="D8" s="113">
        <v>1</v>
      </c>
      <c r="E8" s="113">
        <v>1</v>
      </c>
      <c r="F8" s="113">
        <v>1</v>
      </c>
      <c r="G8" s="113">
        <v>1</v>
      </c>
      <c r="H8" s="113">
        <v>1</v>
      </c>
    </row>
    <row r="9" spans="1:9" x14ac:dyDescent="0.3">
      <c r="A9" t="s">
        <v>354</v>
      </c>
      <c r="B9" s="13" t="s">
        <v>420</v>
      </c>
      <c r="C9" s="113">
        <v>1</v>
      </c>
      <c r="D9" s="113">
        <v>1</v>
      </c>
      <c r="E9" s="113">
        <v>1</v>
      </c>
      <c r="F9" s="113">
        <v>1</v>
      </c>
      <c r="G9" s="113">
        <v>1</v>
      </c>
      <c r="H9" s="113">
        <v>1</v>
      </c>
    </row>
    <row r="10" spans="1:9" x14ac:dyDescent="0.3">
      <c r="A10" t="s">
        <v>355</v>
      </c>
      <c r="B10" s="13" t="s">
        <v>421</v>
      </c>
      <c r="C10" s="113">
        <v>1</v>
      </c>
      <c r="D10" s="113">
        <v>1</v>
      </c>
      <c r="E10" s="113">
        <v>1</v>
      </c>
      <c r="F10" s="113">
        <v>1</v>
      </c>
      <c r="G10" s="113">
        <v>1</v>
      </c>
      <c r="H10" s="113">
        <v>1</v>
      </c>
    </row>
    <row r="11" spans="1:9" x14ac:dyDescent="0.3">
      <c r="A11" t="s">
        <v>757</v>
      </c>
      <c r="B11" s="13" t="s">
        <v>541</v>
      </c>
      <c r="C11" s="5">
        <f t="shared" ref="C11:H11" si="0">$C$83</f>
        <v>0.57947400000000004</v>
      </c>
      <c r="D11" s="5">
        <f t="shared" si="0"/>
        <v>0.57947400000000004</v>
      </c>
      <c r="E11" s="5">
        <f t="shared" si="0"/>
        <v>0.57947400000000004</v>
      </c>
      <c r="F11" s="5">
        <f t="shared" si="0"/>
        <v>0.57947400000000004</v>
      </c>
      <c r="G11" s="5">
        <f t="shared" si="0"/>
        <v>0.57947400000000004</v>
      </c>
      <c r="H11" s="5">
        <f t="shared" si="0"/>
        <v>0.57947400000000004</v>
      </c>
    </row>
    <row r="12" spans="1:9" x14ac:dyDescent="0.3">
      <c r="A12" t="s">
        <v>111</v>
      </c>
      <c r="B12" s="13" t="s">
        <v>541</v>
      </c>
      <c r="C12" s="5">
        <f t="shared" ref="C12:H12" si="1">$C$79</f>
        <v>0.32718600000000003</v>
      </c>
      <c r="D12" s="5">
        <f t="shared" si="1"/>
        <v>0.32718600000000003</v>
      </c>
      <c r="E12" s="5">
        <f t="shared" si="1"/>
        <v>0.32718600000000003</v>
      </c>
      <c r="F12" s="5">
        <f t="shared" si="1"/>
        <v>0.32718600000000003</v>
      </c>
      <c r="G12" s="5">
        <f t="shared" si="1"/>
        <v>0.32718600000000003</v>
      </c>
      <c r="H12" s="5">
        <f t="shared" si="1"/>
        <v>0.32718600000000003</v>
      </c>
    </row>
    <row r="13" spans="1:9" x14ac:dyDescent="0.3">
      <c r="A13" t="s">
        <v>385</v>
      </c>
      <c r="B13" s="13" t="s">
        <v>542</v>
      </c>
      <c r="C13" s="5">
        <f t="shared" ref="C13:H13" si="2">$C$70</f>
        <v>9.6506849315068486</v>
      </c>
      <c r="D13" s="5">
        <f t="shared" si="2"/>
        <v>9.6506849315068486</v>
      </c>
      <c r="E13" s="5">
        <f t="shared" si="2"/>
        <v>9.6506849315068486</v>
      </c>
      <c r="F13" s="5">
        <f t="shared" si="2"/>
        <v>9.6506849315068486</v>
      </c>
      <c r="G13" s="5">
        <f t="shared" si="2"/>
        <v>9.6506849315068486</v>
      </c>
      <c r="H13" s="5">
        <f t="shared" si="2"/>
        <v>9.6506849315068486</v>
      </c>
    </row>
    <row r="14" spans="1:9" x14ac:dyDescent="0.3">
      <c r="A14" t="s">
        <v>1779</v>
      </c>
      <c r="B14" s="13" t="s">
        <v>543</v>
      </c>
      <c r="C14" s="5">
        <f t="shared" ref="C14:H14" si="3">$C$87</f>
        <v>4085</v>
      </c>
      <c r="D14" s="5">
        <f t="shared" si="3"/>
        <v>4085</v>
      </c>
      <c r="E14" s="5">
        <f t="shared" si="3"/>
        <v>4085</v>
      </c>
      <c r="F14" s="5">
        <f t="shared" si="3"/>
        <v>4085</v>
      </c>
      <c r="G14" s="5">
        <f t="shared" si="3"/>
        <v>4085</v>
      </c>
      <c r="H14" s="5">
        <f t="shared" si="3"/>
        <v>4085</v>
      </c>
    </row>
    <row r="15" spans="1:9" x14ac:dyDescent="0.3">
      <c r="A15" t="s">
        <v>1750</v>
      </c>
      <c r="B15" s="13" t="s">
        <v>544</v>
      </c>
      <c r="C15" s="5">
        <f t="shared" ref="C15:H15" si="4">$C$91</f>
        <v>578.09675328395804</v>
      </c>
      <c r="D15" s="5">
        <f t="shared" si="4"/>
        <v>578.09675328395804</v>
      </c>
      <c r="E15" s="5">
        <f t="shared" si="4"/>
        <v>578.09675328395804</v>
      </c>
      <c r="F15" s="5">
        <f t="shared" si="4"/>
        <v>578.09675328395804</v>
      </c>
      <c r="G15" s="5">
        <f t="shared" si="4"/>
        <v>578.09675328395804</v>
      </c>
      <c r="H15" s="5">
        <f t="shared" si="4"/>
        <v>578.09675328395804</v>
      </c>
    </row>
    <row r="16" spans="1:9" x14ac:dyDescent="0.3">
      <c r="A16" t="s">
        <v>1752</v>
      </c>
      <c r="B16" s="13" t="s">
        <v>750</v>
      </c>
      <c r="C16" s="5">
        <v>0</v>
      </c>
      <c r="D16" s="5">
        <v>0</v>
      </c>
      <c r="E16" s="5">
        <v>0</v>
      </c>
      <c r="F16" s="5">
        <v>0</v>
      </c>
      <c r="G16" s="5">
        <v>0</v>
      </c>
      <c r="H16" s="5">
        <v>0</v>
      </c>
    </row>
    <row r="17" spans="1:15" x14ac:dyDescent="0.3">
      <c r="A17" t="s">
        <v>545</v>
      </c>
      <c r="B17" s="13" t="s">
        <v>152</v>
      </c>
      <c r="C17" s="5">
        <v>0</v>
      </c>
      <c r="D17" s="5">
        <v>0</v>
      </c>
      <c r="E17" s="14">
        <v>0</v>
      </c>
      <c r="F17" s="14">
        <v>0</v>
      </c>
      <c r="G17" s="14">
        <v>0</v>
      </c>
      <c r="H17" s="14">
        <v>0</v>
      </c>
    </row>
    <row r="18" spans="1:15" x14ac:dyDescent="0.3">
      <c r="A18" t="s">
        <v>110</v>
      </c>
      <c r="B18" s="13" t="s">
        <v>201</v>
      </c>
      <c r="C18" s="5">
        <f t="shared" ref="C18:H18" si="5">$C$95</f>
        <v>25</v>
      </c>
      <c r="D18" s="5">
        <f t="shared" si="5"/>
        <v>25</v>
      </c>
      <c r="E18" s="5">
        <f t="shared" si="5"/>
        <v>25</v>
      </c>
      <c r="F18" s="5">
        <f t="shared" si="5"/>
        <v>25</v>
      </c>
      <c r="G18" s="5">
        <f t="shared" si="5"/>
        <v>25</v>
      </c>
      <c r="H18" s="5">
        <f t="shared" si="5"/>
        <v>25</v>
      </c>
    </row>
    <row r="19" spans="1:15" x14ac:dyDescent="0.3">
      <c r="A19" t="s">
        <v>1642</v>
      </c>
      <c r="B19" s="13" t="s">
        <v>1682</v>
      </c>
      <c r="C19">
        <f>$C$99</f>
        <v>18.474666666666668</v>
      </c>
      <c r="D19">
        <f>$C$99</f>
        <v>18.474666666666668</v>
      </c>
      <c r="E19">
        <f>$C$99</f>
        <v>18.474666666666668</v>
      </c>
      <c r="F19" s="5">
        <f>$C$100</f>
        <v>12.624000000000001</v>
      </c>
      <c r="G19" s="5">
        <f>$C$101</f>
        <v>6.774</v>
      </c>
      <c r="H19" s="5">
        <f>$C$102</f>
        <v>0.92373333333333341</v>
      </c>
    </row>
    <row r="20" spans="1:15" x14ac:dyDescent="0.3">
      <c r="A20" t="s">
        <v>1651</v>
      </c>
      <c r="B20" s="13" t="s">
        <v>1683</v>
      </c>
      <c r="C20">
        <v>0</v>
      </c>
      <c r="D20">
        <v>0</v>
      </c>
      <c r="E20">
        <v>0</v>
      </c>
      <c r="F20">
        <v>0</v>
      </c>
      <c r="G20">
        <v>0</v>
      </c>
      <c r="H20">
        <v>0</v>
      </c>
    </row>
    <row r="21" spans="1:15" x14ac:dyDescent="0.3">
      <c r="A21" t="s">
        <v>103</v>
      </c>
      <c r="B21" s="13" t="s">
        <v>51</v>
      </c>
      <c r="C21">
        <f>Annuities!AF6</f>
        <v>9.3678779051968114E-2</v>
      </c>
      <c r="D21">
        <f>Annuities!AG6</f>
        <v>9.3678779051968114E-2</v>
      </c>
      <c r="E21">
        <f>Annuities!AH6</f>
        <v>9.3678779051968114E-2</v>
      </c>
      <c r="F21">
        <f>Annuities!AI6</f>
        <v>9.3678779051968114E-2</v>
      </c>
      <c r="G21">
        <f>Annuities!AJ6</f>
        <v>9.3678779051968114E-2</v>
      </c>
      <c r="H21">
        <f>Annuities!AK6</f>
        <v>9.3678779051968114E-2</v>
      </c>
      <c r="I21" s="5"/>
      <c r="J21" s="13"/>
      <c r="K21" s="13"/>
      <c r="L21" s="2"/>
      <c r="M21" s="2"/>
      <c r="N21" s="1"/>
      <c r="O21" s="13"/>
    </row>
    <row r="22" spans="1:15" x14ac:dyDescent="0.3">
      <c r="B22" s="13"/>
      <c r="C22"/>
      <c r="D22"/>
      <c r="E22"/>
      <c r="I22" s="5"/>
      <c r="J22" s="13"/>
      <c r="K22" s="13"/>
      <c r="L22" s="2"/>
      <c r="M22" s="2"/>
      <c r="N22" s="1"/>
      <c r="O22" s="13"/>
    </row>
    <row r="23" spans="1:15" s="66" customFormat="1" x14ac:dyDescent="0.3">
      <c r="A23" s="66" t="s">
        <v>2061</v>
      </c>
      <c r="B23" s="68"/>
      <c r="C23" s="70"/>
      <c r="D23" s="70"/>
      <c r="E23" s="115"/>
      <c r="F23" s="68"/>
      <c r="G23" s="70"/>
    </row>
    <row r="24" spans="1:15" s="17" customFormat="1" x14ac:dyDescent="0.3">
      <c r="A24" s="17" t="s">
        <v>85</v>
      </c>
      <c r="B24" s="17" t="s">
        <v>52</v>
      </c>
      <c r="C24" s="49" t="s">
        <v>184</v>
      </c>
      <c r="D24" s="95" t="s">
        <v>106</v>
      </c>
      <c r="E24" s="49" t="s">
        <v>183</v>
      </c>
      <c r="F24" s="17">
        <v>2030</v>
      </c>
      <c r="G24" s="17">
        <v>2040</v>
      </c>
      <c r="H24" s="49">
        <v>2050</v>
      </c>
      <c r="I24" s="15"/>
    </row>
    <row r="25" spans="1:15" x14ac:dyDescent="0.3">
      <c r="A25" t="s">
        <v>218</v>
      </c>
      <c r="B25" s="13" t="s">
        <v>540</v>
      </c>
      <c r="C25" s="5">
        <v>20000</v>
      </c>
      <c r="D25" s="5">
        <v>20000</v>
      </c>
      <c r="E25" s="5">
        <v>20000</v>
      </c>
      <c r="F25" s="5">
        <v>20000</v>
      </c>
      <c r="G25" s="5">
        <v>20000</v>
      </c>
      <c r="H25" s="5">
        <v>20000</v>
      </c>
    </row>
    <row r="26" spans="1:15" x14ac:dyDescent="0.3">
      <c r="A26" t="s">
        <v>107</v>
      </c>
      <c r="B26" s="13" t="s">
        <v>765</v>
      </c>
      <c r="C26" s="80">
        <f>$C$67</f>
        <v>0.4</v>
      </c>
      <c r="D26" s="80">
        <f>$C$67</f>
        <v>0.4</v>
      </c>
      <c r="E26" s="80">
        <f>$C$67</f>
        <v>0.4</v>
      </c>
      <c r="F26" s="81">
        <f>$C$68</f>
        <v>0.1</v>
      </c>
      <c r="G26" s="81">
        <f>$C$68</f>
        <v>0.1</v>
      </c>
      <c r="H26" s="81">
        <f>$C$68</f>
        <v>0.1</v>
      </c>
    </row>
    <row r="27" spans="1:15" x14ac:dyDescent="0.3">
      <c r="A27" t="s">
        <v>417</v>
      </c>
      <c r="B27" s="13" t="s">
        <v>765</v>
      </c>
      <c r="C27" s="113">
        <v>1</v>
      </c>
      <c r="D27" s="113">
        <v>1</v>
      </c>
      <c r="E27" s="113">
        <v>1</v>
      </c>
      <c r="F27" s="113">
        <v>1</v>
      </c>
      <c r="G27" s="113">
        <v>1</v>
      </c>
      <c r="H27" s="113">
        <v>1</v>
      </c>
    </row>
    <row r="28" spans="1:15" x14ac:dyDescent="0.3">
      <c r="A28" t="s">
        <v>354</v>
      </c>
      <c r="B28" s="13" t="s">
        <v>420</v>
      </c>
      <c r="C28" s="113">
        <v>1</v>
      </c>
      <c r="D28" s="113">
        <v>1</v>
      </c>
      <c r="E28" s="113">
        <v>1</v>
      </c>
      <c r="F28" s="113">
        <v>1</v>
      </c>
      <c r="G28" s="113">
        <v>1</v>
      </c>
      <c r="H28" s="113">
        <v>1</v>
      </c>
    </row>
    <row r="29" spans="1:15" x14ac:dyDescent="0.3">
      <c r="A29" t="s">
        <v>355</v>
      </c>
      <c r="B29" s="13" t="s">
        <v>421</v>
      </c>
      <c r="C29" s="113">
        <v>1</v>
      </c>
      <c r="D29" s="113">
        <v>1</v>
      </c>
      <c r="E29" s="113">
        <v>1</v>
      </c>
      <c r="F29" s="113">
        <v>1</v>
      </c>
      <c r="G29" s="113">
        <v>1</v>
      </c>
      <c r="H29" s="113">
        <v>1</v>
      </c>
    </row>
    <row r="30" spans="1:15" x14ac:dyDescent="0.3">
      <c r="A30" t="s">
        <v>757</v>
      </c>
      <c r="B30" s="13" t="s">
        <v>541</v>
      </c>
      <c r="C30" s="5">
        <f t="shared" ref="C30:H30" si="6">$C$84</f>
        <v>0.16950600000000002</v>
      </c>
      <c r="D30" s="5">
        <f t="shared" si="6"/>
        <v>0.16950600000000002</v>
      </c>
      <c r="E30" s="5">
        <f t="shared" si="6"/>
        <v>0.16950600000000002</v>
      </c>
      <c r="F30" s="5">
        <f t="shared" si="6"/>
        <v>0.16950600000000002</v>
      </c>
      <c r="G30" s="5">
        <f t="shared" si="6"/>
        <v>0.16950600000000002</v>
      </c>
      <c r="H30" s="5">
        <f t="shared" si="6"/>
        <v>0.16950600000000002</v>
      </c>
    </row>
    <row r="31" spans="1:15" x14ac:dyDescent="0.3">
      <c r="A31" t="s">
        <v>111</v>
      </c>
      <c r="B31" s="13" t="s">
        <v>541</v>
      </c>
      <c r="C31" s="5">
        <f t="shared" ref="C31:H31" si="7">$C$80</f>
        <v>0.33112800000000009</v>
      </c>
      <c r="D31" s="5">
        <f t="shared" si="7"/>
        <v>0.33112800000000009</v>
      </c>
      <c r="E31" s="5">
        <f t="shared" si="7"/>
        <v>0.33112800000000009</v>
      </c>
      <c r="F31" s="5">
        <f t="shared" si="7"/>
        <v>0.33112800000000009</v>
      </c>
      <c r="G31" s="5">
        <f t="shared" si="7"/>
        <v>0.33112800000000009</v>
      </c>
      <c r="H31" s="5">
        <f t="shared" si="7"/>
        <v>0.33112800000000009</v>
      </c>
    </row>
    <row r="32" spans="1:15" x14ac:dyDescent="0.3">
      <c r="A32" t="s">
        <v>385</v>
      </c>
      <c r="B32" s="13" t="s">
        <v>542</v>
      </c>
      <c r="C32" s="5">
        <f t="shared" ref="C32:H32" si="8">$C$70</f>
        <v>9.6506849315068486</v>
      </c>
      <c r="D32" s="5">
        <f t="shared" si="8"/>
        <v>9.6506849315068486</v>
      </c>
      <c r="E32" s="5">
        <f t="shared" si="8"/>
        <v>9.6506849315068486</v>
      </c>
      <c r="F32" s="5">
        <f t="shared" si="8"/>
        <v>9.6506849315068486</v>
      </c>
      <c r="G32" s="5">
        <f t="shared" si="8"/>
        <v>9.6506849315068486</v>
      </c>
      <c r="H32" s="5">
        <f t="shared" si="8"/>
        <v>9.6506849315068486</v>
      </c>
    </row>
    <row r="33" spans="1:8" x14ac:dyDescent="0.3">
      <c r="A33" t="s">
        <v>1779</v>
      </c>
      <c r="B33" s="13" t="s">
        <v>543</v>
      </c>
      <c r="C33" s="5">
        <f t="shared" ref="C33:H33" si="9">$C$87</f>
        <v>4085</v>
      </c>
      <c r="D33" s="5">
        <f t="shared" si="9"/>
        <v>4085</v>
      </c>
      <c r="E33" s="5">
        <f t="shared" si="9"/>
        <v>4085</v>
      </c>
      <c r="F33" s="5">
        <f t="shared" si="9"/>
        <v>4085</v>
      </c>
      <c r="G33" s="5">
        <f t="shared" si="9"/>
        <v>4085</v>
      </c>
      <c r="H33" s="5">
        <f t="shared" si="9"/>
        <v>4085</v>
      </c>
    </row>
    <row r="34" spans="1:8" x14ac:dyDescent="0.3">
      <c r="A34" t="s">
        <v>1750</v>
      </c>
      <c r="B34" s="13" t="s">
        <v>544</v>
      </c>
      <c r="C34" s="5">
        <f t="shared" ref="C34:H34" si="10">$C$91</f>
        <v>578.09675328395804</v>
      </c>
      <c r="D34" s="5">
        <f t="shared" si="10"/>
        <v>578.09675328395804</v>
      </c>
      <c r="E34" s="5">
        <f t="shared" si="10"/>
        <v>578.09675328395804</v>
      </c>
      <c r="F34" s="5">
        <f t="shared" si="10"/>
        <v>578.09675328395804</v>
      </c>
      <c r="G34" s="5">
        <f t="shared" si="10"/>
        <v>578.09675328395804</v>
      </c>
      <c r="H34" s="5">
        <f t="shared" si="10"/>
        <v>578.09675328395804</v>
      </c>
    </row>
    <row r="35" spans="1:8" x14ac:dyDescent="0.3">
      <c r="A35" t="s">
        <v>1752</v>
      </c>
      <c r="B35" s="13" t="s">
        <v>750</v>
      </c>
      <c r="C35" s="5">
        <v>0</v>
      </c>
      <c r="D35" s="5">
        <v>0</v>
      </c>
      <c r="E35" s="5">
        <v>0</v>
      </c>
      <c r="F35" s="5">
        <v>0</v>
      </c>
      <c r="G35" s="5">
        <v>0</v>
      </c>
      <c r="H35" s="5">
        <v>0</v>
      </c>
    </row>
    <row r="36" spans="1:8" x14ac:dyDescent="0.3">
      <c r="A36" t="s">
        <v>545</v>
      </c>
      <c r="B36" s="13" t="s">
        <v>152</v>
      </c>
      <c r="C36" s="5">
        <v>0</v>
      </c>
      <c r="D36" s="5">
        <v>0</v>
      </c>
      <c r="E36" s="14">
        <v>0</v>
      </c>
      <c r="F36" s="14">
        <v>0</v>
      </c>
      <c r="G36" s="14">
        <v>0</v>
      </c>
      <c r="H36" s="14">
        <v>0</v>
      </c>
    </row>
    <row r="37" spans="1:8" x14ac:dyDescent="0.3">
      <c r="A37" t="s">
        <v>110</v>
      </c>
      <c r="B37" s="13" t="s">
        <v>201</v>
      </c>
      <c r="C37" s="5">
        <f t="shared" ref="C37:H37" si="11">$C$95</f>
        <v>25</v>
      </c>
      <c r="D37" s="5">
        <f t="shared" si="11"/>
        <v>25</v>
      </c>
      <c r="E37" s="5">
        <f t="shared" si="11"/>
        <v>25</v>
      </c>
      <c r="F37" s="5">
        <f t="shared" si="11"/>
        <v>25</v>
      </c>
      <c r="G37" s="5">
        <f t="shared" si="11"/>
        <v>25</v>
      </c>
      <c r="H37" s="5">
        <f t="shared" si="11"/>
        <v>25</v>
      </c>
    </row>
    <row r="38" spans="1:8" x14ac:dyDescent="0.3">
      <c r="A38" t="s">
        <v>1642</v>
      </c>
      <c r="B38" s="13" t="s">
        <v>1649</v>
      </c>
      <c r="C38">
        <f>$C$99</f>
        <v>18.474666666666668</v>
      </c>
      <c r="D38">
        <f>$C$99</f>
        <v>18.474666666666668</v>
      </c>
      <c r="E38">
        <f>$C$99</f>
        <v>18.474666666666668</v>
      </c>
      <c r="F38" s="5">
        <f>$C$100</f>
        <v>12.624000000000001</v>
      </c>
      <c r="G38" s="5">
        <f>$C$101</f>
        <v>6.774</v>
      </c>
      <c r="H38" s="5">
        <f>$C$102</f>
        <v>0.92373333333333341</v>
      </c>
    </row>
    <row r="39" spans="1:8" x14ac:dyDescent="0.3">
      <c r="A39" t="s">
        <v>1651</v>
      </c>
      <c r="B39" s="13" t="s">
        <v>1607</v>
      </c>
      <c r="C39">
        <v>0</v>
      </c>
      <c r="D39">
        <v>0</v>
      </c>
      <c r="E39">
        <v>0</v>
      </c>
      <c r="F39">
        <v>0</v>
      </c>
      <c r="G39">
        <v>0</v>
      </c>
      <c r="H39">
        <v>0</v>
      </c>
    </row>
    <row r="40" spans="1:8" x14ac:dyDescent="0.3">
      <c r="A40" t="s">
        <v>103</v>
      </c>
      <c r="B40" s="13" t="s">
        <v>51</v>
      </c>
      <c r="C40">
        <f>Annuities!AF6</f>
        <v>9.3678779051968114E-2</v>
      </c>
      <c r="D40">
        <f>Annuities!AG6</f>
        <v>9.3678779051968114E-2</v>
      </c>
      <c r="E40">
        <f>Annuities!AH6</f>
        <v>9.3678779051968114E-2</v>
      </c>
      <c r="F40">
        <f>Annuities!AI6</f>
        <v>9.3678779051968114E-2</v>
      </c>
      <c r="G40">
        <f>Annuities!AJ6</f>
        <v>9.3678779051968114E-2</v>
      </c>
      <c r="H40">
        <f>Annuities!AK6</f>
        <v>9.3678779051968114E-2</v>
      </c>
    </row>
    <row r="41" spans="1:8" x14ac:dyDescent="0.3">
      <c r="B41" s="13"/>
      <c r="D41" s="114"/>
      <c r="E41" s="114"/>
      <c r="F41" s="13"/>
      <c r="G41" s="5"/>
    </row>
    <row r="42" spans="1:8" s="66" customFormat="1" x14ac:dyDescent="0.3">
      <c r="A42" s="66" t="s">
        <v>1600</v>
      </c>
      <c r="B42" s="68"/>
      <c r="C42" s="70"/>
      <c r="D42" s="70"/>
      <c r="E42" s="115"/>
      <c r="F42" s="68"/>
      <c r="G42" s="70"/>
    </row>
    <row r="43" spans="1:8" s="17" customFormat="1" x14ac:dyDescent="0.3">
      <c r="A43" s="17" t="s">
        <v>85</v>
      </c>
      <c r="B43" s="17" t="s">
        <v>52</v>
      </c>
      <c r="C43" s="49" t="s">
        <v>184</v>
      </c>
      <c r="D43" s="95" t="s">
        <v>106</v>
      </c>
      <c r="E43" s="49" t="s">
        <v>183</v>
      </c>
      <c r="F43" s="17">
        <v>2030</v>
      </c>
      <c r="G43" s="17">
        <v>2040</v>
      </c>
      <c r="H43" s="17">
        <v>2050</v>
      </c>
    </row>
    <row r="44" spans="1:8" x14ac:dyDescent="0.3">
      <c r="A44" t="s">
        <v>218</v>
      </c>
      <c r="B44" s="13" t="s">
        <v>1611</v>
      </c>
      <c r="C44" s="5" t="s">
        <v>422</v>
      </c>
      <c r="D44" s="5" t="s">
        <v>422</v>
      </c>
      <c r="E44" s="5" t="s">
        <v>422</v>
      </c>
      <c r="F44" s="5" t="s">
        <v>422</v>
      </c>
      <c r="G44" s="5" t="s">
        <v>422</v>
      </c>
      <c r="H44" s="5" t="s">
        <v>422</v>
      </c>
    </row>
    <row r="45" spans="1:8" x14ac:dyDescent="0.3">
      <c r="A45" t="s">
        <v>107</v>
      </c>
      <c r="B45" s="13" t="s">
        <v>202</v>
      </c>
      <c r="C45" s="113">
        <v>0</v>
      </c>
      <c r="D45" s="113">
        <v>0</v>
      </c>
      <c r="E45" s="113">
        <v>0</v>
      </c>
      <c r="F45" s="113">
        <v>0</v>
      </c>
      <c r="G45" s="113">
        <v>0</v>
      </c>
      <c r="H45" s="113">
        <v>0</v>
      </c>
    </row>
    <row r="46" spans="1:8" x14ac:dyDescent="0.3">
      <c r="A46" t="s">
        <v>417</v>
      </c>
      <c r="B46" s="13" t="s">
        <v>202</v>
      </c>
      <c r="C46" s="113">
        <v>1</v>
      </c>
      <c r="D46" s="113">
        <v>1</v>
      </c>
      <c r="E46" s="113">
        <v>1</v>
      </c>
      <c r="F46" s="113">
        <v>1</v>
      </c>
      <c r="G46" s="113">
        <v>1</v>
      </c>
      <c r="H46" s="113">
        <v>1</v>
      </c>
    </row>
    <row r="47" spans="1:8" x14ac:dyDescent="0.3">
      <c r="A47" t="s">
        <v>354</v>
      </c>
      <c r="B47" s="13" t="s">
        <v>420</v>
      </c>
      <c r="C47" s="113">
        <v>1</v>
      </c>
      <c r="D47" s="113">
        <v>1</v>
      </c>
      <c r="E47" s="113">
        <v>1</v>
      </c>
      <c r="F47" s="113">
        <v>1</v>
      </c>
      <c r="G47" s="113">
        <v>1</v>
      </c>
      <c r="H47" s="113">
        <v>1</v>
      </c>
    </row>
    <row r="48" spans="1:8" x14ac:dyDescent="0.3">
      <c r="A48" t="s">
        <v>355</v>
      </c>
      <c r="B48" s="13" t="s">
        <v>421</v>
      </c>
      <c r="C48" s="113">
        <v>1</v>
      </c>
      <c r="D48" s="113">
        <v>1</v>
      </c>
      <c r="E48" s="113">
        <v>1</v>
      </c>
      <c r="F48" s="113">
        <v>1</v>
      </c>
      <c r="G48" s="113">
        <v>1</v>
      </c>
      <c r="H48" s="113">
        <v>1</v>
      </c>
    </row>
    <row r="49" spans="1:8" x14ac:dyDescent="0.3">
      <c r="A49" t="s">
        <v>111</v>
      </c>
      <c r="B49" s="13" t="s">
        <v>1610</v>
      </c>
      <c r="C49" s="5">
        <v>0</v>
      </c>
      <c r="D49" s="5">
        <v>0</v>
      </c>
      <c r="E49" s="5">
        <v>0</v>
      </c>
      <c r="F49" s="5">
        <v>0</v>
      </c>
      <c r="G49" s="5">
        <v>0</v>
      </c>
      <c r="H49" s="5">
        <v>0</v>
      </c>
    </row>
    <row r="50" spans="1:8" x14ac:dyDescent="0.3">
      <c r="A50" t="s">
        <v>1633</v>
      </c>
      <c r="B50" s="13" t="s">
        <v>1612</v>
      </c>
      <c r="C50" s="5">
        <f t="shared" ref="C50:H50" si="12">$C$76</f>
        <v>0.79985805535841015</v>
      </c>
      <c r="D50" s="5">
        <f t="shared" si="12"/>
        <v>0.79985805535841015</v>
      </c>
      <c r="E50" s="5">
        <f t="shared" si="12"/>
        <v>0.79985805535841015</v>
      </c>
      <c r="F50" s="5">
        <f t="shared" si="12"/>
        <v>0.79985805535841015</v>
      </c>
      <c r="G50" s="5">
        <f t="shared" si="12"/>
        <v>0.79985805535841015</v>
      </c>
      <c r="H50" s="5">
        <f t="shared" si="12"/>
        <v>0.79985805535841015</v>
      </c>
    </row>
    <row r="51" spans="1:8" x14ac:dyDescent="0.3">
      <c r="A51" t="s">
        <v>1779</v>
      </c>
      <c r="B51" s="13" t="s">
        <v>1613</v>
      </c>
      <c r="C51" s="5">
        <v>0</v>
      </c>
      <c r="D51" s="5">
        <v>0</v>
      </c>
      <c r="E51" s="5">
        <v>0</v>
      </c>
      <c r="F51" s="5">
        <v>0</v>
      </c>
      <c r="G51" s="5">
        <v>0</v>
      </c>
      <c r="H51" s="5">
        <v>0</v>
      </c>
    </row>
    <row r="52" spans="1:8" x14ac:dyDescent="0.3">
      <c r="A52" t="s">
        <v>1757</v>
      </c>
      <c r="B52" s="13" t="s">
        <v>1614</v>
      </c>
      <c r="C52" s="5">
        <v>0</v>
      </c>
      <c r="D52" s="5">
        <v>0</v>
      </c>
      <c r="E52" s="5">
        <v>0</v>
      </c>
      <c r="F52" s="5">
        <v>0</v>
      </c>
      <c r="G52" s="5">
        <v>0</v>
      </c>
      <c r="H52" s="5">
        <v>0</v>
      </c>
    </row>
    <row r="53" spans="1:8" x14ac:dyDescent="0.3">
      <c r="A53" t="s">
        <v>1752</v>
      </c>
      <c r="B53" s="13" t="s">
        <v>1615</v>
      </c>
      <c r="C53" s="5">
        <v>0</v>
      </c>
      <c r="D53" s="5">
        <v>0</v>
      </c>
      <c r="E53" s="5">
        <v>0</v>
      </c>
      <c r="F53" s="5">
        <v>0</v>
      </c>
      <c r="G53" s="5">
        <v>0</v>
      </c>
      <c r="H53" s="5">
        <v>0</v>
      </c>
    </row>
    <row r="54" spans="1:8" x14ac:dyDescent="0.3">
      <c r="A54" t="s">
        <v>1616</v>
      </c>
      <c r="B54" s="13" t="s">
        <v>1622</v>
      </c>
      <c r="C54" s="5">
        <f>C117</f>
        <v>0.13625663392000001</v>
      </c>
      <c r="D54" s="5">
        <f>C115</f>
        <v>0.12474198880000002</v>
      </c>
      <c r="E54" s="5">
        <f>C116</f>
        <v>0.10938912864000003</v>
      </c>
      <c r="F54" s="5">
        <f>C118</f>
        <v>0.13625663392000001</v>
      </c>
      <c r="G54" s="5">
        <f>C121</f>
        <v>0.14585217152000002</v>
      </c>
      <c r="H54" s="5">
        <f>C124</f>
        <v>0.15736681664000002</v>
      </c>
    </row>
    <row r="55" spans="1:8" x14ac:dyDescent="0.3">
      <c r="A55" t="s">
        <v>110</v>
      </c>
      <c r="B55" s="13" t="s">
        <v>201</v>
      </c>
      <c r="C55" s="5">
        <v>0</v>
      </c>
      <c r="D55" s="5">
        <v>0</v>
      </c>
      <c r="E55" s="5">
        <v>0</v>
      </c>
      <c r="F55" s="5">
        <v>0</v>
      </c>
      <c r="G55" s="5">
        <v>0</v>
      </c>
      <c r="H55" s="5">
        <v>0</v>
      </c>
    </row>
    <row r="56" spans="1:8" x14ac:dyDescent="0.3">
      <c r="A56" t="s">
        <v>1642</v>
      </c>
      <c r="B56" s="13" t="s">
        <v>1680</v>
      </c>
      <c r="C56">
        <f>D56</f>
        <v>3.560584789265715</v>
      </c>
      <c r="D56">
        <f>$C$104*$C$75</f>
        <v>3.560584789265715</v>
      </c>
      <c r="E56">
        <f>D56</f>
        <v>3.560584789265715</v>
      </c>
      <c r="F56">
        <f>$C$105*$C$75</f>
        <v>2.4330662726649055</v>
      </c>
      <c r="G56">
        <f>$C$106*$C$75</f>
        <v>1.3055477560640962</v>
      </c>
      <c r="H56">
        <f>$C$107*$C$75</f>
        <v>0.17802923946328575</v>
      </c>
    </row>
    <row r="57" spans="1:8" x14ac:dyDescent="0.3">
      <c r="A57" t="s">
        <v>1651</v>
      </c>
      <c r="B57" s="13" t="s">
        <v>1681</v>
      </c>
      <c r="C57" s="5">
        <v>0</v>
      </c>
      <c r="D57" s="5">
        <v>0</v>
      </c>
      <c r="E57" s="5">
        <v>0</v>
      </c>
      <c r="F57" s="5">
        <v>0</v>
      </c>
      <c r="G57" s="5">
        <v>0</v>
      </c>
      <c r="H57" s="5">
        <v>0</v>
      </c>
    </row>
    <row r="58" spans="1:8" x14ac:dyDescent="0.3">
      <c r="A58" t="s">
        <v>103</v>
      </c>
      <c r="B58" s="13" t="s">
        <v>51</v>
      </c>
      <c r="C58" s="5">
        <f>Annuities!AF5</f>
        <v>0</v>
      </c>
      <c r="D58" s="5">
        <f>Annuities!AG5</f>
        <v>0</v>
      </c>
      <c r="E58" s="5">
        <f>Annuities!AH5</f>
        <v>0</v>
      </c>
      <c r="F58" s="5">
        <f>Annuities!AI5</f>
        <v>0</v>
      </c>
      <c r="G58" s="5">
        <f>Annuities!AJ5</f>
        <v>0</v>
      </c>
      <c r="H58" s="5">
        <f>Annuities!AK5</f>
        <v>0</v>
      </c>
    </row>
    <row r="60" spans="1:8" s="33" customFormat="1" x14ac:dyDescent="0.3">
      <c r="A60" s="32" t="s">
        <v>203</v>
      </c>
      <c r="B60" s="32"/>
      <c r="D60" s="63"/>
      <c r="E60" s="92"/>
      <c r="F60" s="32"/>
      <c r="G60" s="32"/>
      <c r="H60" s="32"/>
    </row>
    <row r="62" spans="1:8" s="66" customFormat="1" x14ac:dyDescent="0.3">
      <c r="A62" s="66" t="s">
        <v>1590</v>
      </c>
      <c r="B62" s="68"/>
      <c r="C62" s="70"/>
      <c r="D62" s="70"/>
      <c r="E62" s="115"/>
      <c r="F62" s="110"/>
      <c r="G62" s="110"/>
      <c r="H62" s="110"/>
    </row>
    <row r="63" spans="1:8" x14ac:dyDescent="0.3">
      <c r="A63" s="17" t="s">
        <v>85</v>
      </c>
      <c r="B63" s="17" t="s">
        <v>82</v>
      </c>
      <c r="C63" s="49" t="s">
        <v>49</v>
      </c>
      <c r="D63" s="49" t="s">
        <v>52</v>
      </c>
      <c r="E63" s="95" t="s">
        <v>58</v>
      </c>
      <c r="F63" s="35" t="s">
        <v>93</v>
      </c>
      <c r="G63" s="35" t="s">
        <v>80</v>
      </c>
      <c r="H63" s="35" t="s">
        <v>59</v>
      </c>
    </row>
    <row r="64" spans="1:8" x14ac:dyDescent="0.3">
      <c r="F64" s="16"/>
      <c r="G64" s="16"/>
      <c r="H64" s="16"/>
    </row>
    <row r="65" spans="1:8" ht="28.8" x14ac:dyDescent="0.3">
      <c r="A65" s="8" t="s">
        <v>1603</v>
      </c>
      <c r="B65" s="10" t="s">
        <v>1604</v>
      </c>
      <c r="F65" s="16"/>
      <c r="G65" s="16"/>
      <c r="H65" s="16"/>
    </row>
    <row r="66" spans="1:8" x14ac:dyDescent="0.3">
      <c r="A66" s="8"/>
      <c r="D66" s="16"/>
      <c r="F66" s="16"/>
      <c r="G66" s="16"/>
      <c r="H66" s="16"/>
    </row>
    <row r="67" spans="1:8" x14ac:dyDescent="0.3">
      <c r="A67" s="203" t="s">
        <v>107</v>
      </c>
      <c r="B67" s="12">
        <v>2020</v>
      </c>
      <c r="C67" s="78">
        <v>0.4</v>
      </c>
      <c r="D67" s="16" t="s">
        <v>170</v>
      </c>
      <c r="E67" s="5" t="s">
        <v>529</v>
      </c>
      <c r="F67" s="16"/>
      <c r="G67" s="16"/>
      <c r="H67" s="16"/>
    </row>
    <row r="68" spans="1:8" x14ac:dyDescent="0.3">
      <c r="A68" s="203"/>
      <c r="B68" s="20" t="s">
        <v>1591</v>
      </c>
      <c r="C68" s="78">
        <v>0.1</v>
      </c>
      <c r="D68" s="16" t="s">
        <v>170</v>
      </c>
      <c r="E68" s="5" t="s">
        <v>529</v>
      </c>
      <c r="F68" s="16"/>
      <c r="G68" s="16"/>
      <c r="H68" s="16"/>
    </row>
    <row r="69" spans="1:8" x14ac:dyDescent="0.3">
      <c r="F69" s="16"/>
      <c r="G69" s="16"/>
      <c r="H69" s="16"/>
    </row>
    <row r="70" spans="1:8" x14ac:dyDescent="0.3">
      <c r="A70" s="203" t="s">
        <v>1259</v>
      </c>
      <c r="B70" t="s">
        <v>1592</v>
      </c>
      <c r="C70" s="5">
        <f>14.09/1.46</f>
        <v>9.6506849315068486</v>
      </c>
      <c r="D70" s="16" t="s">
        <v>1203</v>
      </c>
      <c r="E70" s="5" t="str">
        <f>Sources!A110</f>
        <v>Butera2021</v>
      </c>
      <c r="F70" s="16"/>
      <c r="G70" s="16"/>
      <c r="H70" s="16" t="s">
        <v>1593</v>
      </c>
    </row>
    <row r="71" spans="1:8" s="60" customFormat="1" x14ac:dyDescent="0.3">
      <c r="A71" s="203"/>
      <c r="C71" s="61"/>
      <c r="D71" s="118"/>
      <c r="E71" s="61"/>
      <c r="F71" s="118"/>
      <c r="G71" s="118"/>
      <c r="H71" s="118"/>
    </row>
    <row r="72" spans="1:8" s="45" customFormat="1" x14ac:dyDescent="0.3">
      <c r="A72" s="203"/>
      <c r="C72" s="53"/>
      <c r="D72" s="16"/>
      <c r="E72" s="53"/>
      <c r="F72" s="116"/>
      <c r="G72" s="116"/>
      <c r="H72" s="116"/>
    </row>
    <row r="73" spans="1:8" s="45" customFormat="1" x14ac:dyDescent="0.3">
      <c r="A73" s="8"/>
      <c r="C73" s="53"/>
      <c r="D73" s="16"/>
      <c r="E73" s="53"/>
      <c r="F73" s="116"/>
      <c r="G73" s="116"/>
      <c r="H73" s="116"/>
    </row>
    <row r="74" spans="1:8" s="60" customFormat="1" ht="14.55" customHeight="1" x14ac:dyDescent="0.3">
      <c r="A74" s="205" t="s">
        <v>1621</v>
      </c>
      <c r="B74" s="60" t="s">
        <v>1595</v>
      </c>
      <c r="C74" s="61">
        <f>15.08/14.09</f>
        <v>1.0702625975869411</v>
      </c>
      <c r="D74" s="118" t="s">
        <v>1594</v>
      </c>
      <c r="E74" s="61" t="str">
        <f>Sources!A110</f>
        <v>Butera2021</v>
      </c>
      <c r="F74" s="118"/>
      <c r="G74" s="118"/>
      <c r="H74" s="16" t="s">
        <v>1593</v>
      </c>
    </row>
    <row r="75" spans="1:8" x14ac:dyDescent="0.3">
      <c r="A75" s="205"/>
      <c r="B75" t="s">
        <v>1596</v>
      </c>
      <c r="C75" s="5">
        <f>11.27/15.08</f>
        <v>0.74734748010610075</v>
      </c>
      <c r="D75" s="16" t="s">
        <v>1597</v>
      </c>
      <c r="E75" s="5" t="str">
        <f>Sources!A110</f>
        <v>Butera2021</v>
      </c>
      <c r="F75" s="16"/>
      <c r="G75" s="16"/>
      <c r="H75" s="16"/>
    </row>
    <row r="76" spans="1:8" x14ac:dyDescent="0.3">
      <c r="A76" s="205"/>
      <c r="B76" t="s">
        <v>1602</v>
      </c>
      <c r="C76" s="5">
        <f>11.27/14.09</f>
        <v>0.79985805535841015</v>
      </c>
      <c r="D76" s="16" t="s">
        <v>1601</v>
      </c>
      <c r="E76" s="5" t="str">
        <f>Sources!A110</f>
        <v>Butera2021</v>
      </c>
      <c r="F76" s="16"/>
      <c r="G76" s="16"/>
      <c r="H76" s="16"/>
    </row>
    <row r="77" spans="1:8" x14ac:dyDescent="0.3">
      <c r="A77" s="205"/>
      <c r="F77" s="16"/>
      <c r="G77" s="16"/>
      <c r="H77" s="16"/>
    </row>
    <row r="78" spans="1:8" x14ac:dyDescent="0.3">
      <c r="A78" s="13"/>
      <c r="D78" s="16"/>
      <c r="F78" s="16"/>
      <c r="G78" s="16"/>
      <c r="H78" s="16"/>
    </row>
    <row r="79" spans="1:8" x14ac:dyDescent="0.3">
      <c r="A79" s="203" t="s">
        <v>111</v>
      </c>
      <c r="B79" t="s">
        <v>1605</v>
      </c>
      <c r="C79" s="5">
        <f>0.001*16.6/(400/7884)</f>
        <v>0.32718600000000003</v>
      </c>
      <c r="D79" s="16" t="s">
        <v>822</v>
      </c>
      <c r="E79" s="5" t="str">
        <f>Sources!A110</f>
        <v>Butera2021</v>
      </c>
      <c r="F79" s="16"/>
      <c r="G79" s="16"/>
      <c r="H79" s="16"/>
    </row>
    <row r="80" spans="1:8" s="60" customFormat="1" x14ac:dyDescent="0.3">
      <c r="A80" s="203"/>
      <c r="B80" s="60" t="s">
        <v>1606</v>
      </c>
      <c r="C80" s="61">
        <f>0.001*16.8/(400/7884)</f>
        <v>0.33112800000000009</v>
      </c>
      <c r="D80" s="16" t="s">
        <v>822</v>
      </c>
      <c r="E80" s="61" t="str">
        <f>Sources!A110</f>
        <v>Butera2021</v>
      </c>
      <c r="F80" s="118"/>
      <c r="G80" s="118"/>
      <c r="H80" s="118"/>
    </row>
    <row r="81" spans="1:8" x14ac:dyDescent="0.3">
      <c r="A81" s="203"/>
      <c r="D81" s="16"/>
      <c r="F81" s="16"/>
      <c r="G81" s="16"/>
      <c r="H81" s="16"/>
    </row>
    <row r="82" spans="1:8" x14ac:dyDescent="0.3">
      <c r="A82" s="8"/>
      <c r="D82" s="16"/>
      <c r="F82" s="16"/>
      <c r="G82" s="16"/>
      <c r="H82" s="16"/>
    </row>
    <row r="83" spans="1:8" x14ac:dyDescent="0.3">
      <c r="A83" s="203" t="s">
        <v>909</v>
      </c>
      <c r="B83" t="s">
        <v>1599</v>
      </c>
      <c r="C83" s="5">
        <f>0.001*29.4/(400/7884)</f>
        <v>0.57947400000000004</v>
      </c>
      <c r="D83" s="16" t="s">
        <v>911</v>
      </c>
      <c r="E83" s="5" t="str">
        <f>Sources!A110</f>
        <v>Butera2021</v>
      </c>
      <c r="F83" s="16"/>
      <c r="G83" s="16"/>
      <c r="H83" s="16"/>
    </row>
    <row r="84" spans="1:8" x14ac:dyDescent="0.3">
      <c r="A84" s="203"/>
      <c r="B84" t="s">
        <v>1598</v>
      </c>
      <c r="C84" s="5">
        <f>0.001*8.6/(400/7884)</f>
        <v>0.16950600000000002</v>
      </c>
      <c r="D84" s="16" t="s">
        <v>911</v>
      </c>
      <c r="E84" s="5" t="str">
        <f>Sources!A110</f>
        <v>Butera2021</v>
      </c>
      <c r="F84" s="16"/>
      <c r="G84" s="16"/>
      <c r="H84" s="16"/>
    </row>
    <row r="85" spans="1:8" s="60" customFormat="1" x14ac:dyDescent="0.3">
      <c r="A85" s="203"/>
      <c r="F85" s="118"/>
      <c r="G85" s="118"/>
      <c r="H85" s="118"/>
    </row>
    <row r="86" spans="1:8" x14ac:dyDescent="0.3">
      <c r="F86" s="16"/>
      <c r="G86" s="16"/>
      <c r="H86" s="16"/>
    </row>
    <row r="87" spans="1:8" x14ac:dyDescent="0.3">
      <c r="A87" s="203" t="s">
        <v>714</v>
      </c>
      <c r="B87" s="10" t="s">
        <v>1609</v>
      </c>
      <c r="C87" s="5">
        <v>4085</v>
      </c>
      <c r="D87" s="16" t="s">
        <v>1608</v>
      </c>
      <c r="E87" s="5" t="str">
        <f>Sources!A110</f>
        <v>Butera2021</v>
      </c>
      <c r="F87" s="16"/>
      <c r="G87" s="16"/>
      <c r="H87" s="16"/>
    </row>
    <row r="88" spans="1:8" x14ac:dyDescent="0.3">
      <c r="A88" s="203"/>
      <c r="D88" s="16"/>
      <c r="F88" s="16"/>
      <c r="G88" s="16"/>
      <c r="H88" s="16"/>
    </row>
    <row r="89" spans="1:8" x14ac:dyDescent="0.3">
      <c r="A89" s="8"/>
      <c r="D89" s="16"/>
      <c r="F89" s="16"/>
      <c r="G89" s="16"/>
      <c r="H89" s="16"/>
    </row>
    <row r="90" spans="1:8" s="60" customFormat="1" x14ac:dyDescent="0.3">
      <c r="A90" s="203" t="s">
        <v>1750</v>
      </c>
      <c r="B90" s="119" t="s">
        <v>1071</v>
      </c>
      <c r="C90" s="148">
        <v>0.06</v>
      </c>
      <c r="D90" s="118" t="s">
        <v>1070</v>
      </c>
      <c r="E90" s="61" t="str">
        <f>Sources!A81</f>
        <v>Nguyen2019</v>
      </c>
      <c r="F90" s="118"/>
      <c r="G90" s="118"/>
      <c r="H90" s="118"/>
    </row>
    <row r="91" spans="1:8" s="60" customFormat="1" x14ac:dyDescent="0.3">
      <c r="A91" s="203"/>
      <c r="B91" s="60" t="s">
        <v>1847</v>
      </c>
      <c r="C91" s="144">
        <v>578.09675328395804</v>
      </c>
      <c r="D91" s="118" t="s">
        <v>1846</v>
      </c>
      <c r="E91" s="60" t="str">
        <f>Sources!A112</f>
        <v>Turton2008</v>
      </c>
      <c r="F91" s="118"/>
      <c r="G91" s="118"/>
      <c r="H91" s="118"/>
    </row>
    <row r="92" spans="1:8" x14ac:dyDescent="0.3">
      <c r="D92" s="16"/>
      <c r="F92" s="16"/>
      <c r="G92" s="16"/>
      <c r="H92" s="16"/>
    </row>
    <row r="93" spans="1:8" x14ac:dyDescent="0.3">
      <c r="A93" s="8" t="s">
        <v>1752</v>
      </c>
      <c r="B93" s="10"/>
      <c r="D93" s="16"/>
      <c r="F93" s="16"/>
      <c r="G93" s="16"/>
      <c r="H93" s="16"/>
    </row>
    <row r="94" spans="1:8" s="45" customFormat="1" x14ac:dyDescent="0.3">
      <c r="A94" s="8"/>
      <c r="B94" s="117"/>
      <c r="C94" s="53"/>
      <c r="D94" s="116"/>
      <c r="E94" s="53"/>
      <c r="F94" s="116"/>
      <c r="G94" s="116"/>
      <c r="H94" s="116"/>
    </row>
    <row r="95" spans="1:8" x14ac:dyDescent="0.3">
      <c r="A95" s="8" t="s">
        <v>110</v>
      </c>
      <c r="B95" s="45" t="s">
        <v>1069</v>
      </c>
      <c r="C95" s="53">
        <v>25</v>
      </c>
      <c r="D95" s="116" t="s">
        <v>132</v>
      </c>
      <c r="E95" s="53" t="str">
        <f>Sources!A81</f>
        <v>Nguyen2019</v>
      </c>
      <c r="F95" s="16"/>
      <c r="G95" s="16"/>
      <c r="H95" s="16"/>
    </row>
    <row r="96" spans="1:8" x14ac:dyDescent="0.3">
      <c r="A96" s="8"/>
      <c r="B96" s="45"/>
      <c r="C96" s="53"/>
      <c r="D96" s="116"/>
      <c r="E96" s="53"/>
      <c r="F96" s="16"/>
      <c r="G96" s="16"/>
      <c r="H96" s="16"/>
    </row>
    <row r="97" spans="1:8" x14ac:dyDescent="0.3">
      <c r="A97" s="59" t="s">
        <v>1716</v>
      </c>
      <c r="B97" s="60" t="s">
        <v>1719</v>
      </c>
      <c r="C97" s="61">
        <v>0.95</v>
      </c>
      <c r="D97" s="118" t="s">
        <v>1720</v>
      </c>
      <c r="E97" s="61" t="str">
        <f>Sources!A118</f>
        <v>Mustafa2017</v>
      </c>
      <c r="F97" s="16"/>
      <c r="G97" s="16"/>
      <c r="H97" s="16"/>
    </row>
    <row r="98" spans="1:8" x14ac:dyDescent="0.3">
      <c r="D98" s="16"/>
      <c r="F98" s="16"/>
      <c r="G98" s="16"/>
      <c r="H98" s="16"/>
    </row>
    <row r="99" spans="1:8" x14ac:dyDescent="0.3">
      <c r="A99" s="203" t="s">
        <v>1844</v>
      </c>
      <c r="B99" t="s">
        <v>1723</v>
      </c>
      <c r="C99" s="5">
        <f>(51960000/(2700*1000/24))/25</f>
        <v>18.474666666666668</v>
      </c>
      <c r="D99" s="16" t="s">
        <v>1682</v>
      </c>
      <c r="E99" s="5" t="str">
        <f>Sources!A113</f>
        <v>Ecoinvent2020</v>
      </c>
      <c r="F99" s="16"/>
      <c r="G99" s="16"/>
      <c r="H99" s="16"/>
    </row>
    <row r="100" spans="1:8" x14ac:dyDescent="0.3">
      <c r="A100" s="203"/>
      <c r="B100" s="16" t="s">
        <v>1687</v>
      </c>
      <c r="C100" s="36">
        <v>12.624000000000001</v>
      </c>
      <c r="D100" s="16" t="s">
        <v>1682</v>
      </c>
      <c r="E100" s="5" t="s">
        <v>529</v>
      </c>
      <c r="F100" s="16"/>
      <c r="G100" s="16"/>
      <c r="H100" s="16"/>
    </row>
    <row r="101" spans="1:8" x14ac:dyDescent="0.3">
      <c r="A101" s="203"/>
      <c r="B101" s="16">
        <v>2040</v>
      </c>
      <c r="C101" s="36">
        <v>6.774</v>
      </c>
      <c r="D101" s="16" t="s">
        <v>1682</v>
      </c>
      <c r="E101" s="5" t="s">
        <v>529</v>
      </c>
      <c r="F101" s="16"/>
      <c r="G101" s="16"/>
      <c r="H101" s="16"/>
    </row>
    <row r="102" spans="1:8" x14ac:dyDescent="0.3">
      <c r="A102" s="203"/>
      <c r="B102" s="16">
        <v>2050</v>
      </c>
      <c r="C102" s="5">
        <f>C99*0.05</f>
        <v>0.92373333333333341</v>
      </c>
      <c r="D102" s="16" t="s">
        <v>1682</v>
      </c>
      <c r="E102" s="5" t="s">
        <v>529</v>
      </c>
      <c r="F102" s="16"/>
      <c r="G102" s="16"/>
      <c r="H102" s="16"/>
    </row>
    <row r="103" spans="1:8" x14ac:dyDescent="0.3">
      <c r="A103" s="8"/>
      <c r="B103" s="164"/>
      <c r="D103" s="16"/>
      <c r="F103" s="16"/>
      <c r="G103" s="16"/>
      <c r="H103" s="16"/>
    </row>
    <row r="104" spans="1:8" x14ac:dyDescent="0.3">
      <c r="A104" s="203" t="s">
        <v>1845</v>
      </c>
      <c r="B104" s="16" t="s">
        <v>1724</v>
      </c>
      <c r="C104" s="5">
        <f>694800/50/(81500*330/8760)/C97</f>
        <v>4.7642962397628201</v>
      </c>
      <c r="D104" s="16" t="s">
        <v>1721</v>
      </c>
      <c r="E104" s="5" t="str">
        <f>Sources!A119</f>
        <v>Ecoinvent2020</v>
      </c>
      <c r="F104" s="16"/>
      <c r="G104" s="16"/>
      <c r="H104" s="16"/>
    </row>
    <row r="105" spans="1:8" x14ac:dyDescent="0.3">
      <c r="A105" s="203"/>
      <c r="B105" s="16" t="s">
        <v>1687</v>
      </c>
      <c r="C105" s="5">
        <v>3.2556024305045943</v>
      </c>
      <c r="D105" s="16" t="s">
        <v>1721</v>
      </c>
      <c r="E105" s="5" t="s">
        <v>529</v>
      </c>
      <c r="F105" s="16"/>
      <c r="G105" s="16"/>
      <c r="H105" s="16"/>
    </row>
    <row r="106" spans="1:8" x14ac:dyDescent="0.3">
      <c r="A106" s="203"/>
      <c r="B106" s="16">
        <v>2040</v>
      </c>
      <c r="C106" s="5">
        <v>1.7469086212463685</v>
      </c>
      <c r="D106" s="16" t="s">
        <v>1721</v>
      </c>
      <c r="E106" s="5" t="s">
        <v>529</v>
      </c>
      <c r="F106" s="16"/>
      <c r="G106" s="16"/>
      <c r="H106" s="16"/>
    </row>
    <row r="107" spans="1:8" x14ac:dyDescent="0.3">
      <c r="A107" s="203"/>
      <c r="B107" s="16">
        <v>2050</v>
      </c>
      <c r="C107" s="5">
        <f>C104*0.05</f>
        <v>0.23821481198814101</v>
      </c>
      <c r="D107" s="16" t="s">
        <v>1721</v>
      </c>
      <c r="E107" s="5" t="s">
        <v>529</v>
      </c>
      <c r="F107" s="16"/>
      <c r="G107" s="16"/>
      <c r="H107" s="16"/>
    </row>
    <row r="108" spans="1:8" x14ac:dyDescent="0.3">
      <c r="C108" s="76"/>
      <c r="D108" s="16"/>
      <c r="F108" s="16"/>
      <c r="G108" s="16"/>
      <c r="H108" s="16"/>
    </row>
    <row r="109" spans="1:8" s="26" customFormat="1" x14ac:dyDescent="0.3">
      <c r="A109" s="75" t="s">
        <v>1617</v>
      </c>
      <c r="B109" s="27"/>
      <c r="C109" s="50"/>
      <c r="D109" s="111"/>
      <c r="E109" s="94"/>
      <c r="F109" s="75"/>
      <c r="G109" s="75"/>
      <c r="H109" s="75"/>
    </row>
    <row r="110" spans="1:8" x14ac:dyDescent="0.3">
      <c r="D110" s="16"/>
      <c r="F110" s="16"/>
      <c r="G110" s="16"/>
      <c r="H110" s="16"/>
    </row>
    <row r="111" spans="1:8" x14ac:dyDescent="0.3">
      <c r="A111" s="17" t="s">
        <v>85</v>
      </c>
      <c r="B111" s="17" t="s">
        <v>82</v>
      </c>
      <c r="C111" s="49" t="s">
        <v>49</v>
      </c>
      <c r="D111" s="35" t="s">
        <v>52</v>
      </c>
      <c r="E111" s="95" t="s">
        <v>58</v>
      </c>
      <c r="F111" s="35" t="s">
        <v>93</v>
      </c>
      <c r="G111" s="35" t="s">
        <v>80</v>
      </c>
      <c r="H111" s="35" t="s">
        <v>59</v>
      </c>
    </row>
    <row r="112" spans="1:8" x14ac:dyDescent="0.3">
      <c r="D112" s="16"/>
      <c r="F112" s="16"/>
      <c r="G112" s="16"/>
      <c r="H112" s="16"/>
    </row>
    <row r="113" spans="1:8" x14ac:dyDescent="0.3">
      <c r="A113" s="13" t="s">
        <v>1618</v>
      </c>
      <c r="B113" t="s">
        <v>1619</v>
      </c>
      <c r="C113" s="5">
        <v>18.28</v>
      </c>
      <c r="D113" s="16" t="s">
        <v>1620</v>
      </c>
      <c r="F113" s="16"/>
      <c r="G113" s="16"/>
      <c r="H113" s="16"/>
    </row>
    <row r="114" spans="1:8" x14ac:dyDescent="0.3">
      <c r="D114" s="16"/>
      <c r="F114" s="16"/>
      <c r="G114" s="16"/>
      <c r="H114" s="16"/>
    </row>
    <row r="115" spans="1:8" s="60" customFormat="1" x14ac:dyDescent="0.3">
      <c r="A115" s="203" t="s">
        <v>1616</v>
      </c>
      <c r="B115" s="60" t="s">
        <v>1939</v>
      </c>
      <c r="C115" s="61">
        <f>6.5*E2013_ref*C113*0.001</f>
        <v>0.12474198880000002</v>
      </c>
      <c r="D115" s="159" t="s">
        <v>1631</v>
      </c>
      <c r="E115" s="61" t="str">
        <f>Sources!A111</f>
        <v>EaEnergyAnalyses2013</v>
      </c>
      <c r="F115" s="118"/>
      <c r="G115" s="118"/>
      <c r="H115" s="118"/>
    </row>
    <row r="116" spans="1:8" s="60" customFormat="1" x14ac:dyDescent="0.3">
      <c r="A116" s="203"/>
      <c r="B116" s="60" t="s">
        <v>1940</v>
      </c>
      <c r="C116" s="61">
        <f>5.7*E2013_ref*C113*0.001</f>
        <v>0.10938912864000003</v>
      </c>
      <c r="D116" s="159" t="s">
        <v>1631</v>
      </c>
      <c r="E116" s="61" t="str">
        <f>Sources!A111</f>
        <v>EaEnergyAnalyses2013</v>
      </c>
      <c r="F116" s="118"/>
      <c r="G116" s="118"/>
      <c r="H116" s="118"/>
    </row>
    <row r="117" spans="1:8" s="60" customFormat="1" x14ac:dyDescent="0.3">
      <c r="A117" s="203"/>
      <c r="B117" s="60" t="s">
        <v>1941</v>
      </c>
      <c r="C117" s="61">
        <f>7.1*E2013_ref*C113*0.001</f>
        <v>0.13625663392000001</v>
      </c>
      <c r="D117" s="159" t="s">
        <v>1631</v>
      </c>
      <c r="E117" s="61" t="str">
        <f>Sources!A111</f>
        <v>EaEnergyAnalyses2013</v>
      </c>
      <c r="F117" s="118"/>
      <c r="G117" s="118"/>
      <c r="H117" s="118"/>
    </row>
    <row r="118" spans="1:8" s="60" customFormat="1" x14ac:dyDescent="0.3">
      <c r="A118" s="203"/>
      <c r="B118" s="60" t="s">
        <v>1942</v>
      </c>
      <c r="C118" s="61">
        <f>7.1*E2013_ref*C113*0.001</f>
        <v>0.13625663392000001</v>
      </c>
      <c r="D118" s="159" t="s">
        <v>1631</v>
      </c>
      <c r="E118" s="61" t="str">
        <f>Sources!A111</f>
        <v>EaEnergyAnalyses2013</v>
      </c>
      <c r="F118" s="118"/>
      <c r="G118" s="118"/>
      <c r="H118" s="118"/>
    </row>
    <row r="119" spans="1:8" s="60" customFormat="1" x14ac:dyDescent="0.3">
      <c r="A119" s="203"/>
      <c r="B119" s="60" t="s">
        <v>1943</v>
      </c>
      <c r="C119" s="61">
        <f>5.9*E2013_ref*C113*0.001</f>
        <v>0.11322734368000002</v>
      </c>
      <c r="D119" s="159" t="s">
        <v>1631</v>
      </c>
      <c r="E119" s="61" t="str">
        <f>Sources!A111</f>
        <v>EaEnergyAnalyses2013</v>
      </c>
      <c r="F119" s="118"/>
      <c r="G119" s="118"/>
      <c r="H119" s="118"/>
    </row>
    <row r="120" spans="1:8" s="60" customFormat="1" x14ac:dyDescent="0.3">
      <c r="A120" s="203"/>
      <c r="B120" s="60" t="s">
        <v>1944</v>
      </c>
      <c r="C120" s="61">
        <f>8*E2013_ref*C113*0.001</f>
        <v>0.15352860160000004</v>
      </c>
      <c r="D120" s="159" t="s">
        <v>1631</v>
      </c>
      <c r="E120" s="61" t="str">
        <f>Sources!A111</f>
        <v>EaEnergyAnalyses2013</v>
      </c>
      <c r="F120" s="118"/>
      <c r="G120" s="118"/>
      <c r="H120" s="118"/>
    </row>
    <row r="121" spans="1:8" s="60" customFormat="1" x14ac:dyDescent="0.3">
      <c r="A121" s="203"/>
      <c r="B121" s="60" t="s">
        <v>1945</v>
      </c>
      <c r="C121" s="61">
        <f>7.6*E2013_ref*C113*0.001</f>
        <v>0.14585217152000002</v>
      </c>
      <c r="D121" s="159" t="s">
        <v>1631</v>
      </c>
      <c r="E121" s="61" t="str">
        <f>Sources!A111</f>
        <v>EaEnergyAnalyses2013</v>
      </c>
      <c r="F121" s="118"/>
      <c r="G121" s="118"/>
      <c r="H121" s="118"/>
    </row>
    <row r="122" spans="1:8" s="60" customFormat="1" x14ac:dyDescent="0.3">
      <c r="A122" s="203"/>
      <c r="B122" s="60" t="s">
        <v>1946</v>
      </c>
      <c r="C122" s="61">
        <f>5.9*E2013_ref*C113*0.001</f>
        <v>0.11322734368000002</v>
      </c>
      <c r="D122" s="159" t="s">
        <v>1631</v>
      </c>
      <c r="E122" s="61" t="str">
        <f>Sources!A111</f>
        <v>EaEnergyAnalyses2013</v>
      </c>
      <c r="F122" s="118"/>
      <c r="G122" s="118"/>
      <c r="H122" s="118"/>
    </row>
    <row r="123" spans="1:8" s="60" customFormat="1" x14ac:dyDescent="0.3">
      <c r="A123" s="203"/>
      <c r="B123" s="60" t="s">
        <v>1947</v>
      </c>
      <c r="C123" s="61">
        <f>9.1*E2013_ref*C113*0.001</f>
        <v>0.17463878432000002</v>
      </c>
      <c r="D123" s="159" t="s">
        <v>1631</v>
      </c>
      <c r="E123" s="61" t="str">
        <f>Sources!A111</f>
        <v>EaEnergyAnalyses2013</v>
      </c>
      <c r="F123" s="118"/>
      <c r="G123" s="118"/>
      <c r="H123" s="118"/>
    </row>
    <row r="124" spans="1:8" s="60" customFormat="1" x14ac:dyDescent="0.3">
      <c r="A124" s="203"/>
      <c r="B124" s="60" t="s">
        <v>1948</v>
      </c>
      <c r="C124" s="61">
        <f>8.2*E2013_ref*C113*0.001</f>
        <v>0.15736681664000002</v>
      </c>
      <c r="D124" s="159" t="s">
        <v>1631</v>
      </c>
      <c r="E124" s="61" t="str">
        <f>Sources!A111</f>
        <v>EaEnergyAnalyses2013</v>
      </c>
      <c r="F124" s="118"/>
      <c r="G124" s="118"/>
      <c r="H124" s="118"/>
    </row>
    <row r="125" spans="1:8" x14ac:dyDescent="0.3">
      <c r="A125" s="203"/>
      <c r="B125" s="60" t="s">
        <v>1949</v>
      </c>
      <c r="C125" s="5">
        <f>5.9*E2013_ref*C113*0.001</f>
        <v>0.11322734368000002</v>
      </c>
      <c r="D125" s="159" t="s">
        <v>1631</v>
      </c>
      <c r="E125" s="5" t="str">
        <f>Sources!A111</f>
        <v>EaEnergyAnalyses2013</v>
      </c>
      <c r="F125" s="16"/>
      <c r="G125" s="16"/>
      <c r="H125" s="16"/>
    </row>
    <row r="126" spans="1:8" x14ac:dyDescent="0.3">
      <c r="A126" s="203"/>
      <c r="B126" s="60" t="s">
        <v>1950</v>
      </c>
      <c r="C126" s="5">
        <f>10.2*E2013_ref*C113*0.001</f>
        <v>0.19574896704000003</v>
      </c>
      <c r="D126" s="159" t="s">
        <v>1631</v>
      </c>
      <c r="E126" s="5" t="str">
        <f>Sources!A111</f>
        <v>EaEnergyAnalyses2013</v>
      </c>
      <c r="F126" s="16"/>
      <c r="G126" s="16"/>
      <c r="H126" s="16"/>
    </row>
    <row r="127" spans="1:8" x14ac:dyDescent="0.3">
      <c r="D127" s="16"/>
      <c r="F127" s="16"/>
      <c r="G127" s="16"/>
      <c r="H127" s="16"/>
    </row>
    <row r="128" spans="1:8" x14ac:dyDescent="0.3">
      <c r="D128" s="16"/>
      <c r="F128" s="16"/>
      <c r="G128" s="16"/>
      <c r="H128" s="16"/>
    </row>
    <row r="129" spans="4:8" x14ac:dyDescent="0.3">
      <c r="D129" s="16"/>
      <c r="F129" s="16"/>
      <c r="G129" s="16"/>
      <c r="H129" s="16"/>
    </row>
    <row r="130" spans="4:8" x14ac:dyDescent="0.3">
      <c r="F130" s="16"/>
      <c r="G130" s="16"/>
      <c r="H130" s="16"/>
    </row>
    <row r="131" spans="4:8" x14ac:dyDescent="0.3">
      <c r="F131" s="16"/>
      <c r="G131" s="16"/>
      <c r="H131" s="16"/>
    </row>
    <row r="132" spans="4:8" x14ac:dyDescent="0.3">
      <c r="F132" s="16"/>
      <c r="G132" s="16"/>
      <c r="H132" s="16"/>
    </row>
    <row r="133" spans="4:8" x14ac:dyDescent="0.3">
      <c r="F133" s="16"/>
      <c r="G133" s="16"/>
      <c r="H133" s="16"/>
    </row>
    <row r="134" spans="4:8" x14ac:dyDescent="0.3">
      <c r="F134" s="16"/>
      <c r="G134" s="16"/>
      <c r="H134" s="16"/>
    </row>
    <row r="135" spans="4:8" x14ac:dyDescent="0.3">
      <c r="F135" s="16"/>
      <c r="G135" s="16"/>
      <c r="H135" s="16"/>
    </row>
    <row r="136" spans="4:8" x14ac:dyDescent="0.3">
      <c r="F136" s="16"/>
      <c r="G136" s="16"/>
      <c r="H136" s="16"/>
    </row>
    <row r="137" spans="4:8" x14ac:dyDescent="0.3">
      <c r="F137" s="16"/>
      <c r="G137" s="16"/>
      <c r="H137" s="16"/>
    </row>
    <row r="138" spans="4:8" x14ac:dyDescent="0.3">
      <c r="F138" s="16"/>
      <c r="G138" s="16"/>
      <c r="H138" s="16"/>
    </row>
    <row r="139" spans="4:8" x14ac:dyDescent="0.3">
      <c r="F139" s="16"/>
      <c r="G139" s="16"/>
      <c r="H139" s="16"/>
    </row>
    <row r="140" spans="4:8" x14ac:dyDescent="0.3">
      <c r="F140" s="16"/>
      <c r="G140" s="16"/>
      <c r="H140" s="16"/>
    </row>
    <row r="141" spans="4:8" x14ac:dyDescent="0.3">
      <c r="F141" s="16"/>
      <c r="G141" s="16"/>
      <c r="H141" s="16"/>
    </row>
    <row r="142" spans="4:8" x14ac:dyDescent="0.3">
      <c r="F142" s="16"/>
      <c r="G142" s="16"/>
      <c r="H142" s="16"/>
    </row>
    <row r="143" spans="4:8" x14ac:dyDescent="0.3">
      <c r="F143" s="16"/>
      <c r="G143" s="16"/>
      <c r="H143" s="16"/>
    </row>
    <row r="144" spans="4:8" x14ac:dyDescent="0.3">
      <c r="F144" s="16"/>
      <c r="G144" s="16"/>
      <c r="H144" s="16"/>
    </row>
    <row r="145" spans="6:8" x14ac:dyDescent="0.3">
      <c r="F145" s="16"/>
      <c r="G145" s="16"/>
      <c r="H145" s="16"/>
    </row>
    <row r="146" spans="6:8" x14ac:dyDescent="0.3">
      <c r="F146" s="16"/>
      <c r="G146" s="16"/>
      <c r="H146" s="16"/>
    </row>
    <row r="147" spans="6:8" x14ac:dyDescent="0.3">
      <c r="F147" s="16"/>
      <c r="G147" s="16"/>
      <c r="H147" s="16"/>
    </row>
    <row r="148" spans="6:8" x14ac:dyDescent="0.3">
      <c r="F148" s="16"/>
      <c r="G148" s="16"/>
      <c r="H148" s="16"/>
    </row>
    <row r="149" spans="6:8" x14ac:dyDescent="0.3">
      <c r="F149" s="16"/>
      <c r="G149" s="16"/>
      <c r="H149" s="16"/>
    </row>
    <row r="150" spans="6:8" x14ac:dyDescent="0.3">
      <c r="F150" s="16"/>
      <c r="G150" s="16"/>
      <c r="H150" s="16"/>
    </row>
    <row r="151" spans="6:8" x14ac:dyDescent="0.3">
      <c r="F151" s="16"/>
      <c r="G151" s="16"/>
      <c r="H151" s="16"/>
    </row>
    <row r="152" spans="6:8" x14ac:dyDescent="0.3">
      <c r="F152" s="16"/>
      <c r="G152" s="16"/>
      <c r="H152" s="16"/>
    </row>
    <row r="153" spans="6:8" x14ac:dyDescent="0.3">
      <c r="F153" s="16"/>
      <c r="G153" s="16"/>
      <c r="H153" s="16"/>
    </row>
    <row r="154" spans="6:8" x14ac:dyDescent="0.3">
      <c r="F154" s="16"/>
      <c r="G154" s="16"/>
      <c r="H154" s="16"/>
    </row>
    <row r="155" spans="6:8" x14ac:dyDescent="0.3">
      <c r="F155" s="16"/>
      <c r="G155" s="16"/>
      <c r="H155" s="16"/>
    </row>
    <row r="156" spans="6:8" x14ac:dyDescent="0.3">
      <c r="F156" s="16"/>
      <c r="G156" s="16"/>
      <c r="H156" s="16"/>
    </row>
    <row r="157" spans="6:8" x14ac:dyDescent="0.3">
      <c r="F157" s="16"/>
      <c r="G157" s="16"/>
      <c r="H157" s="16"/>
    </row>
    <row r="158" spans="6:8" x14ac:dyDescent="0.3">
      <c r="F158" s="16"/>
      <c r="G158" s="16"/>
      <c r="H158" s="16"/>
    </row>
    <row r="159" spans="6:8" x14ac:dyDescent="0.3">
      <c r="F159" s="16"/>
      <c r="G159" s="16"/>
      <c r="H159" s="16"/>
    </row>
    <row r="160" spans="6:8" x14ac:dyDescent="0.3">
      <c r="F160" s="16"/>
      <c r="G160" s="16"/>
      <c r="H160" s="16"/>
    </row>
    <row r="161" spans="6:8" x14ac:dyDescent="0.3">
      <c r="F161" s="16"/>
      <c r="G161" s="16"/>
      <c r="H161" s="16"/>
    </row>
    <row r="162" spans="6:8" x14ac:dyDescent="0.3">
      <c r="F162" s="16"/>
      <c r="G162" s="16"/>
      <c r="H162" s="16"/>
    </row>
    <row r="163" spans="6:8" x14ac:dyDescent="0.3">
      <c r="F163" s="16"/>
      <c r="G163" s="16"/>
      <c r="H163" s="16"/>
    </row>
    <row r="164" spans="6:8" x14ac:dyDescent="0.3">
      <c r="F164" s="16"/>
      <c r="G164" s="16"/>
      <c r="H164" s="16"/>
    </row>
    <row r="165" spans="6:8" x14ac:dyDescent="0.3">
      <c r="F165" s="16"/>
      <c r="G165" s="16"/>
      <c r="H165" s="16"/>
    </row>
    <row r="166" spans="6:8" x14ac:dyDescent="0.3">
      <c r="F166" s="16"/>
      <c r="G166" s="16"/>
      <c r="H166" s="16"/>
    </row>
    <row r="167" spans="6:8" x14ac:dyDescent="0.3">
      <c r="F167" s="16"/>
      <c r="G167" s="16"/>
      <c r="H167" s="16"/>
    </row>
    <row r="168" spans="6:8" x14ac:dyDescent="0.3">
      <c r="F168" s="16"/>
      <c r="G168" s="16"/>
      <c r="H168" s="16"/>
    </row>
    <row r="169" spans="6:8" x14ac:dyDescent="0.3">
      <c r="F169" s="16"/>
      <c r="G169" s="16"/>
      <c r="H169" s="16"/>
    </row>
    <row r="170" spans="6:8" x14ac:dyDescent="0.3">
      <c r="F170" s="16"/>
      <c r="G170" s="16"/>
      <c r="H170" s="16"/>
    </row>
    <row r="171" spans="6:8" x14ac:dyDescent="0.3">
      <c r="F171" s="16"/>
      <c r="G171" s="16"/>
      <c r="H171" s="16"/>
    </row>
    <row r="172" spans="6:8" x14ac:dyDescent="0.3">
      <c r="F172" s="16"/>
      <c r="G172" s="16"/>
      <c r="H172" s="16"/>
    </row>
    <row r="173" spans="6:8" x14ac:dyDescent="0.3">
      <c r="F173" s="16"/>
      <c r="G173" s="16"/>
      <c r="H173" s="16"/>
    </row>
    <row r="174" spans="6:8" x14ac:dyDescent="0.3">
      <c r="F174" s="16"/>
      <c r="G174" s="16"/>
      <c r="H174" s="16"/>
    </row>
    <row r="175" spans="6:8" x14ac:dyDescent="0.3">
      <c r="F175" s="16"/>
      <c r="G175" s="16"/>
      <c r="H175" s="16"/>
    </row>
    <row r="176" spans="6:8" x14ac:dyDescent="0.3">
      <c r="F176" s="16"/>
      <c r="G176" s="16"/>
      <c r="H176" s="16"/>
    </row>
    <row r="177" spans="6:8" x14ac:dyDescent="0.3">
      <c r="F177" s="16"/>
      <c r="G177" s="16"/>
      <c r="H177" s="16"/>
    </row>
    <row r="178" spans="6:8" x14ac:dyDescent="0.3">
      <c r="F178" s="16"/>
      <c r="G178" s="16"/>
      <c r="H178" s="16"/>
    </row>
    <row r="179" spans="6:8" x14ac:dyDescent="0.3">
      <c r="F179" s="16"/>
      <c r="G179" s="16"/>
      <c r="H179" s="16"/>
    </row>
    <row r="180" spans="6:8" x14ac:dyDescent="0.3">
      <c r="F180" s="16"/>
      <c r="G180" s="16"/>
      <c r="H180" s="16"/>
    </row>
    <row r="181" spans="6:8" x14ac:dyDescent="0.3">
      <c r="F181" s="16"/>
      <c r="G181" s="16"/>
      <c r="H181" s="16"/>
    </row>
    <row r="182" spans="6:8" x14ac:dyDescent="0.3">
      <c r="F182" s="16"/>
      <c r="G182" s="16"/>
      <c r="H182" s="16"/>
    </row>
    <row r="183" spans="6:8" x14ac:dyDescent="0.3">
      <c r="F183" s="16"/>
      <c r="G183" s="16"/>
      <c r="H183" s="16"/>
    </row>
    <row r="184" spans="6:8" x14ac:dyDescent="0.3">
      <c r="F184" s="16"/>
      <c r="G184" s="16"/>
      <c r="H184" s="16"/>
    </row>
    <row r="185" spans="6:8" x14ac:dyDescent="0.3">
      <c r="F185" s="16"/>
      <c r="G185" s="16"/>
      <c r="H185" s="16"/>
    </row>
    <row r="186" spans="6:8" x14ac:dyDescent="0.3">
      <c r="F186" s="16"/>
      <c r="G186" s="16"/>
      <c r="H186" s="16"/>
    </row>
    <row r="187" spans="6:8" x14ac:dyDescent="0.3">
      <c r="F187" s="16"/>
      <c r="G187" s="16"/>
      <c r="H187" s="16"/>
    </row>
    <row r="188" spans="6:8" x14ac:dyDescent="0.3">
      <c r="F188" s="16"/>
      <c r="G188" s="16"/>
      <c r="H188" s="16"/>
    </row>
    <row r="189" spans="6:8" x14ac:dyDescent="0.3">
      <c r="F189" s="16"/>
      <c r="G189" s="16"/>
      <c r="H189" s="16"/>
    </row>
    <row r="190" spans="6:8" x14ac:dyDescent="0.3">
      <c r="F190" s="16"/>
      <c r="G190" s="16"/>
      <c r="H190" s="16"/>
    </row>
    <row r="191" spans="6:8" x14ac:dyDescent="0.3">
      <c r="F191" s="16"/>
      <c r="G191" s="16"/>
      <c r="H191" s="16"/>
    </row>
    <row r="192" spans="6:8" x14ac:dyDescent="0.3">
      <c r="F192" s="16"/>
      <c r="G192" s="16"/>
      <c r="H192" s="16"/>
    </row>
    <row r="193" spans="6:8" x14ac:dyDescent="0.3">
      <c r="F193" s="16"/>
      <c r="G193" s="16"/>
      <c r="H193" s="16"/>
    </row>
    <row r="194" spans="6:8" x14ac:dyDescent="0.3">
      <c r="F194" s="16"/>
      <c r="G194" s="16"/>
      <c r="H194" s="16"/>
    </row>
    <row r="195" spans="6:8" x14ac:dyDescent="0.3">
      <c r="F195" s="16"/>
      <c r="G195" s="16"/>
      <c r="H195" s="16"/>
    </row>
    <row r="196" spans="6:8" x14ac:dyDescent="0.3">
      <c r="F196" s="16"/>
      <c r="G196" s="16"/>
      <c r="H196" s="16"/>
    </row>
    <row r="197" spans="6:8" x14ac:dyDescent="0.3">
      <c r="F197" s="16"/>
      <c r="G197" s="16"/>
      <c r="H197" s="16"/>
    </row>
    <row r="198" spans="6:8" x14ac:dyDescent="0.3">
      <c r="F198" s="16"/>
      <c r="G198" s="16"/>
      <c r="H198" s="16"/>
    </row>
    <row r="199" spans="6:8" x14ac:dyDescent="0.3">
      <c r="F199" s="16"/>
      <c r="G199" s="16"/>
      <c r="H199" s="16"/>
    </row>
    <row r="200" spans="6:8" x14ac:dyDescent="0.3">
      <c r="F200" s="16"/>
      <c r="G200" s="16"/>
      <c r="H200" s="16"/>
    </row>
    <row r="201" spans="6:8" x14ac:dyDescent="0.3">
      <c r="F201" s="16"/>
      <c r="G201" s="16"/>
      <c r="H201" s="16"/>
    </row>
    <row r="202" spans="6:8" x14ac:dyDescent="0.3">
      <c r="F202" s="16"/>
      <c r="G202" s="16"/>
      <c r="H202" s="16"/>
    </row>
    <row r="203" spans="6:8" x14ac:dyDescent="0.3">
      <c r="F203" s="16"/>
      <c r="G203" s="16"/>
      <c r="H203" s="16"/>
    </row>
    <row r="204" spans="6:8" x14ac:dyDescent="0.3">
      <c r="F204" s="16"/>
      <c r="G204" s="16"/>
      <c r="H204" s="16"/>
    </row>
  </sheetData>
  <mergeCells count="11">
    <mergeCell ref="A87:A88"/>
    <mergeCell ref="A90:A91"/>
    <mergeCell ref="A115:A126"/>
    <mergeCell ref="A1:B1"/>
    <mergeCell ref="A67:A68"/>
    <mergeCell ref="A70:A72"/>
    <mergeCell ref="A79:A81"/>
    <mergeCell ref="A83:A85"/>
    <mergeCell ref="A74:A77"/>
    <mergeCell ref="A104:A107"/>
    <mergeCell ref="A99:A102"/>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28</vt:i4>
      </vt:variant>
    </vt:vector>
  </HeadingPairs>
  <TitlesOfParts>
    <vt:vector size="48" baseType="lpstr">
      <vt:lpstr>Sources</vt:lpstr>
      <vt:lpstr>Fuel production cost</vt:lpstr>
      <vt:lpstr>Fuel cost graphs</vt:lpstr>
      <vt:lpstr>Calculations</vt:lpstr>
      <vt:lpstr>Calculations 2</vt:lpstr>
      <vt:lpstr>Annuities</vt:lpstr>
      <vt:lpstr>All_data</vt:lpstr>
      <vt:lpstr>Desalination</vt:lpstr>
      <vt:lpstr>Bio-eMeOH plant</vt:lpstr>
      <vt:lpstr>MeOH plant + CO2</vt:lpstr>
      <vt:lpstr>NH3 plant + ASU</vt:lpstr>
      <vt:lpstr> Storage + Transport</vt:lpstr>
      <vt:lpstr>Electrolyser + O2+Heat + Grid</vt:lpstr>
      <vt:lpstr>Solar PV</vt:lpstr>
      <vt:lpstr>Solar PV tracking</vt:lpstr>
      <vt:lpstr>CSP plant + TES</vt:lpstr>
      <vt:lpstr>Wind_turbines</vt:lpstr>
      <vt:lpstr>Wind_on</vt:lpstr>
      <vt:lpstr>Wind_off</vt:lpstr>
      <vt:lpstr>Sheet1</vt:lpstr>
      <vt:lpstr>Sources!baut0005</vt:lpstr>
      <vt:lpstr>CEPCI_ref</vt:lpstr>
      <vt:lpstr>CEPCI2008</vt:lpstr>
      <vt:lpstr>CEPCI2009</vt:lpstr>
      <vt:lpstr>CEPCI2010</vt:lpstr>
      <vt:lpstr>CEPCI2011</vt:lpstr>
      <vt:lpstr>CEPCI2012</vt:lpstr>
      <vt:lpstr>CEPCI2013</vt:lpstr>
      <vt:lpstr>CEPCI2014</vt:lpstr>
      <vt:lpstr>CEPCI2015</vt:lpstr>
      <vt:lpstr>CEPCI2016</vt:lpstr>
      <vt:lpstr>CEPCI2017</vt:lpstr>
      <vt:lpstr>CEPCI2018</vt:lpstr>
      <vt:lpstr>CEPCI2019</vt:lpstr>
      <vt:lpstr>DE2014_</vt:lpstr>
      <vt:lpstr>DE2015_</vt:lpstr>
      <vt:lpstr>DE2016_</vt:lpstr>
      <vt:lpstr>DE2017_</vt:lpstr>
      <vt:lpstr>DE2018_</vt:lpstr>
      <vt:lpstr>DE2019_</vt:lpstr>
      <vt:lpstr>DE2020_</vt:lpstr>
      <vt:lpstr>E2013_ref</vt:lpstr>
      <vt:lpstr>E2014_ref</vt:lpstr>
      <vt:lpstr>E2015_ref</vt:lpstr>
      <vt:lpstr>E2016_ref</vt:lpstr>
      <vt:lpstr>E2017_ref</vt:lpstr>
      <vt:lpstr>E2018_ref</vt:lpstr>
      <vt:lpstr>E2019_ref</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Jean Bernard Campion</dc:creator>
  <cp:lastModifiedBy>Frederik Skou Fertin</cp:lastModifiedBy>
  <dcterms:created xsi:type="dcterms:W3CDTF">2020-02-13T11:00:32Z</dcterms:created>
  <dcterms:modified xsi:type="dcterms:W3CDTF">2023-10-06T11:07:27Z</dcterms:modified>
</cp:coreProperties>
</file>