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31F4977F-8720-4DA3-8768-CA773290E36F}" xr6:coauthVersionLast="47" xr6:coauthVersionMax="47" xr10:uidLastSave="{00000000-0000-0000-0000-000000000000}"/>
  <bookViews>
    <workbookView xWindow="9525" yWindow="-18000" windowWidth="9810" windowHeight="18105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95" l="1"/>
  <c r="A66" i="95"/>
  <c r="G65" i="95"/>
  <c r="A65" i="95"/>
  <c r="G64" i="95"/>
  <c r="A64" i="95"/>
  <c r="G63" i="95"/>
  <c r="A63" i="95"/>
  <c r="G62" i="95"/>
  <c r="A62" i="95"/>
  <c r="G61" i="95"/>
  <c r="A61" i="95"/>
  <c r="G60" i="95"/>
  <c r="A60" i="95"/>
  <c r="G59" i="95"/>
  <c r="A59" i="95"/>
  <c r="G58" i="95"/>
  <c r="A58" i="95"/>
  <c r="F143" i="80" l="1"/>
  <c r="F144" i="80"/>
  <c r="F145" i="80"/>
  <c r="F146" i="80"/>
  <c r="F147" i="80"/>
  <c r="F148" i="80"/>
  <c r="F149" i="80"/>
  <c r="F150" i="80"/>
  <c r="F151" i="80"/>
  <c r="F152" i="80"/>
  <c r="F153" i="80"/>
  <c r="F154" i="80"/>
  <c r="F155" i="80"/>
  <c r="F156" i="80"/>
  <c r="F157" i="80"/>
  <c r="F158" i="80"/>
  <c r="F159" i="80"/>
  <c r="F160" i="80"/>
  <c r="F161" i="80"/>
  <c r="F162" i="80"/>
  <c r="F163" i="80"/>
  <c r="F164" i="80"/>
  <c r="F165" i="80"/>
  <c r="F166" i="80"/>
  <c r="F167" i="80"/>
  <c r="F168" i="80"/>
  <c r="F169" i="80"/>
  <c r="F170" i="80"/>
  <c r="F171" i="80"/>
  <c r="F172" i="80"/>
  <c r="F173" i="80"/>
  <c r="F174" i="80"/>
  <c r="F175" i="80"/>
  <c r="F176" i="80"/>
  <c r="F177" i="80"/>
  <c r="F178" i="80"/>
  <c r="F179" i="80"/>
  <c r="F180" i="80"/>
  <c r="F181" i="80"/>
  <c r="F182" i="80"/>
  <c r="F183" i="80"/>
  <c r="F184" i="80"/>
  <c r="F185" i="80"/>
  <c r="F186" i="80"/>
  <c r="F187" i="80"/>
  <c r="F188" i="80"/>
  <c r="F189" i="80"/>
  <c r="F190" i="80"/>
  <c r="F191" i="80"/>
  <c r="F192" i="80"/>
  <c r="F193" i="80"/>
  <c r="F194" i="80"/>
  <c r="F195" i="80"/>
  <c r="F196" i="80"/>
  <c r="F197" i="80"/>
  <c r="F198" i="80"/>
  <c r="F199" i="80"/>
  <c r="F200" i="80"/>
  <c r="F201" i="80"/>
  <c r="F142" i="80"/>
  <c r="H201" i="80"/>
  <c r="H200" i="80"/>
  <c r="H199" i="80"/>
  <c r="H198" i="80"/>
  <c r="H197" i="80"/>
  <c r="H196" i="80"/>
  <c r="H195" i="80"/>
  <c r="H194" i="80"/>
  <c r="H193" i="80"/>
  <c r="H192" i="80"/>
  <c r="H191" i="80"/>
  <c r="H190" i="80"/>
  <c r="H189" i="80"/>
  <c r="H188" i="80"/>
  <c r="H187" i="80"/>
  <c r="H186" i="80"/>
  <c r="H185" i="80"/>
  <c r="H184" i="80"/>
  <c r="H183" i="80"/>
  <c r="H182" i="80"/>
  <c r="H181" i="80"/>
  <c r="H180" i="80"/>
  <c r="H179" i="80"/>
  <c r="H178" i="80"/>
  <c r="H177" i="80"/>
  <c r="H176" i="80"/>
  <c r="H175" i="80"/>
  <c r="H174" i="80"/>
  <c r="H173" i="80"/>
  <c r="H172" i="80"/>
  <c r="H171" i="80"/>
  <c r="H170" i="80"/>
  <c r="H169" i="80"/>
  <c r="H168" i="80"/>
  <c r="H167" i="80"/>
  <c r="H166" i="80"/>
  <c r="H165" i="80"/>
  <c r="H164" i="80"/>
  <c r="H163" i="80"/>
  <c r="H162" i="80"/>
  <c r="H161" i="80"/>
  <c r="H160" i="80"/>
  <c r="H159" i="80"/>
  <c r="H158" i="80"/>
  <c r="H157" i="80"/>
  <c r="H156" i="80"/>
  <c r="H155" i="80"/>
  <c r="H154" i="80"/>
  <c r="H153" i="80"/>
  <c r="H152" i="80"/>
  <c r="H151" i="80"/>
  <c r="H150" i="80"/>
  <c r="H149" i="80"/>
  <c r="H148" i="80"/>
  <c r="H147" i="80"/>
  <c r="H146" i="80"/>
  <c r="H145" i="80"/>
  <c r="H144" i="80"/>
  <c r="H143" i="80"/>
  <c r="H142" i="80"/>
  <c r="H141" i="80"/>
  <c r="H140" i="80"/>
  <c r="H139" i="80"/>
  <c r="H138" i="80"/>
  <c r="H137" i="80"/>
  <c r="H136" i="80"/>
  <c r="H135" i="80"/>
  <c r="H134" i="80"/>
  <c r="H133" i="80"/>
  <c r="H132" i="80"/>
  <c r="H131" i="80"/>
  <c r="H130" i="80"/>
  <c r="H129" i="80"/>
  <c r="H128" i="80"/>
  <c r="H127" i="80"/>
  <c r="H126" i="80"/>
  <c r="H125" i="80"/>
  <c r="H124" i="80"/>
  <c r="H123" i="80"/>
  <c r="H122" i="80"/>
  <c r="H121" i="80"/>
  <c r="H120" i="80"/>
  <c r="H119" i="80"/>
  <c r="H118" i="80"/>
  <c r="H117" i="80"/>
  <c r="H116" i="80"/>
  <c r="H115" i="80"/>
  <c r="H114" i="80"/>
  <c r="H113" i="80"/>
  <c r="H112" i="80"/>
  <c r="H111" i="80"/>
  <c r="H110" i="80"/>
  <c r="H109" i="80"/>
  <c r="H108" i="80"/>
  <c r="H107" i="80"/>
  <c r="H106" i="80"/>
  <c r="H105" i="80"/>
  <c r="H104" i="80"/>
  <c r="H103" i="80"/>
  <c r="H102" i="80"/>
  <c r="H101" i="80"/>
  <c r="H100" i="80"/>
  <c r="H99" i="80"/>
  <c r="H98" i="80"/>
  <c r="H97" i="80"/>
  <c r="H96" i="80"/>
  <c r="H95" i="80"/>
  <c r="H94" i="80"/>
  <c r="H93" i="80"/>
  <c r="H92" i="80"/>
  <c r="H91" i="80"/>
  <c r="H90" i="80"/>
  <c r="H89" i="80"/>
  <c r="H88" i="80"/>
  <c r="H87" i="80"/>
  <c r="H86" i="80"/>
  <c r="H85" i="80"/>
  <c r="H84" i="80"/>
  <c r="H83" i="80"/>
  <c r="H82" i="80"/>
  <c r="R69" i="82"/>
  <c r="Q69" i="82"/>
  <c r="P69" i="82"/>
  <c r="R68" i="82"/>
  <c r="Q68" i="82"/>
  <c r="P68" i="82"/>
  <c r="R64" i="82"/>
  <c r="Q64" i="82"/>
  <c r="P64" i="82"/>
  <c r="R63" i="82"/>
  <c r="Q63" i="82"/>
  <c r="P63" i="82"/>
  <c r="R62" i="82"/>
  <c r="Q62" i="82"/>
  <c r="P62" i="82"/>
  <c r="R61" i="82"/>
  <c r="Q61" i="82"/>
  <c r="P61" i="82"/>
  <c r="R45" i="82"/>
  <c r="R43" i="82" s="1"/>
  <c r="Q45" i="82"/>
  <c r="Q43" i="82" s="1"/>
  <c r="P45" i="82"/>
  <c r="P44" i="82" s="1"/>
  <c r="R42" i="82"/>
  <c r="R40" i="82" s="1"/>
  <c r="Q42" i="82"/>
  <c r="P42" i="82"/>
  <c r="P41" i="82" s="1"/>
  <c r="Q41" i="82"/>
  <c r="Q40" i="82"/>
  <c r="R35" i="82"/>
  <c r="Q35" i="82"/>
  <c r="P35" i="82"/>
  <c r="R34" i="82"/>
  <c r="Q34" i="82"/>
  <c r="P34" i="82"/>
  <c r="R29" i="82"/>
  <c r="Q29" i="82"/>
  <c r="P29" i="82"/>
  <c r="R28" i="82"/>
  <c r="Q28" i="82"/>
  <c r="P28" i="82"/>
  <c r="R27" i="82"/>
  <c r="Q27" i="82"/>
  <c r="P27" i="82"/>
  <c r="R26" i="82"/>
  <c r="Q26" i="82"/>
  <c r="P26" i="82"/>
  <c r="R25" i="82"/>
  <c r="Q25" i="82"/>
  <c r="P25" i="82"/>
  <c r="R24" i="82"/>
  <c r="Q24" i="82"/>
  <c r="P24" i="82"/>
  <c r="R23" i="82"/>
  <c r="Q23" i="82"/>
  <c r="P23" i="82"/>
  <c r="R22" i="82"/>
  <c r="Q22" i="82"/>
  <c r="P22" i="82"/>
  <c r="R21" i="82"/>
  <c r="Q21" i="82"/>
  <c r="P21" i="82"/>
  <c r="R20" i="82"/>
  <c r="Q20" i="82"/>
  <c r="P20" i="82"/>
  <c r="R19" i="82"/>
  <c r="Q19" i="82"/>
  <c r="P19" i="82"/>
  <c r="R18" i="82"/>
  <c r="Q18" i="82"/>
  <c r="P18" i="82"/>
  <c r="R17" i="82"/>
  <c r="R33" i="82" s="1"/>
  <c r="Q17" i="82"/>
  <c r="Q33" i="82" s="1"/>
  <c r="P17" i="82"/>
  <c r="P33" i="82" s="1"/>
  <c r="R16" i="82"/>
  <c r="R32" i="82" s="1"/>
  <c r="Q16" i="82"/>
  <c r="Q32" i="82" s="1"/>
  <c r="P16" i="82"/>
  <c r="P32" i="82" s="1"/>
  <c r="R15" i="82"/>
  <c r="R31" i="82" s="1"/>
  <c r="Q15" i="82"/>
  <c r="Q31" i="82" s="1"/>
  <c r="P15" i="82"/>
  <c r="P31" i="82" s="1"/>
  <c r="R14" i="82"/>
  <c r="R30" i="82" s="1"/>
  <c r="Q14" i="82"/>
  <c r="Q30" i="82" s="1"/>
  <c r="P14" i="82"/>
  <c r="P30" i="82" s="1"/>
  <c r="R13" i="82"/>
  <c r="Q13" i="82"/>
  <c r="P13" i="82"/>
  <c r="R12" i="82"/>
  <c r="Q12" i="82"/>
  <c r="P12" i="82"/>
  <c r="R8" i="82"/>
  <c r="Q8" i="82"/>
  <c r="P8" i="82"/>
  <c r="R7" i="82"/>
  <c r="Q7" i="82"/>
  <c r="P7" i="82"/>
  <c r="R6" i="82"/>
  <c r="Q6" i="82"/>
  <c r="P6" i="82"/>
  <c r="R5" i="82"/>
  <c r="Q5" i="82"/>
  <c r="P5" i="82"/>
  <c r="G57" i="95"/>
  <c r="A57" i="95"/>
  <c r="G56" i="95"/>
  <c r="A56" i="95"/>
  <c r="G55" i="95"/>
  <c r="A55" i="95"/>
  <c r="P40" i="82" l="1"/>
  <c r="P43" i="82"/>
  <c r="R41" i="82"/>
  <c r="Q44" i="82"/>
  <c r="R44" i="82"/>
  <c r="G54" i="95" l="1"/>
  <c r="A54" i="95"/>
  <c r="G53" i="95"/>
  <c r="A53" i="95"/>
  <c r="G52" i="95"/>
  <c r="A52" i="95"/>
  <c r="G51" i="95"/>
  <c r="A51" i="95"/>
  <c r="G50" i="95"/>
  <c r="A50" i="95"/>
  <c r="G49" i="95"/>
  <c r="A49" i="95"/>
  <c r="G48" i="95"/>
  <c r="A48" i="95"/>
  <c r="G47" i="95"/>
  <c r="A47" i="95"/>
  <c r="G46" i="95"/>
  <c r="A46" i="95"/>
  <c r="G45" i="95"/>
  <c r="A45" i="95"/>
  <c r="G44" i="95"/>
  <c r="A44" i="95"/>
  <c r="G43" i="95"/>
  <c r="A43" i="95"/>
  <c r="H81" i="80" l="1"/>
  <c r="H80" i="80"/>
  <c r="H79" i="80"/>
  <c r="H78" i="80"/>
  <c r="H77" i="80"/>
  <c r="H76" i="80"/>
  <c r="H75" i="80"/>
  <c r="H74" i="80"/>
  <c r="H73" i="80"/>
  <c r="H72" i="80"/>
  <c r="H71" i="80"/>
  <c r="H70" i="80"/>
  <c r="H69" i="80"/>
  <c r="H68" i="80"/>
  <c r="H67" i="80"/>
  <c r="H66" i="80"/>
  <c r="H65" i="80"/>
  <c r="H64" i="80"/>
  <c r="H63" i="80"/>
  <c r="H62" i="80"/>
  <c r="H61" i="80"/>
  <c r="H60" i="80"/>
  <c r="H59" i="80"/>
  <c r="H58" i="80"/>
  <c r="H57" i="80"/>
  <c r="H56" i="80"/>
  <c r="H55" i="80"/>
  <c r="H54" i="80"/>
  <c r="H53" i="80"/>
  <c r="H52" i="80"/>
  <c r="H51" i="80"/>
  <c r="H50" i="80"/>
  <c r="H49" i="80"/>
  <c r="H48" i="80"/>
  <c r="H47" i="80"/>
  <c r="H46" i="80"/>
  <c r="H45" i="80"/>
  <c r="H44" i="80"/>
  <c r="H43" i="80"/>
  <c r="H42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23" i="80"/>
  <c r="H22" i="80" l="1"/>
  <c r="G42" i="95" l="1"/>
  <c r="A42" i="95"/>
  <c r="G41" i="95"/>
  <c r="A41" i="95"/>
  <c r="G40" i="95"/>
  <c r="A40" i="95"/>
  <c r="G39" i="95"/>
  <c r="A39" i="95"/>
  <c r="G38" i="95"/>
  <c r="A38" i="95"/>
  <c r="G37" i="95"/>
  <c r="A37" i="95"/>
  <c r="G36" i="95"/>
  <c r="A36" i="95"/>
  <c r="G35" i="95"/>
  <c r="A35" i="95"/>
  <c r="G34" i="95"/>
  <c r="A34" i="95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H21" i="80"/>
  <c r="F21" i="80" s="1"/>
  <c r="H20" i="80"/>
  <c r="F20" i="80" s="1"/>
  <c r="H19" i="80"/>
  <c r="F19" i="80" s="1"/>
  <c r="G33" i="95"/>
  <c r="A33" i="95"/>
  <c r="G32" i="95"/>
  <c r="A32" i="95"/>
  <c r="G31" i="95"/>
  <c r="A31" i="95"/>
  <c r="G30" i="95"/>
  <c r="A30" i="95"/>
  <c r="G29" i="95"/>
  <c r="A29" i="95"/>
  <c r="G28" i="95"/>
  <c r="A28" i="95"/>
  <c r="G21" i="95"/>
  <c r="A21" i="95"/>
  <c r="G20" i="95"/>
  <c r="A20" i="95"/>
  <c r="G19" i="95"/>
  <c r="A19" i="95"/>
  <c r="G78" i="95" l="1"/>
  <c r="A78" i="95"/>
  <c r="G77" i="95"/>
  <c r="A77" i="95"/>
  <c r="G76" i="95"/>
  <c r="A76" i="95"/>
  <c r="A2" i="82"/>
  <c r="G87" i="95"/>
  <c r="A87" i="95"/>
  <c r="G86" i="95"/>
  <c r="A86" i="95"/>
  <c r="G85" i="95"/>
  <c r="A85" i="95"/>
  <c r="G84" i="95"/>
  <c r="A84" i="95"/>
  <c r="G83" i="95"/>
  <c r="A83" i="95"/>
  <c r="G82" i="95"/>
  <c r="A82" i="95"/>
  <c r="G81" i="95"/>
  <c r="A81" i="95"/>
  <c r="G80" i="95"/>
  <c r="A80" i="95"/>
  <c r="G79" i="95"/>
  <c r="A79" i="95"/>
  <c r="G75" i="95"/>
  <c r="A75" i="95"/>
  <c r="G74" i="95"/>
  <c r="A74" i="95"/>
  <c r="G73" i="95"/>
  <c r="A73" i="95"/>
  <c r="G72" i="95"/>
  <c r="A72" i="95"/>
  <c r="G71" i="95"/>
  <c r="A71" i="95"/>
  <c r="G70" i="95"/>
  <c r="A70" i="95"/>
  <c r="G69" i="95"/>
  <c r="A69" i="95"/>
  <c r="G68" i="95"/>
  <c r="A68" i="95"/>
  <c r="G67" i="95"/>
  <c r="A67" i="95"/>
  <c r="A27" i="95"/>
  <c r="A26" i="95"/>
  <c r="A25" i="95"/>
  <c r="H18" i="80"/>
  <c r="F18" i="80" s="1"/>
  <c r="H17" i="80"/>
  <c r="F17" i="80" s="1"/>
  <c r="H16" i="80"/>
  <c r="F16" i="80" s="1"/>
  <c r="H15" i="80"/>
  <c r="F15" i="80" s="1"/>
  <c r="H14" i="80"/>
  <c r="F14" i="80" s="1"/>
  <c r="H13" i="80"/>
  <c r="F13" i="80" s="1"/>
  <c r="H6" i="80"/>
  <c r="H5" i="80"/>
  <c r="H4" i="80"/>
  <c r="H10" i="80"/>
  <c r="A10" i="95"/>
  <c r="A11" i="95"/>
  <c r="A12" i="95"/>
  <c r="A13" i="95"/>
  <c r="A14" i="95"/>
  <c r="A15" i="95"/>
  <c r="A16" i="95"/>
  <c r="A17" i="95"/>
  <c r="A18" i="95"/>
  <c r="A22" i="95"/>
  <c r="A23" i="95"/>
  <c r="A24" i="95"/>
  <c r="H9" i="80"/>
  <c r="H8" i="80"/>
  <c r="H7" i="80"/>
  <c r="G12" i="95"/>
  <c r="G11" i="95"/>
  <c r="G10" i="95"/>
  <c r="G18" i="95"/>
  <c r="G17" i="95"/>
  <c r="G16" i="95"/>
  <c r="G15" i="95"/>
  <c r="G14" i="95"/>
  <c r="G13" i="95"/>
  <c r="O64" i="82"/>
  <c r="O63" i="82"/>
  <c r="O62" i="82"/>
  <c r="O61" i="82"/>
  <c r="O35" i="82"/>
  <c r="O34" i="82"/>
  <c r="O29" i="82"/>
  <c r="O28" i="82"/>
  <c r="O27" i="82"/>
  <c r="O26" i="82"/>
  <c r="O25" i="82"/>
  <c r="O24" i="82"/>
  <c r="O20" i="82"/>
  <c r="O19" i="82"/>
  <c r="O18" i="82"/>
  <c r="O17" i="82"/>
  <c r="O33" i="82" s="1"/>
  <c r="O16" i="82"/>
  <c r="O32" i="82" s="1"/>
  <c r="O15" i="82"/>
  <c r="O31" i="82" s="1"/>
  <c r="O14" i="82"/>
  <c r="O30" i="82" s="1"/>
  <c r="O13" i="82"/>
  <c r="O12" i="82"/>
  <c r="O8" i="82"/>
  <c r="O7" i="82"/>
  <c r="O6" i="82"/>
  <c r="O5" i="82"/>
  <c r="B62" i="99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0" i="79"/>
  <c r="FM29" i="79"/>
  <c r="FM31" i="79" s="1"/>
  <c r="FM28" i="79"/>
  <c r="FM27" i="79"/>
  <c r="FO29" i="79"/>
  <c r="FO28" i="79"/>
  <c r="FO27" i="79"/>
  <c r="FO31" i="79" s="1"/>
  <c r="FQ30" i="79"/>
  <c r="FQ29" i="79"/>
  <c r="FQ31" i="79" s="1"/>
  <c r="FQ28" i="79"/>
  <c r="FQ27" i="79"/>
  <c r="FS29" i="79"/>
  <c r="FS28" i="79"/>
  <c r="FS27" i="79"/>
  <c r="FS30" i="79" s="1"/>
  <c r="DA30" i="79"/>
  <c r="DA29" i="79"/>
  <c r="DA28" i="79"/>
  <c r="DA27" i="79"/>
  <c r="DA31" i="79" s="1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CY30" i="79" l="1"/>
  <c r="FS31" i="79"/>
  <c r="FO30" i="79"/>
  <c r="CU30" i="79"/>
  <c r="CK31" i="79"/>
  <c r="CK30" i="79"/>
  <c r="CM31" i="79"/>
  <c r="CM30" i="79"/>
  <c r="A9" i="82" l="1"/>
  <c r="A10" i="82"/>
  <c r="A11" i="82"/>
  <c r="B13" i="82"/>
  <c r="B9" i="82"/>
  <c r="B10" i="82"/>
  <c r="B11" i="82"/>
  <c r="B12" i="82"/>
  <c r="EX15" i="79"/>
  <c r="EN15" i="79"/>
  <c r="EX14" i="79"/>
  <c r="EN14" i="79"/>
  <c r="EX13" i="79"/>
  <c r="EN13" i="79"/>
  <c r="I13" i="79"/>
  <c r="I14" i="79"/>
  <c r="I15" i="79"/>
  <c r="I12" i="79"/>
  <c r="E13" i="79"/>
  <c r="E14" i="79"/>
  <c r="E15" i="79"/>
  <c r="EX12" i="79"/>
  <c r="EN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H13" i="82" l="1"/>
  <c r="I13" i="82"/>
  <c r="J13" i="82"/>
  <c r="K13" i="82"/>
  <c r="L13" i="82"/>
  <c r="M13" i="82"/>
  <c r="N13" i="82"/>
  <c r="G13" i="82"/>
  <c r="A70" i="82"/>
  <c r="B70" i="82"/>
  <c r="A13" i="82"/>
  <c r="A14" i="82"/>
  <c r="B1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16" i="79" l="1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P27" i="79"/>
  <c r="FP30" i="79" s="1"/>
  <c r="FN27" i="79"/>
  <c r="FL27" i="79"/>
  <c r="FK27" i="79"/>
  <c r="FK31" i="79" s="1"/>
  <c r="FJ27" i="79"/>
  <c r="EX27" i="79"/>
  <c r="EN27" i="79"/>
  <c r="EN31" i="79" s="1"/>
  <c r="CZ27" i="79"/>
  <c r="CX27" i="79"/>
  <c r="CX31" i="79" s="1"/>
  <c r="CV27" i="79"/>
  <c r="CV31" i="79" s="1"/>
  <c r="CT27" i="79"/>
  <c r="CS27" i="79"/>
  <c r="CS30" i="79" s="1"/>
  <c r="CR27" i="79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O23" i="79" s="1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16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H12" i="80" l="1"/>
  <c r="H11" i="80"/>
  <c r="ET60" i="79"/>
  <c r="ET14" i="79"/>
  <c r="EJ13" i="79"/>
  <c r="EJ15" i="79"/>
  <c r="ET15" i="79"/>
  <c r="EJ14" i="79"/>
  <c r="ET12" i="79"/>
  <c r="ET13" i="79"/>
  <c r="EJ12" i="79"/>
  <c r="CZ31" i="79"/>
  <c r="FR31" i="79"/>
  <c r="FK30" i="79"/>
  <c r="FP31" i="79"/>
  <c r="BY26" i="79"/>
  <c r="CR30" i="79"/>
  <c r="FJ30" i="79"/>
  <c r="CT30" i="79"/>
  <c r="FL30" i="79"/>
  <c r="CT31" i="79"/>
  <c r="EV69" i="79"/>
  <c r="EL13" i="79"/>
  <c r="EL14" i="79"/>
  <c r="EV15" i="79"/>
  <c r="EL15" i="79"/>
  <c r="EV12" i="79"/>
  <c r="EV13" i="79"/>
  <c r="EL12" i="79"/>
  <c r="EV14" i="79"/>
  <c r="FN30" i="79"/>
  <c r="EX31" i="79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K42" i="82" l="1"/>
  <c r="D42" i="82"/>
  <c r="L42" i="82"/>
  <c r="J42" i="82"/>
  <c r="E42" i="82"/>
  <c r="M42" i="82"/>
  <c r="F42" i="82"/>
  <c r="N42" i="82"/>
  <c r="C42" i="82"/>
  <c r="C40" i="82" s="1"/>
  <c r="G42" i="82"/>
  <c r="O42" i="82"/>
  <c r="O41" i="82" s="1"/>
  <c r="H42" i="82"/>
  <c r="I42" i="82"/>
  <c r="O45" i="82"/>
  <c r="O43" i="82" s="1"/>
  <c r="C45" i="82"/>
  <c r="N45" i="82"/>
  <c r="I45" i="82"/>
  <c r="G45" i="82"/>
  <c r="M45" i="82"/>
  <c r="H45" i="82"/>
  <c r="L45" i="82"/>
  <c r="K45" i="82"/>
  <c r="F45" i="82"/>
  <c r="D45" i="82"/>
  <c r="J45" i="82"/>
  <c r="E45" i="82"/>
  <c r="EJ31" i="79"/>
  <c r="EJ30" i="79"/>
  <c r="EL31" i="79"/>
  <c r="EL30" i="79"/>
  <c r="EV30" i="79"/>
  <c r="EV31" i="79"/>
  <c r="ET30" i="79"/>
  <c r="ET31" i="79"/>
  <c r="O44" i="82" l="1"/>
  <c r="O40" i="82"/>
  <c r="C41" i="82"/>
  <c r="J43" i="82"/>
  <c r="J44" i="82"/>
  <c r="C44" i="82"/>
  <c r="C43" i="82"/>
  <c r="N41" i="82"/>
  <c r="N40" i="82"/>
  <c r="F41" i="82"/>
  <c r="F40" i="82"/>
  <c r="L43" i="82"/>
  <c r="L44" i="82"/>
  <c r="K41" i="82"/>
  <c r="K40" i="82"/>
  <c r="H44" i="82"/>
  <c r="H43" i="82"/>
  <c r="H41" i="82"/>
  <c r="H40" i="82"/>
  <c r="E43" i="82"/>
  <c r="E44" i="82"/>
  <c r="M44" i="82"/>
  <c r="M43" i="82"/>
  <c r="I40" i="82"/>
  <c r="I41" i="82"/>
  <c r="J40" i="82"/>
  <c r="J41" i="82"/>
  <c r="G40" i="82"/>
  <c r="G41" i="82"/>
  <c r="G43" i="82"/>
  <c r="G44" i="82"/>
  <c r="F43" i="82"/>
  <c r="F44" i="82"/>
  <c r="I43" i="82"/>
  <c r="I44" i="82"/>
  <c r="D41" i="82"/>
  <c r="D40" i="82"/>
  <c r="L41" i="82"/>
  <c r="L40" i="82"/>
  <c r="D44" i="82"/>
  <c r="D43" i="82"/>
  <c r="K43" i="82"/>
  <c r="K44" i="82"/>
  <c r="N44" i="82"/>
  <c r="N43" i="82"/>
  <c r="M41" i="82"/>
  <c r="M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M12" i="82" l="1"/>
  <c r="N12" i="82"/>
  <c r="M8" i="82"/>
  <c r="N8" i="82"/>
  <c r="M7" i="82"/>
  <c r="N7" i="82"/>
  <c r="M6" i="82"/>
  <c r="N6" i="82"/>
  <c r="M5" i="82"/>
  <c r="N5" i="82"/>
  <c r="G12" i="82" l="1"/>
  <c r="H12" i="82"/>
  <c r="I12" i="82"/>
  <c r="J12" i="82"/>
  <c r="K12" i="82"/>
  <c r="L12" i="82"/>
  <c r="D8" i="82"/>
  <c r="E8" i="82"/>
  <c r="G8" i="82"/>
  <c r="H8" i="82"/>
  <c r="I8" i="82"/>
  <c r="J8" i="82"/>
  <c r="K8" i="82"/>
  <c r="L8" i="82"/>
  <c r="C8" i="82"/>
  <c r="D7" i="82"/>
  <c r="E7" i="82"/>
  <c r="G7" i="82"/>
  <c r="H7" i="82"/>
  <c r="I7" i="82"/>
  <c r="J7" i="82"/>
  <c r="K7" i="82"/>
  <c r="L7" i="82"/>
  <c r="D6" i="82"/>
  <c r="E6" i="82"/>
  <c r="G6" i="82"/>
  <c r="H6" i="82"/>
  <c r="I6" i="82"/>
  <c r="J6" i="82"/>
  <c r="K6" i="82"/>
  <c r="L6" i="82"/>
  <c r="L5" i="82"/>
  <c r="I5" i="82"/>
  <c r="E5" i="82"/>
  <c r="A6" i="82"/>
  <c r="B7" i="82"/>
  <c r="B8" i="82"/>
  <c r="O23" i="82" l="1"/>
  <c r="O22" i="82"/>
  <c r="O21" i="82"/>
  <c r="D23" i="82"/>
  <c r="D22" i="82"/>
  <c r="D21" i="82"/>
  <c r="F22" i="82"/>
  <c r="E23" i="82"/>
  <c r="E21" i="82"/>
  <c r="C23" i="82"/>
  <c r="C22" i="82"/>
  <c r="C21" i="82"/>
  <c r="K22" i="82"/>
  <c r="F21" i="82"/>
  <c r="J22" i="82"/>
  <c r="N23" i="82"/>
  <c r="I23" i="82"/>
  <c r="N22" i="82"/>
  <c r="I22" i="82"/>
  <c r="N21" i="82"/>
  <c r="I21" i="82"/>
  <c r="G23" i="82"/>
  <c r="G22" i="82"/>
  <c r="L21" i="82"/>
  <c r="K23" i="82"/>
  <c r="K21" i="82"/>
  <c r="J23" i="82"/>
  <c r="J21" i="82"/>
  <c r="M23" i="82"/>
  <c r="H23" i="82"/>
  <c r="M22" i="82"/>
  <c r="H22" i="82"/>
  <c r="M21" i="82"/>
  <c r="H21" i="82"/>
  <c r="L23" i="82"/>
  <c r="L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B6" i="82" l="1"/>
  <c r="D5" i="82" l="1"/>
  <c r="G5" i="82"/>
  <c r="H5" i="82"/>
  <c r="J5" i="82"/>
  <c r="K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<sst xmlns="http://schemas.openxmlformats.org/spreadsheetml/2006/main" count="6583" uniqueCount="492">
  <si>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</si>
  <si>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</si>
  <si>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</si>
  <si>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</si>
  <si>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</si>
  <si>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</si>
  <si>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</si>
  <si>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</si>
  <si>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</si>
  <si>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</si>
  <si>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</si>
  <si>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</si>
  <si>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</si>
  <si>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</si>
  <si>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</si>
  <si>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</si>
  <si>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</si>
  <si>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</si>
  <si>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</si>
  <si>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</si>
  <si>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</si>
  <si>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</si>
  <si>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</si>
  <si>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</si>
  <si>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</si>
  <si>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</si>
  <si>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</si>
  <si>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</si>
  <si>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</si>
  <si>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</si>
  <si>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</si>
  <si>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</si>
  <si>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</si>
  <si>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</si>
  <si>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</si>
  <si>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</si>
  <si>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</si>
  <si>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</si>
  <si>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</si>
  <si>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</si>
  <si>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</si>
  <si>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</si>
  <si>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</si>
  <si>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</si>
  <si>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</si>
  <si>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</si>
  <si>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</si>
  <si>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</si>
  <si>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</si>
  <si>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</si>
  <si>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</si>
  <si>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</si>
  <si>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</si>
  <si>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</si>
  <si>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</si>
  <si>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</si>
  <si>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</si>
  <si>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</si>
  <si>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</si>
  <si>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</si>
  <si>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</si>
  <si>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</si>
  <si>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</si>
  <si>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</si>
  <si>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</si>
  <si>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</si>
  <si>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</si>
  <si>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</si>
  <si>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</si>
  <si>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</si>
  <si>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</si>
  <si>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</si>
  <si>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</si>
  <si>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</si>
  <si>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</si>
  <si>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</si>
  <si>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</si>
  <si>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</si>
  <si>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</si>
  <si>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</si>
  <si>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</si>
  <si>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</si>
  <si>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</si>
  <si>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</si>
  <si>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</si>
  <si>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</si>
  <si>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</si>
  <si>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</si>
  <si>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</si>
  <si>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</si>
  <si>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</si>
  <si>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</si>
  <si>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</si>
  <si>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</si>
  <si>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</si>
  <si>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</si>
  <si>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</si>
  <si>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</si>
  <si>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</si>
  <si>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</si>
  <si>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</si>
  <si>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</si>
  <si>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</si>
  <si>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</si>
  <si>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</si>
  <si>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</si>
  <si>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</si>
  <si>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</si>
  <si>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</si>
  <si>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</si>
  <si>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</si>
  <si>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</si>
  <si>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</si>
  <si>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</si>
  <si>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</si>
  <si>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</si>
  <si>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</si>
  <si>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</si>
  <si>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</si>
  <si>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</si>
  <si>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</si>
  <si>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</si>
  <si>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</si>
  <si>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</si>
  <si>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</si>
  <si>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</si>
  <si>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</si>
  <si>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</si>
  <si>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</si>
  <si>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</si>
  <si>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</si>
  <si>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</si>
  <si>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</si>
  <si>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</si>
  <si>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</si>
  <si>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</si>
  <si>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</si>
  <si>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</si>
  <si>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</si>
  <si>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</si>
  <si>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</si>
  <si>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</si>
  <si>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</si>
  <si>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</si>
  <si>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</si>
  <si>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</si>
  <si>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</si>
  <si>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</si>
  <si>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</si>
  <si>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</si>
  <si>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</si>
  <si>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</si>
  <si>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</si>
  <si>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</si>
  <si>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</si>
  <si>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</si>
  <si>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</si>
  <si>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</si>
  <si>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</si>
  <si>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</si>
  <si>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</si>
  <si>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</si>
  <si>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</si>
  <si>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</si>
  <si>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</si>
  <si>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</si>
  <si>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</si>
  <si>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</si>
  <si>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</si>
  <si>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</si>
  <si>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</si>
  <si>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</si>
  <si>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</si>
  <si>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</si>
  <si>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</si>
  <si>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</si>
  <si>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</si>
  <si>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</si>
  <si>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</si>
  <si>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</si>
  <si>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</si>
  <si>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</si>
  <si>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</si>
  <si>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</si>
  <si>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</si>
  <si>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</si>
  <si>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</si>
  <si>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</si>
  <si>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</si>
  <si>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</si>
  <si>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</si>
  <si>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</si>
  <si>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</si>
  <si>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</si>
  <si>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</si>
  <si>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</si>
  <si>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</si>
  <si>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</si>
  <si>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</si>
  <si>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</si>
  <si>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</si>
  <si>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</si>
  <si>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</si>
  <si>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</si>
  <si>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</si>
  <si>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</si>
  <si>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</si>
  <si>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</si>
  <si>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</si>
  <si>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</si>
  <si>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</si>
  <si>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</si>
  <si>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</si>
  <si>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</si>
  <si>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</si>
  <si>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</si>
  <si>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</si>
  <si>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</si>
  <si>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</si>
  <si>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</si>
  <si>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</si>
  <si>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</si>
  <si>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</si>
  <si>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</si>
  <si>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</si>
  <si>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</si>
  <si>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</si>
  <si>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</si>
  <si>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</si>
  <si>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</si>
  <si>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</si>
  <si>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</si>
  <si>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</si>
  <si>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</si>
  <si>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</si>
  <si>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</si>
  <si>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</si>
  <si>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</si>
  <si>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</si>
  <si>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</si>
  <si>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</si>
  <si>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</si>
  <si>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</si>
  <si>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</si>
  <si>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</si>
  <si>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</si>
  <si>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</si>
  <si>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</si>
  <si>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</si>
  <si>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</si>
  <si>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</si>
  <si>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</si>
  <si>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</si>
  <si>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</si>
  <si>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</si>
  <si>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</si>
  <si>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</si>
  <si>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</si>
  <si>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</si>
  <si>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</si>
  <si>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</si>
  <si>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</si>
  <si>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</si>
  <si>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</si>
  <si>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</si>
  <si>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</si>
  <si>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</si>
  <si>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</si>
  <si>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</si>
  <si>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</si>
  <si>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</si>
  <si>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</si>
  <si>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</si>
  <si>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</si>
  <si>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</si>
  <si>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</si>
  <si>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</si>
  <si>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</si>
  <si>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</si>
  <si>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</si>
  <si>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</si>
  <si>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</si>
  <si>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</si>
  <si>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</si>
  <si>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</si>
  <si>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</si>
  <si>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</si>
  <si>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</si>
  <si>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</si>
  <si>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</si>
  <si>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</si>
  <si>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</si>
  <si>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</si>
  <si>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</si>
  <si>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</si>
  <si>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</si>
  <si>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</si>
  <si>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</si>
  <si>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</si>
  <si>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</si>
  <si>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</si>
  <si>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</si>
  <si>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</si>
  <si>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</si>
  <si>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</si>
  <si>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</si>
  <si>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</si>
  <si>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</si>
  <si>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</si>
  <si>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</si>
  <si>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</si>
  <si>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</si>
  <si>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</si>
  <si>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</si>
  <si>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</si>
  <si>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</si>
  <si>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</si>
  <si>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</si>
  <si>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</si>
  <si>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</si>
  <si>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</si>
  <si>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</si>
  <si>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</si>
  <si>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</si>
  <si>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</si>
  <si>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</si>
  <si>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</si>
  <si>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</si>
  <si>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</si>
  <si>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</si>
  <si>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</si>
  <si>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</si>
  <si>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</si>
  <si>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</si>
  <si>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</si>
  <si>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</si>
  <si>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</si>
  <si>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</si>
  <si>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</si>
  <si>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</si>
  <si>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</si>
  <si>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</si>
  <si>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</si>
  <si>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</si>
  <si>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</si>
  <si>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</si>
  <si>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</si>
  <si>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</si>
  <si>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</si>
  <si>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</si>
  <si>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</si>
  <si>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</si>
  <si>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</si>
  <si>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</si>
  <si>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</si>
  <si>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</si>
  <si>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</si>
  <si>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</si>
  <si>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</si>
  <si>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</si>
  <si>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</si>
  <si>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</si>
  <si>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</si>
  <si>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</si>
  <si>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</si>
  <si>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</si>
  <si>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</si>
  <si>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</si>
  <si>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</si>
  <si>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</si>
  <si>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</si>
  <si>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</si>
  <si>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</si>
  <si>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</si>
  <si>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</si>
  <si>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</si>
  <si>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</si>
  <si>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</si>
  <si>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</si>
  <si>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</si>
  <si>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</si>
  <si>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</si>
  <si>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</si>
  <si>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</si>
  <si>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</si>
  <si>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</si>
  <si>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</si>
  <si>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</si>
  <si>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</si>
  <si>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</si>
  <si>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</si>
  <si>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</si>
  <si>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</si>
  <si>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</si>
  <si>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</si>
  <si>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</si>
  <si>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</si>
  <si>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</si>
  <si>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</si>
  <si>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</si>
  <si>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</si>
  <si>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</si>
  <si>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</si>
  <si>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</si>
  <si>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</si>
  <si>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</si>
  <si>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</si>
  <si>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</si>
  <si>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</si>
  <si>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</si>
  <si>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</si>
  <si>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</si>
  <si>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</si>
  <si>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</si>
  <si>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</si>
  <si>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</si>
  <si>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</si>
  <si>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</si>
  <si>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</si>
  <si>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</si>
  <si>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</si>
  <si>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</si>
  <si>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</si>
  <si>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</si>
  <si>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</si>
  <si>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</si>
  <si>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</si>
  <si>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</si>
  <si>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</si>
  <si>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</si>
  <si>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</si>
  <si>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</si>
  <si>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</si>
  <si>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</si>
  <si>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</si>
  <si>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</si>
  <si>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</si>
  <si>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</si>
  <si>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</si>
  <si>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</si>
  <si>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2030 NH3 SOEC - grid</t>
  </si>
  <si>
    <t>2030 NH3 AEC - grid</t>
  </si>
  <si>
    <t>2030 NH3 Mix - grid</t>
  </si>
  <si>
    <t>2030 NH3 SOEC</t>
  </si>
  <si>
    <t>2030 NH3 AEC</t>
  </si>
  <si>
    <t>2030 NH3 Mix</t>
  </si>
  <si>
    <t>NH3-SOEC base case</t>
  </si>
  <si>
    <t>NH3-Mix base case</t>
  </si>
  <si>
    <t>NH3-AEC base case</t>
  </si>
  <si>
    <t>2030 NH3 SOEC - positive</t>
  </si>
  <si>
    <t>2030 NH3 AEC - positive</t>
  </si>
  <si>
    <t>2030 NH3 Mix - positive</t>
  </si>
  <si>
    <t>2030 NH3 SOEC - flex</t>
  </si>
  <si>
    <t>2030 NH3 AEC - flex</t>
  </si>
  <si>
    <t>2030 NH3 Mix - flex</t>
  </si>
  <si>
    <t>2030 NH3 SOEC - negative</t>
  </si>
  <si>
    <t>2030 NH3 AEC - negative</t>
  </si>
  <si>
    <t>2030 NH3 Mix - negative</t>
  </si>
  <si>
    <t>2030 NH3 SOEC - nonflex</t>
  </si>
  <si>
    <t>2030 NH3 AEC - nonflex</t>
  </si>
  <si>
    <t>2030 NH3 Mix - nonflex</t>
  </si>
  <si>
    <t>Base case</t>
  </si>
  <si>
    <t>Flex</t>
  </si>
  <si>
    <t>Non-flex</t>
  </si>
  <si>
    <t>Best case</t>
  </si>
  <si>
    <t>Worst case</t>
  </si>
  <si>
    <t>No H2 storage</t>
  </si>
  <si>
    <t>No battery storage</t>
  </si>
  <si>
    <t>Morocco</t>
  </si>
  <si>
    <t>2030 NH3 AEC - MA</t>
  </si>
  <si>
    <t>2030 NH3 SOEC - MA</t>
  </si>
  <si>
    <t>2030 NH3 Mix - MA</t>
  </si>
  <si>
    <t>2020ma</t>
  </si>
  <si>
    <t>Morocco - offshore</t>
  </si>
  <si>
    <t>Morocco - onshore</t>
  </si>
  <si>
    <t>Ceduna - all renewables</t>
  </si>
  <si>
    <t>Arica - all renewables</t>
  </si>
  <si>
    <t>Arica - offshore</t>
  </si>
  <si>
    <t>Ceduna - offshore</t>
  </si>
  <si>
    <t>Esbjerg - offshore</t>
  </si>
  <si>
    <t>2030 NH3 AEC - CH</t>
  </si>
  <si>
    <t>2030 NH3 SOEC - CH</t>
  </si>
  <si>
    <t>2030 NH3 Mix - CH</t>
  </si>
  <si>
    <t>2030 NH3 AEC - AU</t>
  </si>
  <si>
    <t>2030 NH3 SOEC - AU</t>
  </si>
  <si>
    <t>2030 NH3 Mix - AU</t>
  </si>
  <si>
    <t>Flex - no H2 storage</t>
  </si>
  <si>
    <t>--</t>
  </si>
  <si>
    <t>2030hgp</t>
  </si>
  <si>
    <t>2030lgp</t>
  </si>
  <si>
    <t>Semi-islanded-hgp</t>
  </si>
  <si>
    <t>Semi-islanded-lgp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</si>
</sst>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7" borderId="1" xfId="0" applyFill="1" applyBorder="1"/>
    <xf numFmtId="0" fontId="0" fillId="7" borderId="2" xfId="0" applyFill="1" applyBorder="1"/>
    <xf numFmtId="0" fontId="4" fillId="0" borderId="0" xfId="0" applyFont="1" applyAlignment="1">
      <alignment horizontal="left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/>
    <xf numFmtId="9" fontId="0" fillId="7" borderId="0" xfId="1" applyFont="1" applyFill="1"/>
    <xf numFmtId="166" fontId="0" fillId="7" borderId="0" xfId="0" applyNumberFormat="1" applyFill="1"/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3" xfId="0" applyFill="1" applyBorder="1"/>
    <xf numFmtId="0" fontId="3" fillId="7" borderId="3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3" xfId="0" applyBorder="1"/>
    <xf numFmtId="0" fontId="0" fillId="7" borderId="0" xfId="0" applyFill="1" applyAlignment="1">
      <alignment horizontal="left"/>
    </xf>
    <xf numFmtId="0" fontId="3" fillId="7" borderId="0" xfId="0" applyFont="1" applyFill="1" applyAlignment="1">
      <alignment horizontal="right"/>
    </xf>
    <xf numFmtId="0" fontId="4" fillId="0" borderId="0" xfId="0" applyFont="1" applyAlignment="1">
      <alignment vertical="center" wrapText="1"/>
    </xf>
    <xf numFmtId="164" fontId="4" fillId="0" borderId="0" xfId="0" applyNumberFormat="1" applyFont="1"/>
    <xf numFmtId="0" fontId="0" fillId="4" borderId="0" xfId="0" quotePrefix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BY31" sqref="BY31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99" t="s">
        <v>0</v>
      </c>
      <c r="B4" s="99"/>
      <c r="C4" s="99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97" t="s">
        <v>79</v>
      </c>
      <c r="Q4" s="97"/>
      <c r="R4" s="97"/>
      <c r="S4" s="97"/>
      <c r="T4" s="97"/>
      <c r="U4" s="97"/>
      <c r="V4" s="97"/>
      <c r="W4" s="97"/>
      <c r="X4" s="97"/>
      <c r="Y4" s="97"/>
      <c r="Z4" s="97" t="s">
        <v>80</v>
      </c>
      <c r="AA4" s="97"/>
      <c r="AB4" s="97"/>
      <c r="AC4" s="97"/>
      <c r="AD4" s="97"/>
      <c r="AE4" s="97"/>
      <c r="AF4" s="97"/>
      <c r="AG4" s="97"/>
      <c r="AH4" s="97"/>
      <c r="AI4" s="97"/>
      <c r="AJ4" s="97" t="s">
        <v>407</v>
      </c>
      <c r="AK4" s="97"/>
      <c r="AL4" s="97"/>
      <c r="AM4" s="97"/>
      <c r="AN4" s="97"/>
      <c r="AO4" s="97"/>
      <c r="AP4" s="97"/>
      <c r="AQ4" s="97"/>
      <c r="AR4" s="97"/>
      <c r="AS4" s="97"/>
      <c r="AT4" s="97" t="s">
        <v>81</v>
      </c>
      <c r="AU4" s="97"/>
      <c r="AV4" s="97"/>
      <c r="AW4" s="97"/>
      <c r="AX4" s="97"/>
      <c r="AY4" s="97"/>
      <c r="AZ4" s="97"/>
      <c r="BA4" s="97"/>
      <c r="BB4" s="97"/>
      <c r="BC4" s="29"/>
      <c r="BD4" s="97" t="s">
        <v>82</v>
      </c>
      <c r="BE4" s="97"/>
      <c r="BF4" s="97"/>
      <c r="BG4" s="97"/>
      <c r="BH4" s="97"/>
      <c r="BI4" s="97"/>
      <c r="BJ4" s="97"/>
      <c r="BK4" s="97"/>
      <c r="BL4" s="97"/>
      <c r="BM4" s="29"/>
      <c r="BN4" s="97" t="s">
        <v>83</v>
      </c>
      <c r="BO4" s="97"/>
      <c r="BP4" s="97"/>
      <c r="BQ4" s="97"/>
      <c r="BR4" s="97"/>
      <c r="BS4" s="97"/>
      <c r="BT4" s="97"/>
      <c r="BU4" s="97"/>
      <c r="BV4" s="97"/>
      <c r="BW4" s="29"/>
      <c r="BX4" s="97" t="s">
        <v>84</v>
      </c>
      <c r="BY4" s="97"/>
      <c r="BZ4" s="97"/>
      <c r="CA4" s="97"/>
      <c r="CB4" s="97"/>
      <c r="CC4" s="97"/>
      <c r="CD4" s="97"/>
      <c r="CE4" s="97"/>
      <c r="CF4" s="97"/>
      <c r="CG4" s="29"/>
      <c r="CH4" s="97" t="s">
        <v>183</v>
      </c>
      <c r="CI4" s="97"/>
      <c r="CJ4" s="97"/>
      <c r="CK4" s="97"/>
      <c r="CL4" s="97"/>
      <c r="CM4" s="97"/>
      <c r="CN4" s="97"/>
      <c r="CO4" s="97"/>
      <c r="CP4" s="97"/>
      <c r="CQ4" s="29"/>
      <c r="CR4" s="97" t="s">
        <v>184</v>
      </c>
      <c r="CS4" s="97"/>
      <c r="CT4" s="97"/>
      <c r="CU4" s="97"/>
      <c r="CV4" s="97"/>
      <c r="CW4" s="97"/>
      <c r="CX4" s="97"/>
      <c r="CY4" s="97"/>
      <c r="CZ4" s="97"/>
      <c r="DA4" s="29"/>
      <c r="DB4" s="97" t="s">
        <v>185</v>
      </c>
      <c r="DC4" s="97"/>
      <c r="DD4" s="97"/>
      <c r="DE4" s="97"/>
      <c r="DF4" s="97"/>
      <c r="DG4" s="97"/>
      <c r="DH4" s="97"/>
      <c r="DI4" s="97"/>
      <c r="DJ4" s="97"/>
      <c r="DK4" s="29"/>
      <c r="DL4" s="97" t="s">
        <v>186</v>
      </c>
      <c r="DM4" s="97"/>
      <c r="DN4" s="97"/>
      <c r="DO4" s="97"/>
      <c r="DP4" s="97"/>
      <c r="DQ4" s="97"/>
      <c r="DR4" s="97"/>
      <c r="DS4" s="97"/>
      <c r="DT4" s="97"/>
      <c r="DU4" s="29"/>
      <c r="DV4" s="97" t="s">
        <v>187</v>
      </c>
      <c r="DW4" s="97"/>
      <c r="DX4" s="97"/>
      <c r="DY4" s="97"/>
      <c r="DZ4" s="97"/>
      <c r="EA4" s="97"/>
      <c r="EB4" s="97"/>
      <c r="EC4" s="97"/>
      <c r="ED4" s="97"/>
      <c r="EE4" s="29"/>
      <c r="EF4" s="97" t="s">
        <v>132</v>
      </c>
      <c r="EG4" s="97"/>
      <c r="EH4" s="97"/>
      <c r="EI4" s="97"/>
      <c r="EJ4" s="97"/>
      <c r="EK4" s="97"/>
      <c r="EL4" s="97"/>
      <c r="EM4" s="97"/>
      <c r="EN4" s="97"/>
      <c r="EO4" s="29"/>
      <c r="EP4" s="97" t="s">
        <v>85</v>
      </c>
      <c r="EQ4" s="97"/>
      <c r="ER4" s="97"/>
      <c r="ES4" s="97"/>
      <c r="ET4" s="97"/>
      <c r="EU4" s="97"/>
      <c r="EV4" s="97"/>
      <c r="EW4" s="97"/>
      <c r="EX4" s="97"/>
      <c r="EY4" s="29"/>
      <c r="EZ4" s="97" t="s">
        <v>178</v>
      </c>
      <c r="FA4" s="97"/>
      <c r="FB4" s="97"/>
      <c r="FC4" s="97"/>
      <c r="FD4" s="97"/>
      <c r="FE4" s="97"/>
      <c r="FF4" s="97"/>
      <c r="FG4" s="97"/>
      <c r="FH4" s="97"/>
      <c r="FI4" s="29"/>
      <c r="FJ4" s="97" t="s">
        <v>86</v>
      </c>
      <c r="FK4" s="97"/>
      <c r="FL4" s="97"/>
      <c r="FM4" s="97"/>
      <c r="FN4" s="97"/>
      <c r="FO4" s="97"/>
      <c r="FP4" s="97"/>
      <c r="FQ4" s="97"/>
      <c r="FR4" s="97"/>
      <c r="FS4" s="97"/>
    </row>
    <row r="5" spans="1:175" s="5" customFormat="1" ht="15" customHeight="1" x14ac:dyDescent="0.3">
      <c r="A5" s="37"/>
      <c r="B5" s="100" t="s">
        <v>7</v>
      </c>
      <c r="C5" s="101" t="s">
        <v>8</v>
      </c>
      <c r="D5" s="100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0"/>
      <c r="C6" s="101"/>
      <c r="D6" s="100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63" customHeight="1" x14ac:dyDescent="0.3">
      <c r="A7" s="45"/>
      <c r="B7" s="100"/>
      <c r="C7" s="101"/>
      <c r="D7" s="100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0"/>
      <c r="C8" s="101"/>
      <c r="D8" s="100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98" t="s">
        <v>11</v>
      </c>
      <c r="B9" s="3" t="s">
        <v>135</v>
      </c>
      <c r="C9" s="11" t="s">
        <v>277</v>
      </c>
      <c r="D9" s="2" t="s">
        <v>77</v>
      </c>
      <c r="E9" s="9">
        <f t="shared" ref="E9:E73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29" si="6">$EG9*B$3</f>
        <v>0</v>
      </c>
      <c r="EK9">
        <v>0</v>
      </c>
      <c r="EL9">
        <f t="shared" ref="EL9:EL29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29" si="9">$EQ9*B$3</f>
        <v>5.6800000000000002E-3</v>
      </c>
      <c r="EU9">
        <v>0</v>
      </c>
      <c r="EV9">
        <f t="shared" ref="EV9:EV29" si="10">$EQ9*C$3</f>
        <v>5.6800000000000002E-3</v>
      </c>
      <c r="EW9">
        <v>0</v>
      </c>
      <c r="EX9">
        <f t="shared" ref="EX9:EX29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98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29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98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B32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98"/>
      <c r="B12" s="3" t="s">
        <v>135</v>
      </c>
      <c r="C12" s="11" t="s">
        <v>277</v>
      </c>
      <c r="D12" s="2" t="s">
        <v>436</v>
      </c>
      <c r="E12" s="9">
        <f t="shared" ref="E12:E15" si="14">ROW(D12)-ROW($E$8)</f>
        <v>4</v>
      </c>
      <c r="F12" s="13">
        <v>1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20000</v>
      </c>
      <c r="P12">
        <v>1.54</v>
      </c>
      <c r="Q12">
        <v>1.54</v>
      </c>
      <c r="R12">
        <v>1.54</v>
      </c>
      <c r="S12">
        <v>1.54</v>
      </c>
      <c r="T12">
        <v>1.54</v>
      </c>
      <c r="U12">
        <v>1.54</v>
      </c>
      <c r="V12">
        <v>1.54</v>
      </c>
      <c r="W12">
        <v>1.54</v>
      </c>
      <c r="X12">
        <v>1.54</v>
      </c>
      <c r="Y12">
        <v>1.54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0.18992999999999999</v>
      </c>
      <c r="DW12">
        <v>0.14244999999999999</v>
      </c>
      <c r="DX12">
        <v>9.4969999999999999E-2</v>
      </c>
      <c r="DY12">
        <v>0.18992999999999999</v>
      </c>
      <c r="DZ12">
        <v>0.14244999999999999</v>
      </c>
      <c r="EA12">
        <v>9.4969999999999999E-2</v>
      </c>
      <c r="EB12">
        <v>0.14244999999999999</v>
      </c>
      <c r="EC12">
        <v>0.18992999999999999</v>
      </c>
      <c r="ED12">
        <v>0.14244999999999999</v>
      </c>
      <c r="EE12">
        <v>9.4969999999999999E-2</v>
      </c>
      <c r="EF12">
        <v>3.560584789265715</v>
      </c>
      <c r="EG12">
        <v>3.560584789265715</v>
      </c>
      <c r="EH12">
        <v>3.560584789265715</v>
      </c>
      <c r="EI12">
        <v>0</v>
      </c>
      <c r="EJ12">
        <f t="shared" ref="EJ12" si="15">$EG12*B$3</f>
        <v>3.560584789265715</v>
      </c>
      <c r="EK12">
        <v>0</v>
      </c>
      <c r="EL12">
        <f t="shared" ref="EL12" si="16">$EG12*C$3</f>
        <v>3.560584789265715</v>
      </c>
      <c r="EM12">
        <v>0</v>
      </c>
      <c r="EN12">
        <f t="shared" ref="EN12" si="17">$EG12*D$3</f>
        <v>3.560584789265715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ref="ET12" si="18">$EQ12*B$3</f>
        <v>0</v>
      </c>
      <c r="EU12">
        <v>0</v>
      </c>
      <c r="EV12">
        <f t="shared" ref="EV12" si="19">$EQ12*C$3</f>
        <v>0</v>
      </c>
      <c r="EW12">
        <v>0</v>
      </c>
      <c r="EX12">
        <f t="shared" ref="EX12" si="20">$EQ12*D$3</f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98"/>
      <c r="B13" s="3" t="s">
        <v>135</v>
      </c>
      <c r="C13" s="11" t="s">
        <v>277</v>
      </c>
      <c r="D13" s="2" t="s">
        <v>437</v>
      </c>
      <c r="E13" s="9">
        <f t="shared" si="14"/>
        <v>5</v>
      </c>
      <c r="F13" s="13">
        <v>1</v>
      </c>
      <c r="G13" s="13" t="s">
        <v>437</v>
      </c>
      <c r="H13">
        <v>0</v>
      </c>
      <c r="I13" s="24" t="str">
        <f t="shared" ref="I13:I15" si="21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20000</v>
      </c>
      <c r="P13">
        <v>2.21</v>
      </c>
      <c r="Q13">
        <v>2.21</v>
      </c>
      <c r="R13">
        <v>2.21</v>
      </c>
      <c r="S13">
        <v>2.21</v>
      </c>
      <c r="T13">
        <v>2.21</v>
      </c>
      <c r="U13">
        <v>2.21</v>
      </c>
      <c r="V13">
        <v>2.21</v>
      </c>
      <c r="W13">
        <v>2.21</v>
      </c>
      <c r="X13">
        <v>2.21</v>
      </c>
      <c r="Y13">
        <v>2.21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0.18992999999999999</v>
      </c>
      <c r="DW13">
        <v>0.14244999999999999</v>
      </c>
      <c r="DX13">
        <v>9.4969999999999999E-2</v>
      </c>
      <c r="DY13">
        <v>0.18992999999999999</v>
      </c>
      <c r="DZ13">
        <v>0.14244999999999999</v>
      </c>
      <c r="EA13">
        <v>9.4969999999999999E-2</v>
      </c>
      <c r="EB13">
        <v>0.14244999999999999</v>
      </c>
      <c r="EC13">
        <v>0.18992999999999999</v>
      </c>
      <c r="ED13">
        <v>0.14244999999999999</v>
      </c>
      <c r="EE13">
        <v>9.4969999999999999E-2</v>
      </c>
      <c r="EF13">
        <v>3.560584789265715</v>
      </c>
      <c r="EG13">
        <v>3.560584789265715</v>
      </c>
      <c r="EH13">
        <v>3.560584789265715</v>
      </c>
      <c r="EI13">
        <v>0</v>
      </c>
      <c r="EJ13">
        <f t="shared" ref="EJ13:EJ15" si="22">$EG13*B$3</f>
        <v>3.560584789265715</v>
      </c>
      <c r="EK13">
        <v>0</v>
      </c>
      <c r="EL13">
        <f t="shared" ref="EL13:EL15" si="23">$EG13*C$3</f>
        <v>3.560584789265715</v>
      </c>
      <c r="EM13">
        <v>0</v>
      </c>
      <c r="EN13">
        <f t="shared" ref="EN13:EN15" si="24">$EG13*D$3</f>
        <v>3.560584789265715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ref="ET13:ET15" si="25">$EQ13*B$3</f>
        <v>0</v>
      </c>
      <c r="EU13">
        <v>0</v>
      </c>
      <c r="EV13">
        <f t="shared" ref="EV13:EV15" si="26">$EQ13*C$3</f>
        <v>0</v>
      </c>
      <c r="EW13">
        <v>0</v>
      </c>
      <c r="EX13">
        <f t="shared" ref="EX13:EX15" si="27">$EQ13*D$3</f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98"/>
      <c r="B14" s="3" t="s">
        <v>135</v>
      </c>
      <c r="C14" s="11" t="s">
        <v>277</v>
      </c>
      <c r="D14" s="2" t="s">
        <v>438</v>
      </c>
      <c r="E14" s="9">
        <f t="shared" si="14"/>
        <v>6</v>
      </c>
      <c r="F14" s="13">
        <v>1</v>
      </c>
      <c r="G14" s="13" t="s">
        <v>438</v>
      </c>
      <c r="H14">
        <v>0</v>
      </c>
      <c r="I14" s="24" t="str">
        <f t="shared" si="21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20000</v>
      </c>
      <c r="P14">
        <v>1.82</v>
      </c>
      <c r="Q14">
        <v>1.82</v>
      </c>
      <c r="R14">
        <v>1.82</v>
      </c>
      <c r="S14">
        <v>1.82</v>
      </c>
      <c r="T14">
        <v>1.82</v>
      </c>
      <c r="U14">
        <v>1.82</v>
      </c>
      <c r="V14">
        <v>1.82</v>
      </c>
      <c r="W14">
        <v>1.82</v>
      </c>
      <c r="X14">
        <v>1.82</v>
      </c>
      <c r="Y14">
        <v>1.82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0.13195000000000001</v>
      </c>
      <c r="DW14">
        <v>9.2799999999999994E-2</v>
      </c>
      <c r="DX14">
        <v>7.2499999999999995E-2</v>
      </c>
      <c r="DY14">
        <v>0.13195000000000001</v>
      </c>
      <c r="DZ14">
        <v>9.2799999999999994E-2</v>
      </c>
      <c r="EA14">
        <v>7.2499999999999995E-2</v>
      </c>
      <c r="EB14">
        <v>9.2799999999999994E-2</v>
      </c>
      <c r="EC14">
        <v>0.13195000000000001</v>
      </c>
      <c r="ED14">
        <v>9.2799999999999994E-2</v>
      </c>
      <c r="EE14">
        <v>7.2499999999999995E-2</v>
      </c>
      <c r="EF14">
        <v>3.560584789265715</v>
      </c>
      <c r="EG14">
        <v>3.560584789265715</v>
      </c>
      <c r="EH14">
        <v>3.560584789265715</v>
      </c>
      <c r="EI14">
        <v>0</v>
      </c>
      <c r="EJ14">
        <f t="shared" si="22"/>
        <v>3.560584789265715</v>
      </c>
      <c r="EK14">
        <v>0</v>
      </c>
      <c r="EL14">
        <f t="shared" si="23"/>
        <v>3.560584789265715</v>
      </c>
      <c r="EM14">
        <v>0</v>
      </c>
      <c r="EN14">
        <f t="shared" si="24"/>
        <v>3.560584789265715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25"/>
        <v>0</v>
      </c>
      <c r="EU14">
        <v>0</v>
      </c>
      <c r="EV14">
        <f t="shared" si="26"/>
        <v>0</v>
      </c>
      <c r="EW14">
        <v>0</v>
      </c>
      <c r="EX14">
        <f t="shared" si="27"/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98"/>
      <c r="B15" s="3" t="s">
        <v>135</v>
      </c>
      <c r="C15" s="11" t="s">
        <v>277</v>
      </c>
      <c r="D15" s="2" t="s">
        <v>439</v>
      </c>
      <c r="E15" s="9">
        <f t="shared" si="14"/>
        <v>7</v>
      </c>
      <c r="F15" s="13">
        <v>1</v>
      </c>
      <c r="G15" s="13" t="s">
        <v>439</v>
      </c>
      <c r="H15">
        <v>0</v>
      </c>
      <c r="I15" s="24" t="str">
        <f t="shared" si="21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20000</v>
      </c>
      <c r="P15">
        <v>2.54</v>
      </c>
      <c r="Q15">
        <v>2.54</v>
      </c>
      <c r="R15">
        <v>2.54</v>
      </c>
      <c r="S15">
        <v>2.54</v>
      </c>
      <c r="T15">
        <v>2.54</v>
      </c>
      <c r="U15">
        <v>2.54</v>
      </c>
      <c r="V15">
        <v>2.54</v>
      </c>
      <c r="W15">
        <v>2.54</v>
      </c>
      <c r="X15">
        <v>2.54</v>
      </c>
      <c r="Y15">
        <v>2.54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0.13195000000000001</v>
      </c>
      <c r="DW15">
        <v>9.2799999999999994E-2</v>
      </c>
      <c r="DX15">
        <v>7.2499999999999995E-2</v>
      </c>
      <c r="DY15">
        <v>0.13195000000000001</v>
      </c>
      <c r="DZ15">
        <v>9.2799999999999994E-2</v>
      </c>
      <c r="EA15">
        <v>7.2499999999999995E-2</v>
      </c>
      <c r="EB15">
        <v>9.2799999999999994E-2</v>
      </c>
      <c r="EC15">
        <v>0.13195000000000001</v>
      </c>
      <c r="ED15">
        <v>9.2799999999999994E-2</v>
      </c>
      <c r="EE15">
        <v>7.2499999999999995E-2</v>
      </c>
      <c r="EF15">
        <v>3.560584789265715</v>
      </c>
      <c r="EG15">
        <v>3.560584789265715</v>
      </c>
      <c r="EH15">
        <v>3.560584789265715</v>
      </c>
      <c r="EI15">
        <v>0</v>
      </c>
      <c r="EJ15">
        <f t="shared" si="22"/>
        <v>3.560584789265715</v>
      </c>
      <c r="EK15">
        <v>0</v>
      </c>
      <c r="EL15">
        <f t="shared" si="23"/>
        <v>3.560584789265715</v>
      </c>
      <c r="EM15">
        <v>0</v>
      </c>
      <c r="EN15">
        <f t="shared" si="24"/>
        <v>3.560584789265715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25"/>
        <v>0</v>
      </c>
      <c r="EU15">
        <v>0</v>
      </c>
      <c r="EV15">
        <f t="shared" si="26"/>
        <v>0</v>
      </c>
      <c r="EW15">
        <v>0</v>
      </c>
      <c r="EX15">
        <f t="shared" si="27"/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98"/>
      <c r="B16" s="3" t="s">
        <v>135</v>
      </c>
      <c r="C16" s="4" t="s">
        <v>434</v>
      </c>
      <c r="D16" s="2" t="s">
        <v>429</v>
      </c>
      <c r="E16" s="9">
        <f t="shared" si="5"/>
        <v>8</v>
      </c>
      <c r="F16" s="13">
        <v>1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f>O10</f>
        <v>40000</v>
      </c>
      <c r="P16">
        <v>0.35</v>
      </c>
      <c r="Q16">
        <v>0.35</v>
      </c>
      <c r="R16">
        <v>0.35</v>
      </c>
      <c r="S16">
        <v>0.35</v>
      </c>
      <c r="T16">
        <v>0.35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0.11849999999999999</v>
      </c>
      <c r="DN16">
        <v>0.16</v>
      </c>
      <c r="DO16">
        <v>0</v>
      </c>
      <c r="DP16">
        <v>0.11849999999999999</v>
      </c>
      <c r="DQ16">
        <v>0.16</v>
      </c>
      <c r="DR16">
        <v>0.11849999999999999</v>
      </c>
      <c r="DS16">
        <v>0</v>
      </c>
      <c r="DT16">
        <v>0.11849999999999999</v>
      </c>
      <c r="DU16">
        <v>0.16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98"/>
      <c r="B17" s="3" t="s">
        <v>134</v>
      </c>
      <c r="C17" s="4" t="s">
        <v>171</v>
      </c>
      <c r="D17" s="2" t="s">
        <v>403</v>
      </c>
      <c r="E17" s="13">
        <f t="shared" si="5"/>
        <v>9</v>
      </c>
      <c r="F17" s="13">
        <v>1</v>
      </c>
      <c r="G17" s="13" t="s">
        <v>419</v>
      </c>
      <c r="H17">
        <f>7500*8760</f>
        <v>65700000</v>
      </c>
      <c r="I17" s="24" t="str">
        <f>B33</f>
        <v>Reactant5</v>
      </c>
      <c r="J17">
        <v>0</v>
      </c>
      <c r="K17">
        <v>1</v>
      </c>
      <c r="L17">
        <v>1</v>
      </c>
      <c r="M17">
        <v>0</v>
      </c>
      <c r="N17">
        <v>0</v>
      </c>
      <c r="O17">
        <f>O11</f>
        <v>20000</v>
      </c>
      <c r="P17">
        <v>7.28</v>
      </c>
      <c r="Q17">
        <v>7.28</v>
      </c>
      <c r="R17">
        <v>7.28</v>
      </c>
      <c r="S17">
        <v>7.28</v>
      </c>
      <c r="T17">
        <v>7.28</v>
      </c>
      <c r="U17">
        <v>7.28</v>
      </c>
      <c r="V17">
        <v>7.28</v>
      </c>
      <c r="W17">
        <v>7.28</v>
      </c>
      <c r="X17">
        <v>7.28</v>
      </c>
      <c r="Y17">
        <v>7.28</v>
      </c>
      <c r="Z17">
        <v>1.54</v>
      </c>
      <c r="AA17">
        <v>1.54</v>
      </c>
      <c r="AB17">
        <v>1.54</v>
      </c>
      <c r="AC17">
        <v>1.54</v>
      </c>
      <c r="AD17">
        <v>1.54</v>
      </c>
      <c r="AE17">
        <v>1.54</v>
      </c>
      <c r="AF17">
        <v>1.54</v>
      </c>
      <c r="AG17">
        <v>1.54</v>
      </c>
      <c r="AH17">
        <v>1.54</v>
      </c>
      <c r="AI17">
        <v>1.54</v>
      </c>
      <c r="AJ17">
        <v>0.21</v>
      </c>
      <c r="AK17">
        <v>0.21</v>
      </c>
      <c r="AL17">
        <v>0.21</v>
      </c>
      <c r="AM17">
        <v>0.21</v>
      </c>
      <c r="AN17">
        <v>0.21</v>
      </c>
      <c r="AO17">
        <v>0.21</v>
      </c>
      <c r="AP17">
        <v>0.21</v>
      </c>
      <c r="AQ17">
        <v>0.21</v>
      </c>
      <c r="AR17">
        <v>0.21</v>
      </c>
      <c r="AS17">
        <v>0.21</v>
      </c>
      <c r="AT17" s="60">
        <v>0.5</v>
      </c>
      <c r="AU17" s="60">
        <v>0.5</v>
      </c>
      <c r="AV17" s="60">
        <v>0.5</v>
      </c>
      <c r="AW17" s="60">
        <v>0.5</v>
      </c>
      <c r="AX17" s="60">
        <v>0.5</v>
      </c>
      <c r="AY17" s="60">
        <v>0.5</v>
      </c>
      <c r="AZ17" s="60">
        <v>0.5</v>
      </c>
      <c r="BA17" s="60">
        <v>0.5</v>
      </c>
      <c r="BB17" s="60">
        <v>0.5</v>
      </c>
      <c r="BC17" s="60">
        <v>0.5</v>
      </c>
      <c r="BD17" s="60">
        <v>1</v>
      </c>
      <c r="BE17" s="60">
        <v>1</v>
      </c>
      <c r="BF17" s="60">
        <v>1</v>
      </c>
      <c r="BG17" s="60">
        <v>1</v>
      </c>
      <c r="BH17" s="60">
        <v>1</v>
      </c>
      <c r="BI17" s="60">
        <v>1</v>
      </c>
      <c r="BJ17" s="60">
        <v>1</v>
      </c>
      <c r="BK17" s="60">
        <v>1</v>
      </c>
      <c r="BL17" s="60">
        <v>1</v>
      </c>
      <c r="BM17" s="60">
        <v>1</v>
      </c>
      <c r="BN17" s="60">
        <v>1</v>
      </c>
      <c r="BO17" s="60">
        <v>1</v>
      </c>
      <c r="BP17" s="60">
        <v>1</v>
      </c>
      <c r="BQ17" s="60">
        <v>1</v>
      </c>
      <c r="BR17" s="60">
        <v>1</v>
      </c>
      <c r="BS17" s="60">
        <v>1</v>
      </c>
      <c r="BT17" s="60">
        <v>1</v>
      </c>
      <c r="BU17" s="60">
        <v>1</v>
      </c>
      <c r="BV17" s="60">
        <v>1</v>
      </c>
      <c r="BW17" s="60">
        <v>1</v>
      </c>
      <c r="BX17" s="57">
        <v>0.18</v>
      </c>
      <c r="BY17" s="57">
        <v>0.18</v>
      </c>
      <c r="BZ17" s="57">
        <v>0.18</v>
      </c>
      <c r="CA17" s="57">
        <v>0.18</v>
      </c>
      <c r="CB17" s="57">
        <v>0.18</v>
      </c>
      <c r="CC17" s="57">
        <v>0.18</v>
      </c>
      <c r="CD17" s="57">
        <v>0.18</v>
      </c>
      <c r="CE17" s="57">
        <v>0.18</v>
      </c>
      <c r="CF17" s="57">
        <v>0.18</v>
      </c>
      <c r="CG17" s="57">
        <v>0.18</v>
      </c>
      <c r="CH17">
        <v>12444.9</v>
      </c>
      <c r="CI17">
        <v>9955.92</v>
      </c>
      <c r="CJ17">
        <v>7466.94</v>
      </c>
      <c r="CK17">
        <v>12444.9</v>
      </c>
      <c r="CL17">
        <v>9955.92</v>
      </c>
      <c r="CM17">
        <v>7466.94</v>
      </c>
      <c r="CN17">
        <v>9955.92</v>
      </c>
      <c r="CO17">
        <v>12444.9</v>
      </c>
      <c r="CP17">
        <v>9955.92</v>
      </c>
      <c r="CQ17">
        <v>7466.94</v>
      </c>
      <c r="CR17">
        <v>1186</v>
      </c>
      <c r="CS17">
        <v>1036.6600000000001</v>
      </c>
      <c r="CT17">
        <v>887.32</v>
      </c>
      <c r="CU17">
        <v>1186</v>
      </c>
      <c r="CV17">
        <v>1036.6600000000001</v>
      </c>
      <c r="CW17">
        <v>887.32</v>
      </c>
      <c r="CX17">
        <v>1036.6600000000001</v>
      </c>
      <c r="CY17">
        <v>1186</v>
      </c>
      <c r="CZ17">
        <v>1036.6600000000001</v>
      </c>
      <c r="DA17">
        <v>887.32</v>
      </c>
      <c r="DB17">
        <f>3.95121089093762/1000</f>
        <v>3.9512108909376198E-3</v>
      </c>
      <c r="DC17">
        <f t="shared" ref="DC17:DK17" si="28">3.95121089093762/1000</f>
        <v>3.9512108909376198E-3</v>
      </c>
      <c r="DD17">
        <f t="shared" si="28"/>
        <v>3.9512108909376198E-3</v>
      </c>
      <c r="DE17">
        <f t="shared" si="28"/>
        <v>3.9512108909376198E-3</v>
      </c>
      <c r="DF17">
        <f t="shared" si="28"/>
        <v>3.9512108909376198E-3</v>
      </c>
      <c r="DG17">
        <f t="shared" si="28"/>
        <v>3.9512108909376198E-3</v>
      </c>
      <c r="DH17">
        <f t="shared" si="28"/>
        <v>3.9512108909376198E-3</v>
      </c>
      <c r="DI17">
        <f t="shared" si="28"/>
        <v>3.9512108909376198E-3</v>
      </c>
      <c r="DJ17">
        <f t="shared" si="28"/>
        <v>3.9512108909376198E-3</v>
      </c>
      <c r="DK17">
        <f t="shared" si="28"/>
        <v>3.9512108909376198E-3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18.474666666666668</v>
      </c>
      <c r="EG17">
        <v>18.474666666666668</v>
      </c>
      <c r="EH17">
        <v>18.474666666666668</v>
      </c>
      <c r="EI17">
        <v>18.474666666666668</v>
      </c>
      <c r="EJ17">
        <v>18.474666666666668</v>
      </c>
      <c r="EK17">
        <v>18.474666666666668</v>
      </c>
      <c r="EL17">
        <v>18.474666666666668</v>
      </c>
      <c r="EM17">
        <v>18.474666666666668</v>
      </c>
      <c r="EN17">
        <v>18.474666666666668</v>
      </c>
      <c r="EO17">
        <v>18.474666666666668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9.3678779051968114E-2</v>
      </c>
      <c r="FK17">
        <v>9.3678779051968114E-2</v>
      </c>
      <c r="FL17">
        <v>9.3678779051968114E-2</v>
      </c>
      <c r="FM17">
        <v>9.3678779051968114E-2</v>
      </c>
      <c r="FN17">
        <v>9.3678779051968114E-2</v>
      </c>
      <c r="FO17">
        <v>9.3678779051968114E-2</v>
      </c>
      <c r="FP17">
        <v>9.3678779051968114E-2</v>
      </c>
      <c r="FQ17">
        <v>9.3678779051968114E-2</v>
      </c>
      <c r="FR17">
        <v>9.3678779051968114E-2</v>
      </c>
      <c r="FS17">
        <v>9.3678779051968114E-2</v>
      </c>
    </row>
    <row r="18" spans="1:175" x14ac:dyDescent="0.3">
      <c r="A18" s="98"/>
      <c r="B18" s="3" t="s">
        <v>134</v>
      </c>
      <c r="C18" s="4" t="s">
        <v>171</v>
      </c>
      <c r="D18" s="2" t="s">
        <v>404</v>
      </c>
      <c r="E18" s="13">
        <f t="shared" si="5"/>
        <v>10</v>
      </c>
      <c r="F18" s="13">
        <v>1</v>
      </c>
      <c r="G18" s="13" t="s">
        <v>420</v>
      </c>
      <c r="H18">
        <f t="shared" ref="H18:H20" si="29">7500*8760</f>
        <v>65700000</v>
      </c>
      <c r="I18" s="24" t="str">
        <f>B34</f>
        <v>Reactant6</v>
      </c>
      <c r="J18">
        <v>0</v>
      </c>
      <c r="K18">
        <v>1</v>
      </c>
      <c r="L18">
        <v>1</v>
      </c>
      <c r="M18">
        <v>0</v>
      </c>
      <c r="N18">
        <v>0</v>
      </c>
      <c r="O18">
        <f>O17</f>
        <v>20000</v>
      </c>
      <c r="P18">
        <v>11.91</v>
      </c>
      <c r="Q18">
        <v>11.91</v>
      </c>
      <c r="R18">
        <v>11.91</v>
      </c>
      <c r="S18">
        <v>11.91</v>
      </c>
      <c r="T18">
        <v>11.91</v>
      </c>
      <c r="U18">
        <v>11.91</v>
      </c>
      <c r="V18">
        <v>11.91</v>
      </c>
      <c r="W18">
        <v>11.91</v>
      </c>
      <c r="X18">
        <v>11.91</v>
      </c>
      <c r="Y18">
        <v>11.91</v>
      </c>
      <c r="Z18">
        <v>0.51</v>
      </c>
      <c r="AA18">
        <v>0.51</v>
      </c>
      <c r="AB18">
        <v>0.51</v>
      </c>
      <c r="AC18">
        <v>0.51</v>
      </c>
      <c r="AD18">
        <v>0.51</v>
      </c>
      <c r="AE18">
        <v>0.51</v>
      </c>
      <c r="AF18">
        <v>0.51</v>
      </c>
      <c r="AG18">
        <v>0.51</v>
      </c>
      <c r="AH18">
        <v>0.51</v>
      </c>
      <c r="AI18">
        <v>0.51</v>
      </c>
      <c r="AJ18">
        <v>1.43</v>
      </c>
      <c r="AK18">
        <v>1.43</v>
      </c>
      <c r="AL18">
        <v>1.43</v>
      </c>
      <c r="AM18">
        <v>1.43</v>
      </c>
      <c r="AN18">
        <v>1.43</v>
      </c>
      <c r="AO18">
        <v>1.43</v>
      </c>
      <c r="AP18">
        <v>1.43</v>
      </c>
      <c r="AQ18">
        <v>1.43</v>
      </c>
      <c r="AR18">
        <v>1.43</v>
      </c>
      <c r="AS18">
        <v>1.43</v>
      </c>
      <c r="AT18" s="60">
        <v>0.5</v>
      </c>
      <c r="AU18" s="60">
        <v>0.5</v>
      </c>
      <c r="AV18" s="60">
        <v>0.5</v>
      </c>
      <c r="AW18" s="60">
        <v>0.5</v>
      </c>
      <c r="AX18" s="60">
        <v>0.5</v>
      </c>
      <c r="AY18" s="60">
        <v>0.5</v>
      </c>
      <c r="AZ18" s="60">
        <v>0.5</v>
      </c>
      <c r="BA18" s="60">
        <v>0.5</v>
      </c>
      <c r="BB18" s="60">
        <v>0.5</v>
      </c>
      <c r="BC18" s="60">
        <v>0.5</v>
      </c>
      <c r="BD18" s="60">
        <v>1</v>
      </c>
      <c r="BE18" s="60">
        <v>1</v>
      </c>
      <c r="BF18" s="60">
        <v>1</v>
      </c>
      <c r="BG18" s="60">
        <v>1</v>
      </c>
      <c r="BH18" s="60">
        <v>1</v>
      </c>
      <c r="BI18" s="60">
        <v>1</v>
      </c>
      <c r="BJ18" s="60">
        <v>1</v>
      </c>
      <c r="BK18" s="60">
        <v>1</v>
      </c>
      <c r="BL18" s="60">
        <v>1</v>
      </c>
      <c r="BM18" s="60">
        <v>1</v>
      </c>
      <c r="BN18" s="60">
        <v>1</v>
      </c>
      <c r="BO18" s="60">
        <v>1</v>
      </c>
      <c r="BP18" s="60">
        <v>1</v>
      </c>
      <c r="BQ18" s="60">
        <v>1</v>
      </c>
      <c r="BR18" s="60">
        <v>1</v>
      </c>
      <c r="BS18" s="60">
        <v>1</v>
      </c>
      <c r="BT18" s="60">
        <v>1</v>
      </c>
      <c r="BU18" s="60">
        <v>1</v>
      </c>
      <c r="BV18" s="60">
        <v>1</v>
      </c>
      <c r="BW18" s="60">
        <v>1</v>
      </c>
      <c r="BX18" s="57">
        <v>0.32</v>
      </c>
      <c r="BY18" s="57">
        <v>0.32</v>
      </c>
      <c r="BZ18" s="57">
        <v>0.32</v>
      </c>
      <c r="CA18" s="57">
        <v>0.32</v>
      </c>
      <c r="CB18" s="57">
        <v>0.32</v>
      </c>
      <c r="CC18" s="57">
        <v>0.32</v>
      </c>
      <c r="CD18" s="57">
        <v>0.32</v>
      </c>
      <c r="CE18" s="57">
        <v>0.32</v>
      </c>
      <c r="CF18" s="57">
        <v>0.32</v>
      </c>
      <c r="CG18" s="57">
        <v>0.32</v>
      </c>
      <c r="CH18">
        <v>16131.25</v>
      </c>
      <c r="CI18">
        <v>12905</v>
      </c>
      <c r="CJ18">
        <v>9678.75</v>
      </c>
      <c r="CK18">
        <v>16131.25</v>
      </c>
      <c r="CL18">
        <v>12905</v>
      </c>
      <c r="CM18">
        <v>9678.75</v>
      </c>
      <c r="CN18">
        <v>12789.46</v>
      </c>
      <c r="CO18">
        <v>16131.25</v>
      </c>
      <c r="CP18">
        <v>12905</v>
      </c>
      <c r="CQ18">
        <v>9678.75</v>
      </c>
      <c r="CR18">
        <v>1410.01</v>
      </c>
      <c r="CS18">
        <v>1216.44</v>
      </c>
      <c r="CT18">
        <v>1022.86</v>
      </c>
      <c r="CU18">
        <v>1209.51</v>
      </c>
      <c r="CV18">
        <v>1209.51</v>
      </c>
      <c r="CW18">
        <v>1209.51</v>
      </c>
      <c r="CX18">
        <v>1209.51</v>
      </c>
      <c r="CY18">
        <v>1209.51</v>
      </c>
      <c r="CZ18">
        <v>1209.51</v>
      </c>
      <c r="DA18">
        <v>1209.51</v>
      </c>
      <c r="DB18">
        <f>9.3267946332186/1000</f>
        <v>9.3267946332186002E-3</v>
      </c>
      <c r="DC18">
        <f t="shared" ref="DC18:DK18" si="30">9.3267946332186/1000</f>
        <v>9.3267946332186002E-3</v>
      </c>
      <c r="DD18">
        <f t="shared" si="30"/>
        <v>9.3267946332186002E-3</v>
      </c>
      <c r="DE18">
        <f t="shared" si="30"/>
        <v>9.3267946332186002E-3</v>
      </c>
      <c r="DF18">
        <f t="shared" si="30"/>
        <v>9.3267946332186002E-3</v>
      </c>
      <c r="DG18">
        <f t="shared" si="30"/>
        <v>9.3267946332186002E-3</v>
      </c>
      <c r="DH18">
        <f t="shared" si="30"/>
        <v>9.3267946332186002E-3</v>
      </c>
      <c r="DI18">
        <f t="shared" si="30"/>
        <v>9.3267946332186002E-3</v>
      </c>
      <c r="DJ18">
        <f t="shared" si="30"/>
        <v>9.3267946332186002E-3</v>
      </c>
      <c r="DK18">
        <f t="shared" si="30"/>
        <v>9.3267946332186002E-3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18.474666666666668</v>
      </c>
      <c r="EG18">
        <v>18.474666666666668</v>
      </c>
      <c r="EH18">
        <v>18.474666666666668</v>
      </c>
      <c r="EI18">
        <v>18.474666666666668</v>
      </c>
      <c r="EJ18">
        <v>18.474666666666668</v>
      </c>
      <c r="EK18">
        <v>18.474666666666668</v>
      </c>
      <c r="EL18">
        <v>18.474666666666668</v>
      </c>
      <c r="EM18">
        <v>18.474666666666668</v>
      </c>
      <c r="EN18">
        <v>18.474666666666668</v>
      </c>
      <c r="EO18">
        <v>18.474666666666668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9.3678779051968114E-2</v>
      </c>
      <c r="FK18">
        <v>9.3678779051968114E-2</v>
      </c>
      <c r="FL18">
        <v>9.3678779051968114E-2</v>
      </c>
      <c r="FM18">
        <v>9.3678779051968114E-2</v>
      </c>
      <c r="FN18">
        <v>9.3678779051968114E-2</v>
      </c>
      <c r="FO18">
        <v>9.3678779051968114E-2</v>
      </c>
      <c r="FP18">
        <v>9.3678779051968114E-2</v>
      </c>
      <c r="FQ18">
        <v>9.3678779051968114E-2</v>
      </c>
      <c r="FR18">
        <v>9.3678779051968114E-2</v>
      </c>
      <c r="FS18">
        <v>9.3678779051968114E-2</v>
      </c>
    </row>
    <row r="19" spans="1:175" x14ac:dyDescent="0.3">
      <c r="A19" s="98"/>
      <c r="B19" s="3" t="s">
        <v>134</v>
      </c>
      <c r="C19" s="4" t="s">
        <v>171</v>
      </c>
      <c r="D19" s="2" t="s">
        <v>405</v>
      </c>
      <c r="E19" s="13">
        <f t="shared" si="5"/>
        <v>11</v>
      </c>
      <c r="F19" s="13">
        <v>1</v>
      </c>
      <c r="G19" s="13" t="s">
        <v>421</v>
      </c>
      <c r="H19">
        <f t="shared" si="29"/>
        <v>65700000</v>
      </c>
      <c r="I19" s="24" t="str">
        <f t="shared" ref="I19:I20" si="31">B35</f>
        <v>Reactant7</v>
      </c>
      <c r="J19">
        <v>0</v>
      </c>
      <c r="K19">
        <v>1</v>
      </c>
      <c r="L19">
        <v>1</v>
      </c>
      <c r="M19">
        <v>0</v>
      </c>
      <c r="N19">
        <v>0</v>
      </c>
      <c r="O19">
        <f t="shared" ref="O19:O20" si="32">O18</f>
        <v>20000</v>
      </c>
      <c r="P19">
        <v>6.57</v>
      </c>
      <c r="Q19">
        <v>6.57</v>
      </c>
      <c r="R19">
        <v>6.57</v>
      </c>
      <c r="S19">
        <v>6.57</v>
      </c>
      <c r="T19">
        <v>6.57</v>
      </c>
      <c r="U19">
        <v>6.57</v>
      </c>
      <c r="V19">
        <v>6.57</v>
      </c>
      <c r="W19">
        <v>6.57</v>
      </c>
      <c r="X19">
        <v>6.57</v>
      </c>
      <c r="Y19">
        <v>6.57</v>
      </c>
      <c r="Z19">
        <v>1.66</v>
      </c>
      <c r="AA19">
        <v>1.66</v>
      </c>
      <c r="AB19">
        <v>1.66</v>
      </c>
      <c r="AC19">
        <v>1.66</v>
      </c>
      <c r="AD19">
        <v>1.66</v>
      </c>
      <c r="AE19">
        <v>1.66</v>
      </c>
      <c r="AF19">
        <v>1.66</v>
      </c>
      <c r="AG19">
        <v>1.66</v>
      </c>
      <c r="AH19">
        <v>1.66</v>
      </c>
      <c r="AI19">
        <v>1.66</v>
      </c>
      <c r="AJ19">
        <v>1.1000000000000001</v>
      </c>
      <c r="AK19">
        <v>1.1000000000000001</v>
      </c>
      <c r="AL19">
        <v>1.1000000000000001</v>
      </c>
      <c r="AM19">
        <v>1.1000000000000001</v>
      </c>
      <c r="AN19">
        <v>1.1000000000000001</v>
      </c>
      <c r="AO19">
        <v>1.1000000000000001</v>
      </c>
      <c r="AP19">
        <v>1.1000000000000001</v>
      </c>
      <c r="AQ19">
        <v>1.1000000000000001</v>
      </c>
      <c r="AR19">
        <v>1.1000000000000001</v>
      </c>
      <c r="AS19">
        <v>1.1000000000000001</v>
      </c>
      <c r="AT19" s="60">
        <v>0.5</v>
      </c>
      <c r="AU19" s="60">
        <v>0.5</v>
      </c>
      <c r="AV19" s="60">
        <v>0.5</v>
      </c>
      <c r="AW19" s="60">
        <v>0.5</v>
      </c>
      <c r="AX19" s="60">
        <v>0.5</v>
      </c>
      <c r="AY19" s="60">
        <v>0.5</v>
      </c>
      <c r="AZ19" s="60">
        <v>0.5</v>
      </c>
      <c r="BA19" s="60">
        <v>0.5</v>
      </c>
      <c r="BB19" s="60">
        <v>0.5</v>
      </c>
      <c r="BC19" s="60">
        <v>0.5</v>
      </c>
      <c r="BD19" s="60">
        <v>1</v>
      </c>
      <c r="BE19" s="60">
        <v>1</v>
      </c>
      <c r="BF19" s="60">
        <v>1</v>
      </c>
      <c r="BG19" s="60">
        <v>1</v>
      </c>
      <c r="BH19" s="60">
        <v>1</v>
      </c>
      <c r="BI19" s="60">
        <v>1</v>
      </c>
      <c r="BJ19" s="60">
        <v>1</v>
      </c>
      <c r="BK19" s="60">
        <v>1</v>
      </c>
      <c r="BL19" s="60">
        <v>1</v>
      </c>
      <c r="BM19" s="60">
        <v>1</v>
      </c>
      <c r="BN19" s="60">
        <v>1</v>
      </c>
      <c r="BO19" s="60">
        <v>1</v>
      </c>
      <c r="BP19" s="60">
        <v>1</v>
      </c>
      <c r="BQ19" s="60">
        <v>1</v>
      </c>
      <c r="BR19" s="60">
        <v>1</v>
      </c>
      <c r="BS19" s="60">
        <v>1</v>
      </c>
      <c r="BT19" s="60">
        <v>1</v>
      </c>
      <c r="BU19" s="60">
        <v>1</v>
      </c>
      <c r="BV19" s="60">
        <v>1</v>
      </c>
      <c r="BW19" s="60">
        <v>1</v>
      </c>
      <c r="BX19" s="57">
        <v>0.64</v>
      </c>
      <c r="BY19" s="57">
        <v>0.64</v>
      </c>
      <c r="BZ19" s="57">
        <v>0.64</v>
      </c>
      <c r="CA19" s="57">
        <v>0.64</v>
      </c>
      <c r="CB19" s="57">
        <v>0.64</v>
      </c>
      <c r="CC19" s="57">
        <v>0.64</v>
      </c>
      <c r="CD19" s="57">
        <v>0.64</v>
      </c>
      <c r="CE19" s="57">
        <v>0.64</v>
      </c>
      <c r="CF19" s="57">
        <v>0.64</v>
      </c>
      <c r="CG19" s="57">
        <v>0.64</v>
      </c>
      <c r="CH19">
        <v>15142.26</v>
      </c>
      <c r="CI19">
        <v>12113.81</v>
      </c>
      <c r="CJ19">
        <v>9085.35</v>
      </c>
      <c r="CK19">
        <v>15142.26</v>
      </c>
      <c r="CL19">
        <v>12113.81</v>
      </c>
      <c r="CM19">
        <v>9085.35</v>
      </c>
      <c r="CN19">
        <v>12113.81</v>
      </c>
      <c r="CO19">
        <v>15142.26</v>
      </c>
      <c r="CP19">
        <v>12113.81</v>
      </c>
      <c r="CQ19">
        <v>9085.35</v>
      </c>
      <c r="CR19">
        <v>1348.76</v>
      </c>
      <c r="CS19">
        <v>1167.05</v>
      </c>
      <c r="CT19">
        <v>985.35</v>
      </c>
      <c r="CU19">
        <v>1348.76</v>
      </c>
      <c r="CV19">
        <v>1167.05</v>
      </c>
      <c r="CW19">
        <v>985.35</v>
      </c>
      <c r="CX19">
        <v>1167.05</v>
      </c>
      <c r="CY19">
        <v>1348.76</v>
      </c>
      <c r="CZ19">
        <v>1167.05</v>
      </c>
      <c r="DA19">
        <v>985.35</v>
      </c>
      <c r="DB19">
        <f>4.04937222588/1000</f>
        <v>4.0493722258800003E-3</v>
      </c>
      <c r="DC19">
        <f t="shared" ref="DC19:DK19" si="33">4.04937222588/1000</f>
        <v>4.0493722258800003E-3</v>
      </c>
      <c r="DD19">
        <f t="shared" si="33"/>
        <v>4.0493722258800003E-3</v>
      </c>
      <c r="DE19">
        <f t="shared" si="33"/>
        <v>4.0493722258800003E-3</v>
      </c>
      <c r="DF19">
        <f t="shared" si="33"/>
        <v>4.0493722258800003E-3</v>
      </c>
      <c r="DG19">
        <f t="shared" si="33"/>
        <v>4.0493722258800003E-3</v>
      </c>
      <c r="DH19">
        <f t="shared" si="33"/>
        <v>4.0493722258800003E-3</v>
      </c>
      <c r="DI19">
        <f t="shared" si="33"/>
        <v>4.0493722258800003E-3</v>
      </c>
      <c r="DJ19">
        <f t="shared" si="33"/>
        <v>4.0493722258800003E-3</v>
      </c>
      <c r="DK19">
        <f t="shared" si="33"/>
        <v>4.0493722258800003E-3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18.474666666666668</v>
      </c>
      <c r="EG19">
        <v>18.474666666666668</v>
      </c>
      <c r="EH19">
        <v>18.474666666666668</v>
      </c>
      <c r="EI19">
        <v>18.474666666666668</v>
      </c>
      <c r="EJ19">
        <v>18.474666666666668</v>
      </c>
      <c r="EK19">
        <v>18.474666666666668</v>
      </c>
      <c r="EL19">
        <v>18.474666666666668</v>
      </c>
      <c r="EM19">
        <v>18.474666666666668</v>
      </c>
      <c r="EN19">
        <v>18.474666666666668</v>
      </c>
      <c r="EO19">
        <v>18.474666666666668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9.3678779051968114E-2</v>
      </c>
      <c r="FK19">
        <v>9.3678779051968114E-2</v>
      </c>
      <c r="FL19">
        <v>9.3678779051968114E-2</v>
      </c>
      <c r="FM19">
        <v>9.3678779051968114E-2</v>
      </c>
      <c r="FN19">
        <v>9.3678779051968114E-2</v>
      </c>
      <c r="FO19">
        <v>9.3678779051968114E-2</v>
      </c>
      <c r="FP19">
        <v>9.3678779051968114E-2</v>
      </c>
      <c r="FQ19">
        <v>9.3678779051968114E-2</v>
      </c>
      <c r="FR19">
        <v>9.3678779051968114E-2</v>
      </c>
      <c r="FS19">
        <v>9.3678779051968114E-2</v>
      </c>
    </row>
    <row r="20" spans="1:175" x14ac:dyDescent="0.3">
      <c r="A20" s="98"/>
      <c r="B20" s="3" t="s">
        <v>134</v>
      </c>
      <c r="C20" s="4" t="s">
        <v>171</v>
      </c>
      <c r="D20" s="2" t="s">
        <v>406</v>
      </c>
      <c r="E20" s="13">
        <f t="shared" si="5"/>
        <v>12</v>
      </c>
      <c r="F20" s="13">
        <v>1</v>
      </c>
      <c r="G20" s="13" t="s">
        <v>422</v>
      </c>
      <c r="H20">
        <f t="shared" si="29"/>
        <v>65700000</v>
      </c>
      <c r="I20" s="24" t="str">
        <f t="shared" si="31"/>
        <v>Reactant8</v>
      </c>
      <c r="J20">
        <v>0</v>
      </c>
      <c r="K20">
        <v>1</v>
      </c>
      <c r="L20">
        <v>1</v>
      </c>
      <c r="M20">
        <v>0</v>
      </c>
      <c r="N20">
        <v>0</v>
      </c>
      <c r="O20">
        <f t="shared" si="32"/>
        <v>20000</v>
      </c>
      <c r="P20">
        <v>8.5399999999999991</v>
      </c>
      <c r="Q20">
        <v>8.5399999999999991</v>
      </c>
      <c r="R20">
        <v>8.5399999999999991</v>
      </c>
      <c r="S20">
        <v>8.5399999999999991</v>
      </c>
      <c r="T20">
        <v>8.5399999999999991</v>
      </c>
      <c r="U20">
        <v>8.5399999999999991</v>
      </c>
      <c r="V20">
        <v>8.5399999999999991</v>
      </c>
      <c r="W20">
        <v>8.5399999999999991</v>
      </c>
      <c r="X20">
        <v>8.5399999999999991</v>
      </c>
      <c r="Y20">
        <v>8.5399999999999991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2.6</v>
      </c>
      <c r="AK20">
        <v>2.6</v>
      </c>
      <c r="AL20">
        <v>2.6</v>
      </c>
      <c r="AM20">
        <v>2.6</v>
      </c>
      <c r="AN20">
        <v>2.6</v>
      </c>
      <c r="AO20">
        <v>2.6</v>
      </c>
      <c r="AP20">
        <v>2.6</v>
      </c>
      <c r="AQ20">
        <v>2.6</v>
      </c>
      <c r="AR20">
        <v>2.6</v>
      </c>
      <c r="AS20">
        <v>2.6</v>
      </c>
      <c r="AT20" s="60">
        <v>0.5</v>
      </c>
      <c r="AU20" s="60">
        <v>0.5</v>
      </c>
      <c r="AV20" s="60">
        <v>0.5</v>
      </c>
      <c r="AW20" s="60">
        <v>0.5</v>
      </c>
      <c r="AX20" s="60">
        <v>0.5</v>
      </c>
      <c r="AY20" s="60">
        <v>0.5</v>
      </c>
      <c r="AZ20" s="60">
        <v>0.5</v>
      </c>
      <c r="BA20" s="60">
        <v>0.5</v>
      </c>
      <c r="BB20" s="60">
        <v>0.5</v>
      </c>
      <c r="BC20" s="60">
        <v>0.5</v>
      </c>
      <c r="BD20" s="60">
        <v>1</v>
      </c>
      <c r="BE20" s="60">
        <v>1</v>
      </c>
      <c r="BF20" s="60">
        <v>1</v>
      </c>
      <c r="BG20" s="60">
        <v>1</v>
      </c>
      <c r="BH20" s="60">
        <v>1</v>
      </c>
      <c r="BI20" s="60">
        <v>1</v>
      </c>
      <c r="BJ20" s="60">
        <v>1</v>
      </c>
      <c r="BK20" s="60">
        <v>1</v>
      </c>
      <c r="BL20" s="60">
        <v>1</v>
      </c>
      <c r="BM20" s="60">
        <v>1</v>
      </c>
      <c r="BN20" s="60">
        <v>1</v>
      </c>
      <c r="BO20" s="60">
        <v>1</v>
      </c>
      <c r="BP20" s="60">
        <v>1</v>
      </c>
      <c r="BQ20" s="60">
        <v>1</v>
      </c>
      <c r="BR20" s="60">
        <v>1</v>
      </c>
      <c r="BS20" s="60">
        <v>1</v>
      </c>
      <c r="BT20" s="60">
        <v>1</v>
      </c>
      <c r="BU20" s="60">
        <v>1</v>
      </c>
      <c r="BV20" s="60">
        <v>1</v>
      </c>
      <c r="BW20" s="60">
        <v>1</v>
      </c>
      <c r="BX20" s="57">
        <v>0.83</v>
      </c>
      <c r="BY20" s="57">
        <v>0.83</v>
      </c>
      <c r="BZ20" s="57">
        <v>0.83</v>
      </c>
      <c r="CA20" s="57">
        <v>0.83</v>
      </c>
      <c r="CB20" s="57">
        <v>0.83</v>
      </c>
      <c r="CC20" s="57">
        <v>0.83</v>
      </c>
      <c r="CD20" s="57">
        <v>0.83</v>
      </c>
      <c r="CE20" s="57">
        <v>0.83</v>
      </c>
      <c r="CF20" s="57">
        <v>0.83</v>
      </c>
      <c r="CG20" s="57">
        <v>0.83</v>
      </c>
      <c r="CH20">
        <v>20860.61</v>
      </c>
      <c r="CI20">
        <v>16688.490000000002</v>
      </c>
      <c r="CJ20">
        <v>12516.37</v>
      </c>
      <c r="CK20">
        <v>20860.61</v>
      </c>
      <c r="CL20">
        <v>16688.490000000002</v>
      </c>
      <c r="CM20">
        <v>12516.37</v>
      </c>
      <c r="CN20">
        <v>16688.490000000002</v>
      </c>
      <c r="CO20">
        <v>20860.61</v>
      </c>
      <c r="CP20">
        <v>16688.490000000002</v>
      </c>
      <c r="CQ20">
        <v>12516.37</v>
      </c>
      <c r="CR20">
        <v>1698.86</v>
      </c>
      <c r="CS20">
        <v>1448.53</v>
      </c>
      <c r="CT20">
        <v>1198.2</v>
      </c>
      <c r="CU20">
        <v>1698.86</v>
      </c>
      <c r="CV20">
        <v>1448.53</v>
      </c>
      <c r="CW20">
        <v>1198.2</v>
      </c>
      <c r="CX20">
        <v>1448.53</v>
      </c>
      <c r="CY20">
        <v>1698.86</v>
      </c>
      <c r="CZ20">
        <v>1448.53</v>
      </c>
      <c r="DA20">
        <v>1198.2</v>
      </c>
      <c r="DB20">
        <f>12.2828620590846/1000</f>
        <v>1.22828620590846E-2</v>
      </c>
      <c r="DC20">
        <f t="shared" ref="DC20:DK20" si="34">12.2828620590846/1000</f>
        <v>1.22828620590846E-2</v>
      </c>
      <c r="DD20">
        <f t="shared" si="34"/>
        <v>1.22828620590846E-2</v>
      </c>
      <c r="DE20">
        <f t="shared" si="34"/>
        <v>1.22828620590846E-2</v>
      </c>
      <c r="DF20">
        <f t="shared" si="34"/>
        <v>1.22828620590846E-2</v>
      </c>
      <c r="DG20">
        <f t="shared" si="34"/>
        <v>1.22828620590846E-2</v>
      </c>
      <c r="DH20">
        <f t="shared" si="34"/>
        <v>1.22828620590846E-2</v>
      </c>
      <c r="DI20">
        <f t="shared" si="34"/>
        <v>1.22828620590846E-2</v>
      </c>
      <c r="DJ20">
        <f t="shared" si="34"/>
        <v>1.22828620590846E-2</v>
      </c>
      <c r="DK20">
        <f t="shared" si="34"/>
        <v>1.22828620590846E-2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18.474666666666668</v>
      </c>
      <c r="EG20">
        <v>18.474666666666668</v>
      </c>
      <c r="EH20">
        <v>18.474666666666668</v>
      </c>
      <c r="EI20">
        <v>18.474666666666668</v>
      </c>
      <c r="EJ20">
        <v>18.474666666666668</v>
      </c>
      <c r="EK20">
        <v>18.474666666666668</v>
      </c>
      <c r="EL20">
        <v>18.474666666666668</v>
      </c>
      <c r="EM20">
        <v>18.474666666666668</v>
      </c>
      <c r="EN20">
        <v>18.474666666666668</v>
      </c>
      <c r="EO20">
        <v>18.474666666666668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9.3678779051968114E-2</v>
      </c>
      <c r="FK20">
        <v>9.3678779051968114E-2</v>
      </c>
      <c r="FL20">
        <v>9.3678779051968114E-2</v>
      </c>
      <c r="FM20">
        <v>9.3678779051968114E-2</v>
      </c>
      <c r="FN20">
        <v>9.3678779051968114E-2</v>
      </c>
      <c r="FO20">
        <v>9.3678779051968114E-2</v>
      </c>
      <c r="FP20">
        <v>9.3678779051968114E-2</v>
      </c>
      <c r="FQ20">
        <v>9.3678779051968114E-2</v>
      </c>
      <c r="FR20">
        <v>9.3678779051968114E-2</v>
      </c>
      <c r="FS20">
        <v>9.3678779051968114E-2</v>
      </c>
    </row>
    <row r="21" spans="1:175" s="72" customFormat="1" x14ac:dyDescent="0.3">
      <c r="A21" s="98"/>
      <c r="B21" s="77" t="s">
        <v>135</v>
      </c>
      <c r="C21" s="78" t="s">
        <v>171</v>
      </c>
      <c r="D21" s="71" t="s">
        <v>94</v>
      </c>
      <c r="E21" s="70">
        <f t="shared" si="5"/>
        <v>13</v>
      </c>
      <c r="F21" s="70">
        <v>1</v>
      </c>
      <c r="G21" s="70" t="s">
        <v>90</v>
      </c>
      <c r="H21" s="79">
        <f>(2.2/(18.6/3.6))*10^9</f>
        <v>425806451.61290324</v>
      </c>
      <c r="I21" s="80" t="str">
        <f>B37</f>
        <v>Reactant9</v>
      </c>
      <c r="J21" s="72">
        <v>0</v>
      </c>
      <c r="K21" s="72">
        <v>1</v>
      </c>
      <c r="L21" s="72">
        <v>0</v>
      </c>
      <c r="M21" s="72">
        <v>0</v>
      </c>
      <c r="N21" s="72">
        <v>0</v>
      </c>
      <c r="O21" s="72">
        <v>20000</v>
      </c>
      <c r="P21" s="81">
        <f>1/0.18</f>
        <v>5.5555555555555554</v>
      </c>
      <c r="Q21" s="81">
        <f>1/0.18</f>
        <v>5.5555555555555554</v>
      </c>
      <c r="R21" s="81">
        <f t="shared" ref="R21:Y22" si="35">1/0.18</f>
        <v>5.5555555555555554</v>
      </c>
      <c r="S21" s="81">
        <f t="shared" si="35"/>
        <v>5.5555555555555554</v>
      </c>
      <c r="T21" s="81">
        <f t="shared" si="35"/>
        <v>5.5555555555555554</v>
      </c>
      <c r="U21" s="81">
        <f t="shared" si="35"/>
        <v>5.5555555555555554</v>
      </c>
      <c r="V21" s="81">
        <f t="shared" si="35"/>
        <v>5.5555555555555554</v>
      </c>
      <c r="W21" s="81">
        <f t="shared" si="35"/>
        <v>5.5555555555555554</v>
      </c>
      <c r="X21" s="81">
        <f t="shared" si="35"/>
        <v>5.5555555555555554</v>
      </c>
      <c r="Y21" s="81">
        <f t="shared" si="35"/>
        <v>5.5555555555555554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82">
        <v>0.4</v>
      </c>
      <c r="AU21" s="82">
        <v>0.4</v>
      </c>
      <c r="AV21" s="82">
        <v>0.1</v>
      </c>
      <c r="AW21" s="82">
        <v>0.4</v>
      </c>
      <c r="AX21" s="82">
        <v>0.2</v>
      </c>
      <c r="AY21" s="82">
        <v>0.1</v>
      </c>
      <c r="AZ21" s="82">
        <v>0.1</v>
      </c>
      <c r="BA21" s="82">
        <v>0.1</v>
      </c>
      <c r="BB21" s="82">
        <v>0.1</v>
      </c>
      <c r="BC21" s="82">
        <v>0.1</v>
      </c>
      <c r="BD21" s="82">
        <v>0.2</v>
      </c>
      <c r="BE21" s="82">
        <v>0.2</v>
      </c>
      <c r="BF21" s="82">
        <v>0.2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0.2</v>
      </c>
      <c r="BO21" s="82">
        <v>0.2</v>
      </c>
      <c r="BP21" s="82">
        <v>0.2</v>
      </c>
      <c r="BQ21" s="82">
        <v>1</v>
      </c>
      <c r="BR21" s="82">
        <v>1</v>
      </c>
      <c r="BS21" s="82">
        <v>1</v>
      </c>
      <c r="BT21" s="82">
        <v>1</v>
      </c>
      <c r="BU21" s="82">
        <v>1</v>
      </c>
      <c r="BV21" s="82">
        <v>1</v>
      </c>
      <c r="BW21" s="82">
        <v>1</v>
      </c>
      <c r="BX21" s="72">
        <v>0.47</v>
      </c>
      <c r="BY21" s="72">
        <v>0.47</v>
      </c>
      <c r="BZ21" s="72">
        <v>0.47</v>
      </c>
      <c r="CA21" s="72">
        <v>0.45</v>
      </c>
      <c r="CB21" s="72">
        <v>0.45</v>
      </c>
      <c r="CC21" s="72">
        <v>0.45</v>
      </c>
      <c r="CD21" s="72">
        <v>0.45</v>
      </c>
      <c r="CE21" s="72">
        <v>0.45</v>
      </c>
      <c r="CF21" s="72">
        <v>0.45</v>
      </c>
      <c r="CG21" s="72">
        <v>0.45</v>
      </c>
      <c r="CH21" s="72">
        <v>18057.96</v>
      </c>
      <c r="CI21" s="72">
        <v>18057.96</v>
      </c>
      <c r="CJ21" s="72">
        <v>18057.96</v>
      </c>
      <c r="CK21" s="72">
        <v>6662.16</v>
      </c>
      <c r="CL21" s="72">
        <v>6662.16</v>
      </c>
      <c r="CM21" s="72">
        <v>6662.16</v>
      </c>
      <c r="CN21" s="72">
        <f>(CL21+CP21)/2</f>
        <v>5873.2199999999993</v>
      </c>
      <c r="CO21" s="72">
        <v>5084.28</v>
      </c>
      <c r="CP21" s="72">
        <v>5084.28</v>
      </c>
      <c r="CQ21" s="72">
        <v>5084.28</v>
      </c>
      <c r="CR21" s="72">
        <f t="shared" ref="CR21:DA22" si="36">CH21*4%</f>
        <v>722.3184</v>
      </c>
      <c r="CS21" s="72">
        <f t="shared" si="36"/>
        <v>722.3184</v>
      </c>
      <c r="CT21" s="72">
        <f t="shared" si="36"/>
        <v>722.3184</v>
      </c>
      <c r="CU21" s="72">
        <f t="shared" si="36"/>
        <v>266.4864</v>
      </c>
      <c r="CV21" s="72">
        <f t="shared" si="36"/>
        <v>266.4864</v>
      </c>
      <c r="CW21" s="72">
        <f t="shared" si="36"/>
        <v>266.4864</v>
      </c>
      <c r="CX21" s="72">
        <f t="shared" si="36"/>
        <v>234.92879999999997</v>
      </c>
      <c r="CY21" s="72">
        <f t="shared" si="36"/>
        <v>203.37119999999999</v>
      </c>
      <c r="CZ21" s="72">
        <f t="shared" si="36"/>
        <v>203.37119999999999</v>
      </c>
      <c r="DA21" s="72">
        <f t="shared" si="36"/>
        <v>203.37119999999999</v>
      </c>
      <c r="DB21" s="72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0</v>
      </c>
      <c r="DJ21" s="72">
        <v>0</v>
      </c>
      <c r="DK21" s="72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72">
        <v>0</v>
      </c>
      <c r="EA21" s="72">
        <v>0</v>
      </c>
      <c r="EB21" s="72">
        <v>0</v>
      </c>
      <c r="EC21" s="72">
        <v>0</v>
      </c>
      <c r="ED21" s="72">
        <v>0</v>
      </c>
      <c r="EE21" s="72">
        <v>0</v>
      </c>
      <c r="EF21" s="72">
        <v>22.714018844166667</v>
      </c>
      <c r="EG21" s="72">
        <v>22.714018844166667</v>
      </c>
      <c r="EH21" s="72">
        <v>22.714018844166667</v>
      </c>
      <c r="EI21" s="72">
        <v>0</v>
      </c>
      <c r="EJ21" s="72">
        <f t="shared" si="6"/>
        <v>22.714018844166667</v>
      </c>
      <c r="EK21" s="72">
        <v>0</v>
      </c>
      <c r="EL21" s="72">
        <f t="shared" si="7"/>
        <v>22.714018844166667</v>
      </c>
      <c r="EM21" s="72">
        <v>0</v>
      </c>
      <c r="EN21" s="72">
        <f t="shared" si="12"/>
        <v>22.714018844166667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f t="shared" si="9"/>
        <v>0</v>
      </c>
      <c r="EU21" s="72">
        <v>0</v>
      </c>
      <c r="EV21" s="72">
        <f t="shared" si="10"/>
        <v>0</v>
      </c>
      <c r="EW21" s="72">
        <v>0</v>
      </c>
      <c r="EX21" s="72">
        <f t="shared" si="11"/>
        <v>0</v>
      </c>
      <c r="EY21" s="72">
        <v>0</v>
      </c>
      <c r="EZ21" s="72">
        <v>0</v>
      </c>
      <c r="FA21" s="72">
        <v>0</v>
      </c>
      <c r="FB21" s="72">
        <v>0</v>
      </c>
      <c r="FC21" s="72">
        <v>0</v>
      </c>
      <c r="FD21" s="72">
        <v>0</v>
      </c>
      <c r="FE21" s="72">
        <v>0</v>
      </c>
      <c r="FF21" s="72">
        <v>0</v>
      </c>
      <c r="FG21" s="72">
        <v>0</v>
      </c>
      <c r="FH21" s="72">
        <v>0</v>
      </c>
      <c r="FI21" s="72">
        <v>0</v>
      </c>
      <c r="FJ21" s="83">
        <f>1/11.3</f>
        <v>8.8495575221238937E-2</v>
      </c>
      <c r="FK21" s="83">
        <f t="shared" ref="FK21:FS22" si="37">1/11.3</f>
        <v>8.8495575221238937E-2</v>
      </c>
      <c r="FL21" s="83">
        <f t="shared" si="37"/>
        <v>8.8495575221238937E-2</v>
      </c>
      <c r="FM21" s="83">
        <f t="shared" si="37"/>
        <v>8.8495575221238937E-2</v>
      </c>
      <c r="FN21" s="83">
        <f t="shared" si="37"/>
        <v>8.8495575221238937E-2</v>
      </c>
      <c r="FO21" s="83">
        <f t="shared" si="37"/>
        <v>8.8495575221238937E-2</v>
      </c>
      <c r="FP21" s="83">
        <f t="shared" si="37"/>
        <v>8.8495575221238937E-2</v>
      </c>
      <c r="FQ21" s="83">
        <f t="shared" si="37"/>
        <v>8.8495575221238937E-2</v>
      </c>
      <c r="FR21" s="83">
        <f t="shared" si="37"/>
        <v>8.8495575221238937E-2</v>
      </c>
      <c r="FS21" s="83">
        <f t="shared" si="37"/>
        <v>8.8495575221238937E-2</v>
      </c>
    </row>
    <row r="22" spans="1:175" s="72" customFormat="1" x14ac:dyDescent="0.3">
      <c r="A22" s="98"/>
      <c r="B22" s="77" t="s">
        <v>135</v>
      </c>
      <c r="C22" s="78" t="s">
        <v>171</v>
      </c>
      <c r="D22" s="71" t="s">
        <v>95</v>
      </c>
      <c r="E22" s="70">
        <f>ROW(D22)-ROW($E$8)</f>
        <v>14</v>
      </c>
      <c r="F22" s="70">
        <v>1</v>
      </c>
      <c r="G22" s="70" t="s">
        <v>91</v>
      </c>
      <c r="H22" s="79">
        <f>(2.2/(18.6/3.6))*10^9</f>
        <v>425806451.61290324</v>
      </c>
      <c r="I22" s="80" t="str">
        <f>B37</f>
        <v>Reactant9</v>
      </c>
      <c r="J22" s="72">
        <v>0</v>
      </c>
      <c r="K22" s="72">
        <v>1</v>
      </c>
      <c r="L22" s="72">
        <v>0</v>
      </c>
      <c r="M22" s="72">
        <v>0</v>
      </c>
      <c r="N22" s="72">
        <v>0</v>
      </c>
      <c r="O22" s="72">
        <f>O21</f>
        <v>20000</v>
      </c>
      <c r="P22" s="81">
        <f t="shared" ref="P22:Q22" si="38">1/0.18</f>
        <v>5.5555555555555554</v>
      </c>
      <c r="Q22" s="81">
        <f t="shared" si="38"/>
        <v>5.5555555555555554</v>
      </c>
      <c r="R22" s="81">
        <f t="shared" si="35"/>
        <v>5.5555555555555554</v>
      </c>
      <c r="S22" s="81">
        <f t="shared" si="35"/>
        <v>5.5555555555555554</v>
      </c>
      <c r="T22" s="81">
        <f t="shared" si="35"/>
        <v>5.5555555555555554</v>
      </c>
      <c r="U22" s="81">
        <f t="shared" si="35"/>
        <v>5.5555555555555554</v>
      </c>
      <c r="V22" s="81">
        <f t="shared" si="35"/>
        <v>5.5555555555555554</v>
      </c>
      <c r="W22" s="81">
        <f t="shared" si="35"/>
        <v>5.5555555555555554</v>
      </c>
      <c r="X22" s="81">
        <f t="shared" si="35"/>
        <v>5.5555555555555554</v>
      </c>
      <c r="Y22" s="81">
        <f t="shared" si="35"/>
        <v>5.5555555555555554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82">
        <v>0.4</v>
      </c>
      <c r="AU22" s="82">
        <v>0.4</v>
      </c>
      <c r="AV22" s="82">
        <v>0.1</v>
      </c>
      <c r="AW22" s="82">
        <v>0.4</v>
      </c>
      <c r="AX22" s="82">
        <v>0.2</v>
      </c>
      <c r="AY22" s="82">
        <v>0.1</v>
      </c>
      <c r="AZ22" s="82">
        <v>0.1</v>
      </c>
      <c r="BA22" s="82">
        <v>0.1</v>
      </c>
      <c r="BB22" s="82">
        <v>0.1</v>
      </c>
      <c r="BC22" s="82">
        <v>0.1</v>
      </c>
      <c r="BD22" s="82">
        <v>0.2</v>
      </c>
      <c r="BE22" s="82">
        <v>0.2</v>
      </c>
      <c r="BF22" s="82">
        <v>0.2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0.2</v>
      </c>
      <c r="BO22" s="82">
        <v>0.2</v>
      </c>
      <c r="BP22" s="82">
        <v>0.2</v>
      </c>
      <c r="BQ22" s="82">
        <v>1</v>
      </c>
      <c r="BR22" s="82">
        <v>1</v>
      </c>
      <c r="BS22" s="82">
        <v>1</v>
      </c>
      <c r="BT22" s="82">
        <v>1</v>
      </c>
      <c r="BU22" s="82">
        <v>1</v>
      </c>
      <c r="BV22" s="82">
        <v>1</v>
      </c>
      <c r="BW22" s="82">
        <v>1</v>
      </c>
      <c r="BX22" s="72">
        <v>0.61</v>
      </c>
      <c r="BY22" s="72">
        <v>0.61</v>
      </c>
      <c r="BZ22" s="72">
        <v>0.61</v>
      </c>
      <c r="CA22" s="72">
        <v>0.59</v>
      </c>
      <c r="CB22" s="72">
        <v>0.59</v>
      </c>
      <c r="CC22" s="72">
        <v>0.59</v>
      </c>
      <c r="CD22" s="72">
        <v>0.59</v>
      </c>
      <c r="CE22" s="72">
        <v>0.59</v>
      </c>
      <c r="CF22" s="72">
        <v>0.59</v>
      </c>
      <c r="CG22" s="72">
        <v>0.59</v>
      </c>
      <c r="CH22" s="72">
        <v>18057.96</v>
      </c>
      <c r="CI22" s="72">
        <v>18057.96</v>
      </c>
      <c r="CJ22" s="72">
        <v>18057.96</v>
      </c>
      <c r="CK22" s="72">
        <v>6662.16</v>
      </c>
      <c r="CL22" s="72">
        <v>6662.16</v>
      </c>
      <c r="CM22" s="72">
        <v>6662.16</v>
      </c>
      <c r="CN22" s="72">
        <f>(CL22+CP22)/2</f>
        <v>5873.2199999999993</v>
      </c>
      <c r="CO22" s="72">
        <v>5084.28</v>
      </c>
      <c r="CP22" s="72">
        <v>5084.28</v>
      </c>
      <c r="CQ22" s="72">
        <v>5084.28</v>
      </c>
      <c r="CR22" s="72">
        <f>CH22*4%</f>
        <v>722.3184</v>
      </c>
      <c r="CS22" s="72">
        <f t="shared" si="36"/>
        <v>722.3184</v>
      </c>
      <c r="CT22" s="72">
        <f t="shared" si="36"/>
        <v>722.3184</v>
      </c>
      <c r="CU22" s="72">
        <f t="shared" si="36"/>
        <v>266.4864</v>
      </c>
      <c r="CV22" s="72">
        <f t="shared" si="36"/>
        <v>266.4864</v>
      </c>
      <c r="CW22" s="72">
        <f t="shared" si="36"/>
        <v>266.4864</v>
      </c>
      <c r="CX22" s="72">
        <f t="shared" si="36"/>
        <v>234.92879999999997</v>
      </c>
      <c r="CY22" s="72">
        <f t="shared" si="36"/>
        <v>203.37119999999999</v>
      </c>
      <c r="CZ22" s="72">
        <f t="shared" si="36"/>
        <v>203.37119999999999</v>
      </c>
      <c r="DA22" s="72">
        <f t="shared" si="36"/>
        <v>203.37119999999999</v>
      </c>
      <c r="DB22" s="72">
        <v>0</v>
      </c>
      <c r="DC22" s="72">
        <v>0</v>
      </c>
      <c r="DD22" s="72">
        <v>0</v>
      </c>
      <c r="DE22" s="72">
        <v>0</v>
      </c>
      <c r="DF22" s="72">
        <v>0</v>
      </c>
      <c r="DG22" s="72">
        <v>0</v>
      </c>
      <c r="DH22" s="72">
        <v>0</v>
      </c>
      <c r="DI22" s="72">
        <v>0</v>
      </c>
      <c r="DJ22" s="72">
        <v>0</v>
      </c>
      <c r="DK22" s="72">
        <v>0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72">
        <v>0</v>
      </c>
      <c r="DS22" s="72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0</v>
      </c>
      <c r="DZ22" s="72">
        <v>0</v>
      </c>
      <c r="EA22" s="72">
        <v>0</v>
      </c>
      <c r="EB22" s="72">
        <v>0</v>
      </c>
      <c r="EC22" s="72">
        <v>0</v>
      </c>
      <c r="ED22" s="72">
        <v>0</v>
      </c>
      <c r="EE22" s="72">
        <v>0</v>
      </c>
      <c r="EF22" s="81">
        <v>22.714018844166667</v>
      </c>
      <c r="EG22" s="81">
        <v>22.714018844166667</v>
      </c>
      <c r="EH22" s="81">
        <v>22.714018844166667</v>
      </c>
      <c r="EI22" s="72">
        <v>0</v>
      </c>
      <c r="EJ22" s="72">
        <f t="shared" si="6"/>
        <v>22.714018844166667</v>
      </c>
      <c r="EK22" s="72">
        <v>0</v>
      </c>
      <c r="EL22" s="72">
        <f t="shared" si="7"/>
        <v>22.714018844166667</v>
      </c>
      <c r="EM22" s="72">
        <v>0</v>
      </c>
      <c r="EN22" s="72">
        <f t="shared" si="12"/>
        <v>22.714018844166667</v>
      </c>
      <c r="EO22" s="72">
        <v>0</v>
      </c>
      <c r="EP22" s="81">
        <v>0</v>
      </c>
      <c r="EQ22" s="81">
        <v>0</v>
      </c>
      <c r="ER22" s="81">
        <v>0</v>
      </c>
      <c r="ES22" s="72">
        <v>0</v>
      </c>
      <c r="ET22" s="72">
        <f t="shared" si="9"/>
        <v>0</v>
      </c>
      <c r="EU22" s="72">
        <v>0</v>
      </c>
      <c r="EV22" s="72">
        <f t="shared" si="10"/>
        <v>0</v>
      </c>
      <c r="EW22" s="72">
        <v>0</v>
      </c>
      <c r="EX22" s="72">
        <f t="shared" si="11"/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0</v>
      </c>
      <c r="FE22" s="72">
        <v>0</v>
      </c>
      <c r="FF22" s="72">
        <v>0</v>
      </c>
      <c r="FG22" s="72">
        <v>0</v>
      </c>
      <c r="FH22" s="72">
        <v>0</v>
      </c>
      <c r="FI22" s="72">
        <v>0</v>
      </c>
      <c r="FJ22" s="83">
        <f>1/11.3</f>
        <v>8.8495575221238937E-2</v>
      </c>
      <c r="FK22" s="83">
        <f t="shared" si="37"/>
        <v>8.8495575221238937E-2</v>
      </c>
      <c r="FL22" s="83">
        <f t="shared" si="37"/>
        <v>8.8495575221238937E-2</v>
      </c>
      <c r="FM22" s="83">
        <f t="shared" si="37"/>
        <v>8.8495575221238937E-2</v>
      </c>
      <c r="FN22" s="83">
        <f t="shared" si="37"/>
        <v>8.8495575221238937E-2</v>
      </c>
      <c r="FO22" s="83">
        <f t="shared" si="37"/>
        <v>8.8495575221238937E-2</v>
      </c>
      <c r="FP22" s="83">
        <f t="shared" si="37"/>
        <v>8.8495575221238937E-2</v>
      </c>
      <c r="FQ22" s="83">
        <f t="shared" si="37"/>
        <v>8.8495575221238937E-2</v>
      </c>
      <c r="FR22" s="83">
        <f t="shared" si="37"/>
        <v>8.8495575221238937E-2</v>
      </c>
      <c r="FS22" s="83">
        <f t="shared" si="37"/>
        <v>8.8495575221238937E-2</v>
      </c>
    </row>
    <row r="23" spans="1:175" x14ac:dyDescent="0.3">
      <c r="A23" s="98"/>
      <c r="B23" s="3" t="s">
        <v>135</v>
      </c>
      <c r="C23" s="4" t="s">
        <v>171</v>
      </c>
      <c r="D23" s="2" t="s">
        <v>251</v>
      </c>
      <c r="E23" s="9">
        <f>ROW(D23)-ROW($E$8)</f>
        <v>15</v>
      </c>
      <c r="F23" s="13">
        <v>1</v>
      </c>
      <c r="G23" s="13" t="s">
        <v>252</v>
      </c>
      <c r="H23" s="15">
        <f>(2.2/(120/3.6))*10^9</f>
        <v>66000000</v>
      </c>
      <c r="I23" s="24" t="str">
        <f>B38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f>O22</f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98"/>
      <c r="B24" s="25" t="s">
        <v>426</v>
      </c>
      <c r="C24" s="11" t="s">
        <v>277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39">CH24*0.03</f>
        <v>4.8396239999999997</v>
      </c>
      <c r="CS24">
        <f t="shared" si="39"/>
        <v>4.4363219999999997</v>
      </c>
      <c r="CT24">
        <f t="shared" si="39"/>
        <v>4.0330199999999996</v>
      </c>
      <c r="CU24">
        <f t="shared" si="39"/>
        <v>4.4363219999999997</v>
      </c>
      <c r="CV24">
        <f t="shared" si="39"/>
        <v>4.0330199999999996</v>
      </c>
      <c r="CW24">
        <f t="shared" si="39"/>
        <v>4.0330199999999996</v>
      </c>
      <c r="CX24">
        <f t="shared" si="39"/>
        <v>4.0330199999999996</v>
      </c>
      <c r="CY24">
        <f t="shared" si="39"/>
        <v>4.0330199999999996</v>
      </c>
      <c r="CZ24">
        <f t="shared" si="39"/>
        <v>4.0330199999999996</v>
      </c>
      <c r="DA24">
        <f t="shared" si="39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98"/>
      <c r="B25" s="25" t="str">
        <f>B24</f>
        <v>Reactant11</v>
      </c>
      <c r="C25" s="11" t="s">
        <v>277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39"/>
        <v>4.0330199999999996</v>
      </c>
      <c r="CS25">
        <f t="shared" si="39"/>
        <v>3.6297947999999995</v>
      </c>
      <c r="CT25">
        <f t="shared" si="39"/>
        <v>3.2265695999999999</v>
      </c>
      <c r="CU25">
        <f t="shared" si="39"/>
        <v>3.6297947999999995</v>
      </c>
      <c r="CV25">
        <f t="shared" si="39"/>
        <v>3.2265695999999999</v>
      </c>
      <c r="CW25">
        <f t="shared" si="39"/>
        <v>3.2265695999999999</v>
      </c>
      <c r="CX25">
        <f t="shared" si="39"/>
        <v>3.2265695999999999</v>
      </c>
      <c r="CY25">
        <f t="shared" si="39"/>
        <v>3.2265695999999999</v>
      </c>
      <c r="CZ25">
        <f t="shared" si="39"/>
        <v>3.2265695999999999</v>
      </c>
      <c r="DA25">
        <f t="shared" si="39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98"/>
      <c r="B26" s="25" t="str">
        <f>B24</f>
        <v>Reactant11</v>
      </c>
      <c r="C26" s="11" t="s">
        <v>277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39"/>
        <v>2.4199272000000001</v>
      </c>
      <c r="CS26">
        <f t="shared" si="39"/>
        <v>2.1779346000000004</v>
      </c>
      <c r="CT26">
        <f t="shared" si="39"/>
        <v>1.9359420000000001</v>
      </c>
      <c r="CU26">
        <f t="shared" si="39"/>
        <v>2.1779346000000004</v>
      </c>
      <c r="CV26">
        <f t="shared" si="39"/>
        <v>1.9359420000000001</v>
      </c>
      <c r="CW26">
        <f t="shared" si="39"/>
        <v>1.9359420000000001</v>
      </c>
      <c r="CX26">
        <f t="shared" si="39"/>
        <v>1.9359420000000001</v>
      </c>
      <c r="CY26">
        <f t="shared" si="39"/>
        <v>1.9359420000000001</v>
      </c>
      <c r="CZ26">
        <f t="shared" si="39"/>
        <v>1.9359420000000001</v>
      </c>
      <c r="DA26">
        <f t="shared" si="39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98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 s="27">
        <f t="shared" ref="P27:Y31" si="40">(1/9)*0.8</f>
        <v>8.8888888888888892E-2</v>
      </c>
      <c r="Q27">
        <f t="shared" si="40"/>
        <v>8.8888888888888892E-2</v>
      </c>
      <c r="R27">
        <f t="shared" si="40"/>
        <v>8.8888888888888892E-2</v>
      </c>
      <c r="S27">
        <f t="shared" si="40"/>
        <v>8.8888888888888892E-2</v>
      </c>
      <c r="T27">
        <f t="shared" si="40"/>
        <v>8.8888888888888892E-2</v>
      </c>
      <c r="U27">
        <f t="shared" si="40"/>
        <v>8.8888888888888892E-2</v>
      </c>
      <c r="V27">
        <f t="shared" si="40"/>
        <v>8.8888888888888892E-2</v>
      </c>
      <c r="W27">
        <f t="shared" si="40"/>
        <v>8.8888888888888892E-2</v>
      </c>
      <c r="X27">
        <f t="shared" si="40"/>
        <v>8.8888888888888892E-2</v>
      </c>
      <c r="Y27">
        <f t="shared" si="40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41">10%*CH27</f>
        <v>5844.0827173081707</v>
      </c>
      <c r="CS27">
        <f t="shared" si="41"/>
        <v>5500</v>
      </c>
      <c r="CT27">
        <f t="shared" si="41"/>
        <v>5262.9637979510735</v>
      </c>
      <c r="CU27">
        <f t="shared" si="41"/>
        <v>3984</v>
      </c>
      <c r="CV27">
        <f t="shared" si="41"/>
        <v>3984</v>
      </c>
      <c r="CW27">
        <f t="shared" si="41"/>
        <v>3984</v>
      </c>
      <c r="CX27">
        <f t="shared" si="41"/>
        <v>3237</v>
      </c>
      <c r="CY27">
        <f t="shared" ref="CY27:DA27" si="42">10%*CO27</f>
        <v>2490</v>
      </c>
      <c r="CZ27">
        <f t="shared" si="42"/>
        <v>2490</v>
      </c>
      <c r="DA27">
        <f t="shared" si="42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43">1/11.3</f>
        <v>8.8495575221238937E-2</v>
      </c>
      <c r="FL27" s="51">
        <f t="shared" si="43"/>
        <v>8.8495575221238937E-2</v>
      </c>
      <c r="FM27" s="51">
        <f t="shared" si="43"/>
        <v>8.8495575221238937E-2</v>
      </c>
      <c r="FN27" s="51">
        <f t="shared" si="43"/>
        <v>8.8495575221238937E-2</v>
      </c>
      <c r="FO27" s="51">
        <f t="shared" si="43"/>
        <v>8.8495575221238937E-2</v>
      </c>
      <c r="FP27" s="51">
        <f t="shared" si="43"/>
        <v>8.8495575221238937E-2</v>
      </c>
      <c r="FQ27" s="51">
        <f t="shared" si="43"/>
        <v>8.8495575221238937E-2</v>
      </c>
      <c r="FR27" s="51">
        <f t="shared" si="43"/>
        <v>8.8495575221238937E-2</v>
      </c>
      <c r="FS27" s="51">
        <f t="shared" si="43"/>
        <v>8.8495575221238937E-2</v>
      </c>
    </row>
    <row r="28" spans="1:175" x14ac:dyDescent="0.3">
      <c r="A28" s="98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40"/>
        <v>8.8888888888888892E-2</v>
      </c>
      <c r="Q28">
        <f t="shared" si="40"/>
        <v>8.8888888888888892E-2</v>
      </c>
      <c r="R28">
        <f t="shared" si="40"/>
        <v>8.8888888888888892E-2</v>
      </c>
      <c r="S28">
        <f t="shared" si="40"/>
        <v>8.8888888888888892E-2</v>
      </c>
      <c r="T28">
        <f t="shared" si="40"/>
        <v>8.8888888888888892E-2</v>
      </c>
      <c r="U28">
        <f t="shared" si="40"/>
        <v>8.8888888888888892E-2</v>
      </c>
      <c r="V28">
        <f t="shared" si="40"/>
        <v>8.8888888888888892E-2</v>
      </c>
      <c r="W28">
        <f t="shared" si="40"/>
        <v>8.8888888888888892E-2</v>
      </c>
      <c r="X28">
        <f t="shared" si="40"/>
        <v>8.8888888888888892E-2</v>
      </c>
      <c r="Y28">
        <f t="shared" si="40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37.9</v>
      </c>
      <c r="BY28" s="1">
        <v>37.9</v>
      </c>
      <c r="BZ28" s="1">
        <v>37.9</v>
      </c>
      <c r="CA28" s="1">
        <v>37.9</v>
      </c>
      <c r="CB28" s="1">
        <v>37.9</v>
      </c>
      <c r="CC28" s="1">
        <v>37.9</v>
      </c>
      <c r="CD28" s="1">
        <v>37.9</v>
      </c>
      <c r="CE28" s="1">
        <v>37.9</v>
      </c>
      <c r="CF28" s="1">
        <v>37.9</v>
      </c>
      <c r="CG28" s="1">
        <v>37.9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43"/>
        <v>8.8495575221238937E-2</v>
      </c>
      <c r="FL28" s="51">
        <f t="shared" si="43"/>
        <v>8.8495575221238937E-2</v>
      </c>
      <c r="FM28" s="51">
        <f t="shared" si="43"/>
        <v>8.8495575221238937E-2</v>
      </c>
      <c r="FN28" s="51">
        <f t="shared" si="43"/>
        <v>8.8495575221238937E-2</v>
      </c>
      <c r="FO28" s="51">
        <f t="shared" si="43"/>
        <v>8.8495575221238937E-2</v>
      </c>
      <c r="FP28" s="51">
        <f t="shared" si="43"/>
        <v>8.8495575221238937E-2</v>
      </c>
      <c r="FQ28" s="51">
        <f t="shared" si="43"/>
        <v>8.8495575221238937E-2</v>
      </c>
      <c r="FR28" s="51">
        <f t="shared" si="43"/>
        <v>8.8495575221238937E-2</v>
      </c>
      <c r="FS28" s="51">
        <f t="shared" si="43"/>
        <v>8.8495575221238937E-2</v>
      </c>
    </row>
    <row r="29" spans="1:175" x14ac:dyDescent="0.3">
      <c r="A29" s="98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40"/>
        <v>8.8888888888888892E-2</v>
      </c>
      <c r="Q29">
        <f t="shared" si="40"/>
        <v>8.8888888888888892E-2</v>
      </c>
      <c r="R29">
        <f t="shared" si="40"/>
        <v>8.8888888888888892E-2</v>
      </c>
      <c r="S29">
        <f t="shared" si="40"/>
        <v>8.8888888888888892E-2</v>
      </c>
      <c r="T29">
        <f t="shared" si="40"/>
        <v>8.8888888888888892E-2</v>
      </c>
      <c r="U29">
        <f t="shared" si="40"/>
        <v>8.8888888888888892E-2</v>
      </c>
      <c r="V29">
        <f t="shared" si="40"/>
        <v>8.8888888888888892E-2</v>
      </c>
      <c r="W29">
        <f t="shared" si="40"/>
        <v>8.8888888888888892E-2</v>
      </c>
      <c r="X29">
        <f t="shared" si="40"/>
        <v>8.8888888888888892E-2</v>
      </c>
      <c r="Y29">
        <f t="shared" si="40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43"/>
        <v>8.8495575221238937E-2</v>
      </c>
      <c r="FL29" s="51">
        <f t="shared" si="43"/>
        <v>8.8495575221238937E-2</v>
      </c>
      <c r="FM29" s="51">
        <f t="shared" si="43"/>
        <v>8.8495575221238937E-2</v>
      </c>
      <c r="FN29" s="51">
        <f t="shared" si="43"/>
        <v>8.8495575221238937E-2</v>
      </c>
      <c r="FO29" s="51">
        <f t="shared" si="43"/>
        <v>8.8495575221238937E-2</v>
      </c>
      <c r="FP29" s="51">
        <f t="shared" si="43"/>
        <v>8.8495575221238937E-2</v>
      </c>
      <c r="FQ29" s="51">
        <f t="shared" si="43"/>
        <v>8.8495575221238937E-2</v>
      </c>
      <c r="FR29" s="51">
        <f t="shared" si="43"/>
        <v>8.8495575221238937E-2</v>
      </c>
      <c r="FS29" s="51">
        <f t="shared" si="43"/>
        <v>8.8495575221238937E-2</v>
      </c>
    </row>
    <row r="30" spans="1:175" x14ac:dyDescent="0.3">
      <c r="A30" s="98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40"/>
        <v>8.8888888888888892E-2</v>
      </c>
      <c r="Q30">
        <f t="shared" si="40"/>
        <v>8.8888888888888892E-2</v>
      </c>
      <c r="R30">
        <f t="shared" si="40"/>
        <v>8.8888888888888892E-2</v>
      </c>
      <c r="S30">
        <f t="shared" si="40"/>
        <v>8.8888888888888892E-2</v>
      </c>
      <c r="T30">
        <f t="shared" si="40"/>
        <v>8.8888888888888892E-2</v>
      </c>
      <c r="U30">
        <f t="shared" si="40"/>
        <v>8.8888888888888892E-2</v>
      </c>
      <c r="V30">
        <f t="shared" si="40"/>
        <v>8.8888888888888892E-2</v>
      </c>
      <c r="W30">
        <f t="shared" si="40"/>
        <v>8.8888888888888892E-2</v>
      </c>
      <c r="X30">
        <f t="shared" si="40"/>
        <v>8.8888888888888892E-2</v>
      </c>
      <c r="Y30">
        <f t="shared" si="40"/>
        <v>8.8888888888888892E-2</v>
      </c>
      <c r="Z30">
        <f>Z27*0.75</f>
        <v>5.5965000000000007</v>
      </c>
      <c r="AA30">
        <f t="shared" ref="AA30:AI30" si="49">AA27*0.75</f>
        <v>5.3025000000000002</v>
      </c>
      <c r="AB30">
        <f t="shared" si="49"/>
        <v>5.0400000000000009</v>
      </c>
      <c r="AC30">
        <f t="shared" si="49"/>
        <v>4.2569999999999997</v>
      </c>
      <c r="AD30">
        <f t="shared" si="49"/>
        <v>4.2569999999999997</v>
      </c>
      <c r="AE30">
        <f t="shared" si="49"/>
        <v>4.2569999999999997</v>
      </c>
      <c r="AF30">
        <f t="shared" si="49"/>
        <v>3.4612500000000002</v>
      </c>
      <c r="AG30">
        <f t="shared" si="49"/>
        <v>2.7</v>
      </c>
      <c r="AH30">
        <f t="shared" si="49"/>
        <v>2.7</v>
      </c>
      <c r="AI30">
        <f t="shared" si="49"/>
        <v>2.7</v>
      </c>
      <c r="AJ30">
        <f>AJ27*0.75</f>
        <v>5.5965000000000007</v>
      </c>
      <c r="AK30">
        <f t="shared" ref="AK30:AS30" si="50">AK27*0.75</f>
        <v>5.3025000000000002</v>
      </c>
      <c r="AL30">
        <f t="shared" si="50"/>
        <v>5.0400000000000009</v>
      </c>
      <c r="AM30">
        <f t="shared" si="50"/>
        <v>4.2569999999999997</v>
      </c>
      <c r="AN30">
        <f t="shared" si="50"/>
        <v>4.2569999999999997</v>
      </c>
      <c r="AO30">
        <f t="shared" si="50"/>
        <v>4.2569999999999997</v>
      </c>
      <c r="AP30">
        <f t="shared" si="50"/>
        <v>3.4612500000000002</v>
      </c>
      <c r="AQ30">
        <f t="shared" si="50"/>
        <v>2.7</v>
      </c>
      <c r="AR30">
        <f t="shared" si="50"/>
        <v>2.7</v>
      </c>
      <c r="AS30">
        <f t="shared" si="50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49.449999999999996</v>
      </c>
      <c r="BY30" s="1">
        <f t="shared" ref="BY30:CG30" si="51">BY27*0.75+BY28*0.25</f>
        <v>48.1</v>
      </c>
      <c r="BZ30" s="1">
        <f t="shared" si="51"/>
        <v>46.975000000000001</v>
      </c>
      <c r="CA30" s="1">
        <f t="shared" si="51"/>
        <v>48.250000000000007</v>
      </c>
      <c r="CB30" s="1">
        <f t="shared" si="51"/>
        <v>46.824999999999996</v>
      </c>
      <c r="CC30" s="1">
        <f t="shared" si="51"/>
        <v>44.949999999999996</v>
      </c>
      <c r="CD30" s="1">
        <f t="shared" si="51"/>
        <v>46.524999999999999</v>
      </c>
      <c r="CE30" s="1">
        <f t="shared" si="51"/>
        <v>46.225000000000001</v>
      </c>
      <c r="CF30" s="1">
        <f t="shared" si="51"/>
        <v>46.225000000000001</v>
      </c>
      <c r="CG30" s="1">
        <f t="shared" si="51"/>
        <v>43.225000000000001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>
        <v>0</v>
      </c>
      <c r="DF30" s="1">
        <f t="shared" ref="DF30" si="64">DF27*0.75+DF28*0.25</f>
        <v>0</v>
      </c>
      <c r="DG30">
        <v>0</v>
      </c>
      <c r="DH30" s="1">
        <f t="shared" ref="DH30" si="65">DH27*0.75+DH28*0.25</f>
        <v>0</v>
      </c>
      <c r="DI30">
        <v>0</v>
      </c>
      <c r="DJ30" s="1">
        <f t="shared" ref="DJ30" si="66">DJ27*0.75+DJ28*0.25</f>
        <v>0</v>
      </c>
      <c r="DK30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>
        <v>0</v>
      </c>
      <c r="DP30" s="1">
        <f t="shared" ref="DP30" si="68">DP27*0.75+DP28*0.25</f>
        <v>0</v>
      </c>
      <c r="DQ30">
        <v>0</v>
      </c>
      <c r="DR30" s="1">
        <f t="shared" ref="DR30" si="69">DR27*0.75+DR28*0.25</f>
        <v>0</v>
      </c>
      <c r="DS30">
        <v>0</v>
      </c>
      <c r="DT30" s="1">
        <f t="shared" ref="DT30" si="70">DT27*0.75+DT28*0.25</f>
        <v>0</v>
      </c>
      <c r="DU30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>
        <v>0</v>
      </c>
      <c r="DZ30" s="1">
        <f t="shared" ref="DZ30" si="72">DZ27*0.75+DZ28*0.25</f>
        <v>0</v>
      </c>
      <c r="EA30">
        <v>0</v>
      </c>
      <c r="EB30" s="1">
        <f t="shared" ref="EB30" si="73">EB27*0.75+EB28*0.25</f>
        <v>0</v>
      </c>
      <c r="EC30">
        <v>0</v>
      </c>
      <c r="ED30" s="1">
        <f t="shared" ref="ED30" si="74">ED27*0.75+ED28*0.25</f>
        <v>0</v>
      </c>
      <c r="EE30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>
        <v>0</v>
      </c>
      <c r="EJ30" s="1">
        <f t="shared" ref="EJ30" si="76">EJ27*0.75+EJ28*0.25</f>
        <v>116.74670054442417</v>
      </c>
      <c r="EK30">
        <v>0</v>
      </c>
      <c r="EL30" s="1">
        <f t="shared" ref="EL30" si="77">EL27*0.75+EL28*0.25</f>
        <v>116.74670054442417</v>
      </c>
      <c r="EM30">
        <v>0</v>
      </c>
      <c r="EN30" s="1">
        <f t="shared" ref="EN30" si="78">EN27*0.75+EN28*0.25</f>
        <v>116.74670054442417</v>
      </c>
      <c r="EO30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>
        <v>0</v>
      </c>
      <c r="ET30" s="1">
        <f t="shared" ref="ET30" si="80">ET27*0.75+ET28*0.25</f>
        <v>0</v>
      </c>
      <c r="EU30">
        <v>0</v>
      </c>
      <c r="EV30" s="1">
        <f t="shared" ref="EV30" si="81">EV27*0.75+EV28*0.25</f>
        <v>0</v>
      </c>
      <c r="EW30">
        <v>0</v>
      </c>
      <c r="EX30" s="1">
        <f t="shared" ref="EX30" si="82">EX27*0.75+EX28*0.25</f>
        <v>0</v>
      </c>
      <c r="EY30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">
      <c r="A31" s="98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40"/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f>Z27*0.75</f>
        <v>5.5965000000000007</v>
      </c>
      <c r="AA31">
        <f t="shared" ref="AA31:AF31" si="87">AA27*0.75</f>
        <v>5.3025000000000002</v>
      </c>
      <c r="AB31">
        <f t="shared" si="87"/>
        <v>5.0400000000000009</v>
      </c>
      <c r="AC31">
        <f t="shared" si="87"/>
        <v>4.2569999999999997</v>
      </c>
      <c r="AD31">
        <f t="shared" si="87"/>
        <v>4.2569999999999997</v>
      </c>
      <c r="AE31">
        <f t="shared" si="87"/>
        <v>4.2569999999999997</v>
      </c>
      <c r="AF31">
        <f t="shared" si="87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88">AK27*0.75</f>
        <v>5.3025000000000002</v>
      </c>
      <c r="AL31">
        <f t="shared" si="88"/>
        <v>5.0400000000000009</v>
      </c>
      <c r="AM31">
        <f t="shared" si="88"/>
        <v>4.2569999999999997</v>
      </c>
      <c r="AN31">
        <f t="shared" si="88"/>
        <v>4.2569999999999997</v>
      </c>
      <c r="AO31">
        <f t="shared" si="88"/>
        <v>4.2569999999999997</v>
      </c>
      <c r="AP31">
        <f t="shared" si="88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>
        <v>0</v>
      </c>
      <c r="DF31" s="1">
        <f t="shared" si="95"/>
        <v>0</v>
      </c>
      <c r="DG31">
        <v>0</v>
      </c>
      <c r="DH31" s="1">
        <f t="shared" si="95"/>
        <v>0</v>
      </c>
      <c r="DI31">
        <v>0</v>
      </c>
      <c r="DJ31" s="1">
        <f t="shared" si="95"/>
        <v>0</v>
      </c>
      <c r="DK31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>
        <v>0</v>
      </c>
      <c r="DP31" s="1">
        <f t="shared" si="95"/>
        <v>0</v>
      </c>
      <c r="DQ31">
        <v>0</v>
      </c>
      <c r="DR31" s="1">
        <f t="shared" si="95"/>
        <v>0</v>
      </c>
      <c r="DS31">
        <v>0</v>
      </c>
      <c r="DT31" s="1">
        <f t="shared" si="95"/>
        <v>0</v>
      </c>
      <c r="DU31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>
        <v>0</v>
      </c>
      <c r="DZ31" s="1">
        <f t="shared" si="95"/>
        <v>0</v>
      </c>
      <c r="EA31">
        <v>0</v>
      </c>
      <c r="EB31" s="1">
        <f t="shared" si="95"/>
        <v>0</v>
      </c>
      <c r="EC31">
        <v>0</v>
      </c>
      <c r="ED31" s="1">
        <f t="shared" si="95"/>
        <v>0</v>
      </c>
      <c r="EE31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>
        <v>0</v>
      </c>
      <c r="EJ31" s="1">
        <f t="shared" si="95"/>
        <v>116.74670054442417</v>
      </c>
      <c r="EK31">
        <v>0</v>
      </c>
      <c r="EL31" s="1">
        <f t="shared" si="95"/>
        <v>116.74670054442417</v>
      </c>
      <c r="EM31">
        <v>0</v>
      </c>
      <c r="EN31" s="1">
        <f t="shared" si="95"/>
        <v>116.74670054442417</v>
      </c>
      <c r="EO31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>
        <v>0</v>
      </c>
      <c r="ET31" s="1">
        <f t="shared" si="95"/>
        <v>0</v>
      </c>
      <c r="EU31">
        <v>0</v>
      </c>
      <c r="EV31" s="1">
        <f t="shared" si="95"/>
        <v>0</v>
      </c>
      <c r="EW31">
        <v>0</v>
      </c>
      <c r="EX31" s="1">
        <f t="shared" si="95"/>
        <v>0</v>
      </c>
      <c r="EY31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">
      <c r="A32" s="98"/>
      <c r="B32" s="25" t="s">
        <v>136</v>
      </c>
      <c r="C32" s="11" t="s">
        <v>277</v>
      </c>
      <c r="D32" s="2" t="s">
        <v>75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7" si="104">$EG32*B$3</f>
        <v>0</v>
      </c>
      <c r="EK32">
        <v>0</v>
      </c>
      <c r="EL32">
        <f t="shared" ref="EL32:EL37" si="105">$EG32*C$3</f>
        <v>0</v>
      </c>
      <c r="EM32">
        <v>0</v>
      </c>
      <c r="EN32">
        <f t="shared" ref="EN32:EN37" si="106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7" si="107">$EQ32*B$3</f>
        <v>0</v>
      </c>
      <c r="EU32">
        <v>0</v>
      </c>
      <c r="EV32">
        <f t="shared" ref="EV32:EV37" si="108">$EQ32*C$3</f>
        <v>0</v>
      </c>
      <c r="EW32">
        <v>0</v>
      </c>
      <c r="EX32">
        <f t="shared" ref="EX32:EX37" si="109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98"/>
      <c r="B33" s="25" t="s">
        <v>137</v>
      </c>
      <c r="C33" s="11" t="s">
        <v>277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104"/>
        <v>0</v>
      </c>
      <c r="EK33">
        <v>0</v>
      </c>
      <c r="EL33">
        <f t="shared" si="105"/>
        <v>0</v>
      </c>
      <c r="EM33">
        <v>0</v>
      </c>
      <c r="EN33">
        <f t="shared" si="106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107"/>
        <v>0</v>
      </c>
      <c r="EU33">
        <v>0</v>
      </c>
      <c r="EV33">
        <f t="shared" si="108"/>
        <v>0</v>
      </c>
      <c r="EW33">
        <v>0</v>
      </c>
      <c r="EX33">
        <f t="shared" si="109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98"/>
      <c r="B34" s="25" t="s">
        <v>138</v>
      </c>
      <c r="C34" s="11" t="s">
        <v>277</v>
      </c>
      <c r="D34" s="2" t="s">
        <v>410</v>
      </c>
      <c r="E34" s="9">
        <f t="shared" si="5"/>
        <v>26</v>
      </c>
      <c r="F34" s="13">
        <v>1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f t="shared" si="104"/>
        <v>0</v>
      </c>
      <c r="EK34">
        <v>0</v>
      </c>
      <c r="EL34">
        <f t="shared" si="105"/>
        <v>0</v>
      </c>
      <c r="EM34">
        <v>0</v>
      </c>
      <c r="EN34">
        <f t="shared" si="106"/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f t="shared" si="107"/>
        <v>0</v>
      </c>
      <c r="EU34">
        <v>0</v>
      </c>
      <c r="EV34">
        <f t="shared" si="108"/>
        <v>0</v>
      </c>
      <c r="EW34">
        <v>0</v>
      </c>
      <c r="EX34">
        <f t="shared" si="109"/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98"/>
      <c r="B35" s="25" t="s">
        <v>139</v>
      </c>
      <c r="C35" s="11" t="s">
        <v>277</v>
      </c>
      <c r="D35" s="2" t="s">
        <v>411</v>
      </c>
      <c r="E35" s="9">
        <f t="shared" si="5"/>
        <v>27</v>
      </c>
      <c r="F35" s="13">
        <v>1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-1</v>
      </c>
      <c r="N35">
        <v>0</v>
      </c>
      <c r="O3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 t="shared" si="104"/>
        <v>0</v>
      </c>
      <c r="EK35">
        <v>0</v>
      </c>
      <c r="EL35">
        <f t="shared" si="105"/>
        <v>0</v>
      </c>
      <c r="EM35">
        <v>0</v>
      </c>
      <c r="EN35">
        <f t="shared" si="106"/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si="107"/>
        <v>0</v>
      </c>
      <c r="EU35">
        <v>0</v>
      </c>
      <c r="EV35">
        <f t="shared" si="108"/>
        <v>0</v>
      </c>
      <c r="EW35">
        <v>0</v>
      </c>
      <c r="EX35">
        <f t="shared" si="109"/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98"/>
      <c r="B36" s="25" t="s">
        <v>250</v>
      </c>
      <c r="C36" s="11" t="s">
        <v>277</v>
      </c>
      <c r="D36" s="2" t="s">
        <v>412</v>
      </c>
      <c r="E36" s="9">
        <f t="shared" si="5"/>
        <v>28</v>
      </c>
      <c r="F36" s="13">
        <v>1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si="104"/>
        <v>0</v>
      </c>
      <c r="EK36">
        <v>0</v>
      </c>
      <c r="EL36">
        <f t="shared" si="105"/>
        <v>0</v>
      </c>
      <c r="EM36">
        <v>0</v>
      </c>
      <c r="EN36">
        <f t="shared" si="10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107"/>
        <v>0</v>
      </c>
      <c r="EU36">
        <v>0</v>
      </c>
      <c r="EV36">
        <f t="shared" si="108"/>
        <v>0</v>
      </c>
      <c r="EW36">
        <v>0</v>
      </c>
      <c r="EX36">
        <f t="shared" si="10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98"/>
      <c r="B37" s="25" t="s">
        <v>417</v>
      </c>
      <c r="C37" s="11" t="s">
        <v>277</v>
      </c>
      <c r="D37" s="2" t="s">
        <v>36</v>
      </c>
      <c r="E37" s="9">
        <f t="shared" si="5"/>
        <v>29</v>
      </c>
      <c r="F37" s="13">
        <v>1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98"/>
      <c r="B38" s="25" t="s">
        <v>418</v>
      </c>
      <c r="C38" s="11" t="s">
        <v>277</v>
      </c>
      <c r="D38" s="2" t="s">
        <v>253</v>
      </c>
      <c r="E38" s="9">
        <f t="shared" si="5"/>
        <v>30</v>
      </c>
      <c r="F38" s="13">
        <v>1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O28</f>
        <v>20000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1</v>
      </c>
      <c r="BE38" s="60">
        <v>1</v>
      </c>
      <c r="BF38" s="60">
        <v>1</v>
      </c>
      <c r="BG38" s="60">
        <v>1</v>
      </c>
      <c r="BH38" s="60">
        <v>1</v>
      </c>
      <c r="BI38" s="60">
        <v>1</v>
      </c>
      <c r="BJ38" s="60">
        <v>1</v>
      </c>
      <c r="BK38" s="60">
        <v>1</v>
      </c>
      <c r="BL38" s="60">
        <v>1</v>
      </c>
      <c r="BM38" s="60">
        <v>1</v>
      </c>
      <c r="BN38" s="60">
        <v>1</v>
      </c>
      <c r="BO38" s="60">
        <v>1</v>
      </c>
      <c r="BP38" s="60">
        <v>1</v>
      </c>
      <c r="BQ38" s="60">
        <v>1</v>
      </c>
      <c r="BR38" s="60">
        <v>1</v>
      </c>
      <c r="BS38" s="60">
        <v>1</v>
      </c>
      <c r="BT38" s="60">
        <v>1</v>
      </c>
      <c r="BU38" s="60">
        <v>1</v>
      </c>
      <c r="BV38" s="60">
        <v>1</v>
      </c>
      <c r="BW38" s="60">
        <v>1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98"/>
      <c r="B39" s="3" t="s">
        <v>29</v>
      </c>
      <c r="C39" s="4" t="s">
        <v>31</v>
      </c>
      <c r="D39" s="2" t="s">
        <v>37</v>
      </c>
      <c r="E39" s="9">
        <f t="shared" si="5"/>
        <v>31</v>
      </c>
      <c r="F39" s="13">
        <v>1</v>
      </c>
      <c r="G39" s="13" t="s">
        <v>20</v>
      </c>
      <c r="H39" s="10">
        <v>0</v>
      </c>
      <c r="I39" t="s">
        <v>12</v>
      </c>
      <c r="J39">
        <v>0</v>
      </c>
      <c r="K39">
        <v>1</v>
      </c>
      <c r="L39">
        <v>0</v>
      </c>
      <c r="M39">
        <v>0</v>
      </c>
      <c r="N39">
        <v>0</v>
      </c>
      <c r="O39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>$EG39*B$3</f>
        <v>0</v>
      </c>
      <c r="EK39">
        <v>0</v>
      </c>
      <c r="EL39">
        <f t="shared" ref="EL39:EL45" si="110">$EG39*C$3</f>
        <v>0</v>
      </c>
      <c r="EM39">
        <v>0</v>
      </c>
      <c r="EN39">
        <f t="shared" ref="EN39:EN45" si="111">$EG39*D$3</f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ref="ET39:ET45" si="112">$EQ39*B$3</f>
        <v>0</v>
      </c>
      <c r="EU39">
        <v>0</v>
      </c>
      <c r="EV39">
        <f t="shared" ref="EV39:EV45" si="113">$EQ39*C$3</f>
        <v>0</v>
      </c>
      <c r="EW39">
        <v>0</v>
      </c>
      <c r="EX39">
        <f t="shared" ref="EX39:EX45" si="114">$EQ39*D$3</f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98"/>
      <c r="B40" s="3" t="s">
        <v>30</v>
      </c>
      <c r="C40" s="4" t="s">
        <v>32</v>
      </c>
      <c r="D40" s="2" t="s">
        <v>38</v>
      </c>
      <c r="E40" s="9">
        <f t="shared" si="5"/>
        <v>32</v>
      </c>
      <c r="F40" s="13">
        <v>1</v>
      </c>
      <c r="G40" s="13" t="s">
        <v>21</v>
      </c>
      <c r="H40" s="10">
        <v>0</v>
      </c>
      <c r="I40" t="s">
        <v>12</v>
      </c>
      <c r="J40" s="10">
        <v>0</v>
      </c>
      <c r="K40">
        <v>-1</v>
      </c>
      <c r="L40">
        <v>0</v>
      </c>
      <c r="M40" s="10">
        <v>0</v>
      </c>
      <c r="N40">
        <v>0</v>
      </c>
      <c r="O40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0.02</v>
      </c>
      <c r="DN40" s="10">
        <v>3.3500000000000002E-2</v>
      </c>
      <c r="DO40" s="28">
        <v>0</v>
      </c>
      <c r="DP40" s="28">
        <v>0.02</v>
      </c>
      <c r="DQ40" s="10">
        <v>3.3500000000000002E-2</v>
      </c>
      <c r="DR40" s="10">
        <v>0.02</v>
      </c>
      <c r="DS40" s="28">
        <v>0</v>
      </c>
      <c r="DT40" s="28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ref="EJ40:EJ45" si="115">$EG40*B$3</f>
        <v>0</v>
      </c>
      <c r="EK40">
        <v>0</v>
      </c>
      <c r="EL40">
        <f t="shared" si="110"/>
        <v>0</v>
      </c>
      <c r="EM40">
        <v>0</v>
      </c>
      <c r="EN40">
        <f t="shared" si="111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12"/>
        <v>0</v>
      </c>
      <c r="EU40">
        <v>0</v>
      </c>
      <c r="EV40">
        <f t="shared" si="113"/>
        <v>0</v>
      </c>
      <c r="EW40">
        <v>0</v>
      </c>
      <c r="EX40">
        <f t="shared" si="114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98"/>
      <c r="B41" t="s">
        <v>277</v>
      </c>
      <c r="C41" s="4" t="s">
        <v>435</v>
      </c>
      <c r="D41" s="2" t="s">
        <v>427</v>
      </c>
      <c r="E41" s="9">
        <f t="shared" si="5"/>
        <v>33</v>
      </c>
      <c r="F41" s="13">
        <v>1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0.02</v>
      </c>
      <c r="DM41" s="28">
        <v>3.3500000000000002E-2</v>
      </c>
      <c r="DN41" s="28">
        <v>6.7000000000000004E-2</v>
      </c>
      <c r="DO41" s="28">
        <v>0.02</v>
      </c>
      <c r="DP41" s="28">
        <v>3.3500000000000002E-2</v>
      </c>
      <c r="DQ41" s="28">
        <v>6.7000000000000004E-2</v>
      </c>
      <c r="DR41" s="28">
        <v>3.3500000000000002E-2</v>
      </c>
      <c r="DS41" s="28">
        <v>0.02</v>
      </c>
      <c r="DT41" s="28">
        <v>3.3500000000000002E-2</v>
      </c>
      <c r="DU41" s="28">
        <v>6.7000000000000004E-2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15"/>
        <v>0</v>
      </c>
      <c r="EK41">
        <v>1</v>
      </c>
      <c r="EL41">
        <f t="shared" si="110"/>
        <v>0</v>
      </c>
      <c r="EM41">
        <v>1</v>
      </c>
      <c r="EN41">
        <f t="shared" si="111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12"/>
        <v>0</v>
      </c>
      <c r="EU41">
        <v>1</v>
      </c>
      <c r="EV41">
        <f t="shared" si="113"/>
        <v>0</v>
      </c>
      <c r="EW41">
        <v>1</v>
      </c>
      <c r="EX41">
        <f t="shared" si="114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98"/>
      <c r="B42" s="3" t="s">
        <v>135</v>
      </c>
      <c r="C42" s="4" t="s">
        <v>130</v>
      </c>
      <c r="D42" s="2" t="s">
        <v>39</v>
      </c>
      <c r="E42" s="9">
        <f t="shared" si="5"/>
        <v>34</v>
      </c>
      <c r="F42" s="13">
        <v>1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f>9*O27</f>
        <v>180000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2.7E-2</v>
      </c>
      <c r="DM42">
        <v>0.05</v>
      </c>
      <c r="DN42">
        <v>0.15</v>
      </c>
      <c r="DO42">
        <v>2.7E-2</v>
      </c>
      <c r="DP42">
        <v>0.05</v>
      </c>
      <c r="DQ42">
        <v>0.15</v>
      </c>
      <c r="DR42">
        <v>0.05</v>
      </c>
      <c r="DS42">
        <v>2.7E-2</v>
      </c>
      <c r="DT42">
        <v>0.05</v>
      </c>
      <c r="DU42">
        <v>0.15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15"/>
        <v>0</v>
      </c>
      <c r="EK42">
        <v>0</v>
      </c>
      <c r="EL42">
        <f t="shared" si="110"/>
        <v>0</v>
      </c>
      <c r="EM42">
        <v>0</v>
      </c>
      <c r="EN42">
        <f t="shared" si="111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12"/>
        <v>0</v>
      </c>
      <c r="EU42">
        <v>0</v>
      </c>
      <c r="EV42">
        <f t="shared" si="113"/>
        <v>0</v>
      </c>
      <c r="EW42">
        <v>0</v>
      </c>
      <c r="EX42">
        <f t="shared" si="114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98"/>
      <c r="B43" s="3" t="s">
        <v>15</v>
      </c>
      <c r="C43" s="11" t="s">
        <v>277</v>
      </c>
      <c r="D43" s="2" t="s">
        <v>40</v>
      </c>
      <c r="E43" s="9">
        <f t="shared" si="5"/>
        <v>35</v>
      </c>
      <c r="F43" s="13">
        <v>1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-1</v>
      </c>
      <c r="N43">
        <v>0</v>
      </c>
      <c r="O43">
        <v>20000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4</v>
      </c>
      <c r="BY43">
        <v>3.5</v>
      </c>
      <c r="BZ43">
        <v>3.5</v>
      </c>
      <c r="CA43">
        <v>3.5</v>
      </c>
      <c r="CB43">
        <v>3.5</v>
      </c>
      <c r="CC43">
        <v>3.5</v>
      </c>
      <c r="CD43">
        <v>3.5</v>
      </c>
      <c r="CE43">
        <v>3.5</v>
      </c>
      <c r="CF43">
        <v>3.5</v>
      </c>
      <c r="CG43">
        <v>3.5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f t="shared" si="115"/>
        <v>0</v>
      </c>
      <c r="EK43">
        <v>0</v>
      </c>
      <c r="EL43">
        <f t="shared" si="110"/>
        <v>0</v>
      </c>
      <c r="EM43">
        <v>0</v>
      </c>
      <c r="EN43">
        <f t="shared" si="111"/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112"/>
        <v>0</v>
      </c>
      <c r="EU43">
        <v>0</v>
      </c>
      <c r="EV43">
        <f t="shared" si="113"/>
        <v>0</v>
      </c>
      <c r="EW43">
        <v>0</v>
      </c>
      <c r="EX43">
        <f t="shared" si="114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98"/>
      <c r="B44" s="3" t="s">
        <v>16</v>
      </c>
      <c r="C44" s="11" t="s">
        <v>277</v>
      </c>
      <c r="D44" s="2" t="s">
        <v>41</v>
      </c>
      <c r="E44" s="9">
        <f t="shared" si="5"/>
        <v>36</v>
      </c>
      <c r="F44" s="13">
        <v>1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1</v>
      </c>
      <c r="N44">
        <v>0</v>
      </c>
      <c r="O44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f t="shared" si="115"/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98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3">
        <v>1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0.03</v>
      </c>
      <c r="AU45" s="14">
        <v>0.03</v>
      </c>
      <c r="AV45" s="14">
        <v>0.03</v>
      </c>
      <c r="AW45" s="14">
        <v>0.03</v>
      </c>
      <c r="AX45" s="14">
        <v>0.03</v>
      </c>
      <c r="AY45" s="14">
        <v>0.03</v>
      </c>
      <c r="AZ45" s="14">
        <v>0.03</v>
      </c>
      <c r="BA45" s="14">
        <v>0.03</v>
      </c>
      <c r="BB45" s="14">
        <v>0.03</v>
      </c>
      <c r="BC45" s="14">
        <v>0.03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1000</v>
      </c>
      <c r="CI45">
        <v>900</v>
      </c>
      <c r="CJ45">
        <v>900</v>
      </c>
      <c r="CK45">
        <v>800</v>
      </c>
      <c r="CL45">
        <v>800</v>
      </c>
      <c r="CM45">
        <v>800</v>
      </c>
      <c r="CN45">
        <f>(CP45+CL45)/2</f>
        <v>650</v>
      </c>
      <c r="CO45">
        <v>500</v>
      </c>
      <c r="CP45">
        <v>500</v>
      </c>
      <c r="CQ45">
        <v>500</v>
      </c>
      <c r="CR45">
        <f>CH45*0.04</f>
        <v>40</v>
      </c>
      <c r="CS45">
        <f>CI45*0.03</f>
        <v>27</v>
      </c>
      <c r="CT45">
        <f>CJ45*0.03</f>
        <v>27</v>
      </c>
      <c r="CU45">
        <v>0</v>
      </c>
      <c r="CV45">
        <f>CL45*0.03</f>
        <v>24</v>
      </c>
      <c r="CW45">
        <v>0</v>
      </c>
      <c r="CX45">
        <f>CN45*0.03</f>
        <v>19.5</v>
      </c>
      <c r="CY45">
        <v>0</v>
      </c>
      <c r="CZ45">
        <f t="shared" ref="CZ45" si="116">CP45*0.03</f>
        <v>15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6.2260740740740748E-3</v>
      </c>
      <c r="EG45">
        <v>6.2260740740740748E-3</v>
      </c>
      <c r="EH45">
        <v>6.2260740740740748E-3</v>
      </c>
      <c r="EI45">
        <v>0</v>
      </c>
      <c r="EJ45">
        <f t="shared" si="115"/>
        <v>6.2260740740740748E-3</v>
      </c>
      <c r="EK45">
        <v>0</v>
      </c>
      <c r="EL45">
        <f t="shared" si="110"/>
        <v>6.2260740740740748E-3</v>
      </c>
      <c r="EM45">
        <v>0</v>
      </c>
      <c r="EN45">
        <f t="shared" si="111"/>
        <v>6.2260740740740748E-3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112"/>
        <v>0</v>
      </c>
      <c r="EU45">
        <v>0</v>
      </c>
      <c r="EV45">
        <f t="shared" si="113"/>
        <v>0</v>
      </c>
      <c r="EW45">
        <v>0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0.14902948869707539</v>
      </c>
      <c r="FK45">
        <v>0.14902948869707539</v>
      </c>
      <c r="FL45">
        <v>0.14902948869707539</v>
      </c>
      <c r="FM45">
        <v>0.14902948869707539</v>
      </c>
      <c r="FN45">
        <v>0.14902948869707539</v>
      </c>
      <c r="FO45">
        <v>0.14902948869707539</v>
      </c>
      <c r="FP45">
        <v>0.14902948869707539</v>
      </c>
      <c r="FQ45">
        <v>0.14902948869707539</v>
      </c>
      <c r="FR45">
        <v>0.14902948869707539</v>
      </c>
      <c r="FS45">
        <v>0.14902948869707539</v>
      </c>
    </row>
    <row r="46" spans="1:175" x14ac:dyDescent="0.3">
      <c r="A46" s="98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3">
        <v>1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-1</v>
      </c>
      <c r="N46">
        <v>0</v>
      </c>
      <c r="O46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0.94</v>
      </c>
      <c r="BY46">
        <v>0.94</v>
      </c>
      <c r="BZ46">
        <v>0.94</v>
      </c>
      <c r="CA46">
        <v>0.94</v>
      </c>
      <c r="CB46">
        <v>0.94</v>
      </c>
      <c r="CC46">
        <v>0.94</v>
      </c>
      <c r="CD46">
        <v>0.94</v>
      </c>
      <c r="CE46">
        <v>0.94</v>
      </c>
      <c r="CF46">
        <v>0.94</v>
      </c>
      <c r="CG46">
        <v>0.94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9.3678779051968114E-2</v>
      </c>
      <c r="FK46">
        <v>9.3678779051968114E-2</v>
      </c>
      <c r="FL46">
        <v>9.3678779051968114E-2</v>
      </c>
      <c r="FM46">
        <v>9.3678779051968114E-2</v>
      </c>
      <c r="FN46">
        <v>9.3678779051968114E-2</v>
      </c>
      <c r="FO46">
        <v>9.3678779051968114E-2</v>
      </c>
      <c r="FP46">
        <v>9.3678779051968114E-2</v>
      </c>
      <c r="FQ46">
        <v>9.3678779051968114E-2</v>
      </c>
      <c r="FR46">
        <v>9.3678779051968114E-2</v>
      </c>
      <c r="FS46">
        <v>9.3678779051968114E-2</v>
      </c>
    </row>
    <row r="47" spans="1:175" x14ac:dyDescent="0.3">
      <c r="A47" s="98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3">
        <v>1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1</v>
      </c>
      <c r="N47">
        <v>0</v>
      </c>
      <c r="O47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98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3">
        <v>1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20000000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0.09</v>
      </c>
      <c r="AU48" s="14">
        <v>0.09</v>
      </c>
      <c r="AV48" s="14">
        <v>0.09</v>
      </c>
      <c r="AW48" s="14">
        <v>0.09</v>
      </c>
      <c r="AX48" s="14">
        <v>0.09</v>
      </c>
      <c r="AY48" s="14">
        <v>0.09</v>
      </c>
      <c r="AZ48" s="14">
        <v>0.09</v>
      </c>
      <c r="BA48" s="14">
        <v>0.09</v>
      </c>
      <c r="BB48" s="14">
        <v>0.09</v>
      </c>
      <c r="BC48" s="14">
        <v>0.09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460.75542459148141</v>
      </c>
      <c r="CI48">
        <v>250</v>
      </c>
      <c r="CJ48">
        <v>250</v>
      </c>
      <c r="CK48">
        <v>250</v>
      </c>
      <c r="CL48">
        <v>250</v>
      </c>
      <c r="CM48">
        <v>250</v>
      </c>
      <c r="CN48">
        <v>250</v>
      </c>
      <c r="CO48">
        <v>250</v>
      </c>
      <c r="CP48">
        <v>250</v>
      </c>
      <c r="CQ48">
        <v>250</v>
      </c>
      <c r="CR48">
        <f>0.04*CH48</f>
        <v>18.430216983659257</v>
      </c>
      <c r="CS48">
        <f>0.03*CI48</f>
        <v>7.5</v>
      </c>
      <c r="CT48">
        <f>0.03*CJ48</f>
        <v>7.5</v>
      </c>
      <c r="CU48">
        <f t="shared" ref="CU48:DA48" si="117">0.03*CK48</f>
        <v>7.5</v>
      </c>
      <c r="CV48">
        <f t="shared" si="117"/>
        <v>7.5</v>
      </c>
      <c r="CW48">
        <f t="shared" si="117"/>
        <v>7.5</v>
      </c>
      <c r="CX48">
        <f t="shared" si="117"/>
        <v>7.5</v>
      </c>
      <c r="CY48">
        <f t="shared" si="117"/>
        <v>7.5</v>
      </c>
      <c r="CZ48">
        <f t="shared" si="117"/>
        <v>7.5</v>
      </c>
      <c r="DA48">
        <f t="shared" si="117"/>
        <v>7.5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6.2260740740740748E-3</v>
      </c>
      <c r="EG48">
        <v>6.2260740740740748E-3</v>
      </c>
      <c r="EH48">
        <v>6.2260740740740748E-3</v>
      </c>
      <c r="EI48">
        <v>0</v>
      </c>
      <c r="EJ48">
        <f t="shared" ref="EJ48:EJ62" si="118">$EG48*B$3</f>
        <v>6.2260740740740748E-3</v>
      </c>
      <c r="EK48">
        <v>0</v>
      </c>
      <c r="EL48">
        <f t="shared" ref="EL48:EL62" si="119">$EG48*C$3</f>
        <v>6.2260740740740748E-3</v>
      </c>
      <c r="EM48">
        <v>0</v>
      </c>
      <c r="EN48">
        <f t="shared" ref="EN48:EN62" si="120">$EG48*D$3</f>
        <v>6.2260740740740748E-3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1</v>
      </c>
      <c r="FA48" s="51">
        <v>1</v>
      </c>
      <c r="FB48" s="51">
        <v>1</v>
      </c>
      <c r="FC48">
        <v>0</v>
      </c>
      <c r="FD48" s="51">
        <v>1</v>
      </c>
      <c r="FE48">
        <v>0</v>
      </c>
      <c r="FF48" s="51">
        <v>1</v>
      </c>
      <c r="FG48">
        <v>0</v>
      </c>
      <c r="FH48" s="51">
        <v>1</v>
      </c>
      <c r="FI48">
        <v>0</v>
      </c>
      <c r="FJ48">
        <v>8.174285816161557E-2</v>
      </c>
      <c r="FK48">
        <v>8.174285816161557E-2</v>
      </c>
      <c r="FL48">
        <v>8.174285816161557E-2</v>
      </c>
      <c r="FM48">
        <v>8.174285816161557E-2</v>
      </c>
      <c r="FN48">
        <v>8.174285816161557E-2</v>
      </c>
      <c r="FO48">
        <v>8.174285816161557E-2</v>
      </c>
      <c r="FP48">
        <v>8.174285816161557E-2</v>
      </c>
      <c r="FQ48">
        <v>8.174285816161557E-2</v>
      </c>
      <c r="FR48">
        <v>8.174285816161557E-2</v>
      </c>
      <c r="FS48">
        <v>8.174285816161557E-2</v>
      </c>
    </row>
    <row r="49" spans="1:175" ht="14.55" customHeight="1" x14ac:dyDescent="0.3">
      <c r="A49" s="98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3">
        <v>1</v>
      </c>
      <c r="G49" s="13" t="s">
        <v>48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552.67870000000005</v>
      </c>
      <c r="CI49">
        <v>552.67870000000005</v>
      </c>
      <c r="CJ49">
        <v>552.67870000000005</v>
      </c>
      <c r="CK49">
        <v>396.26020000000005</v>
      </c>
      <c r="CL49">
        <v>396.26020000000005</v>
      </c>
      <c r="CM49">
        <v>396.26020000000005</v>
      </c>
      <c r="CN49">
        <v>344.12070000000006</v>
      </c>
      <c r="CO49">
        <v>312.83700000000005</v>
      </c>
      <c r="CP49">
        <v>312.83700000000005</v>
      </c>
      <c r="CQ49">
        <v>312.83700000000005</v>
      </c>
      <c r="CR49">
        <v>9.1244125000000018</v>
      </c>
      <c r="CS49">
        <v>9.1244125000000018</v>
      </c>
      <c r="CT49">
        <v>9.1244125000000018</v>
      </c>
      <c r="CU49">
        <v>7.5602274999999999</v>
      </c>
      <c r="CV49">
        <v>7.5602275000000008</v>
      </c>
      <c r="CW49">
        <v>7.5602275000000008</v>
      </c>
      <c r="CX49">
        <v>6.9084837500000003</v>
      </c>
      <c r="CY49">
        <v>6.5174375000000007</v>
      </c>
      <c r="CZ49">
        <v>6.5174375000000007</v>
      </c>
      <c r="DA49">
        <v>6.5174374999999998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90.584795321637415</v>
      </c>
      <c r="EG49">
        <v>90.584795321637415</v>
      </c>
      <c r="EH49">
        <v>90.584795321637415</v>
      </c>
      <c r="EI49">
        <v>0</v>
      </c>
      <c r="EJ49">
        <f t="shared" si="118"/>
        <v>90.584795321637415</v>
      </c>
      <c r="EK49">
        <v>0</v>
      </c>
      <c r="EL49">
        <f t="shared" si="119"/>
        <v>90.584795321637415</v>
      </c>
      <c r="EM49">
        <v>0</v>
      </c>
      <c r="EN49">
        <f t="shared" si="120"/>
        <v>90.584795321637415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ref="ET49:ET62" si="121">$EQ49*B$3</f>
        <v>0</v>
      </c>
      <c r="EU49">
        <v>0</v>
      </c>
      <c r="EV49">
        <f t="shared" ref="EV49:EV62" si="122">$EQ49*C$3</f>
        <v>0</v>
      </c>
      <c r="EW49">
        <v>0</v>
      </c>
      <c r="EX49">
        <f t="shared" ref="EX49:EX62" si="123">$EQ49*D$3</f>
        <v>0</v>
      </c>
      <c r="EY49">
        <v>0</v>
      </c>
      <c r="EZ49">
        <v>13.75</v>
      </c>
      <c r="FA49">
        <v>13.75</v>
      </c>
      <c r="FB49">
        <v>13.75</v>
      </c>
      <c r="FC49">
        <v>0</v>
      </c>
      <c r="FD49">
        <v>12.26</v>
      </c>
      <c r="FE49">
        <v>0</v>
      </c>
      <c r="FF49">
        <v>11.51</v>
      </c>
      <c r="FG49">
        <v>0</v>
      </c>
      <c r="FH49">
        <v>10.84</v>
      </c>
      <c r="FI49">
        <v>0</v>
      </c>
      <c r="FJ49">
        <v>8.5803264560679798E-2</v>
      </c>
      <c r="FK49">
        <v>8.5803264560679798E-2</v>
      </c>
      <c r="FL49">
        <v>8.5803264560679798E-2</v>
      </c>
      <c r="FM49">
        <v>8.3860161500585326E-2</v>
      </c>
      <c r="FN49">
        <v>8.3860161500585326E-2</v>
      </c>
      <c r="FO49">
        <v>8.3860161500585326E-2</v>
      </c>
      <c r="FP49">
        <v>8.3860161500585326E-2</v>
      </c>
      <c r="FQ49">
        <v>8.3860161500585326E-2</v>
      </c>
      <c r="FR49">
        <v>8.3860161500585326E-2</v>
      </c>
      <c r="FS49">
        <v>8.3860161500585326E-2</v>
      </c>
    </row>
    <row r="50" spans="1:175" ht="14.55" customHeight="1" x14ac:dyDescent="0.3">
      <c r="A50" s="98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3">
        <v>1</v>
      </c>
      <c r="G50" s="13" t="s">
        <v>50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761.23670000000004</v>
      </c>
      <c r="CI50">
        <v>646.52980000000002</v>
      </c>
      <c r="CJ50">
        <v>583.96240000000012</v>
      </c>
      <c r="CK50">
        <v>458.82760000000007</v>
      </c>
      <c r="CL50">
        <v>458.82760000000007</v>
      </c>
      <c r="CM50">
        <v>458.82760000000007</v>
      </c>
      <c r="CN50">
        <v>406.68810000000002</v>
      </c>
      <c r="CO50">
        <v>375.40440000000001</v>
      </c>
      <c r="CP50">
        <v>375.40440000000001</v>
      </c>
      <c r="CQ50">
        <v>375.40440000000001</v>
      </c>
      <c r="CR50">
        <v>11.601038750000001</v>
      </c>
      <c r="CS50">
        <v>11.157853000000001</v>
      </c>
      <c r="CT50">
        <v>7.6905762500000012</v>
      </c>
      <c r="CU50">
        <v>9.2808309999999992</v>
      </c>
      <c r="CV50">
        <v>9.2808310000000009</v>
      </c>
      <c r="CW50">
        <v>9.2808310000000009</v>
      </c>
      <c r="CX50">
        <v>8.5508780000000009</v>
      </c>
      <c r="CY50">
        <v>8.1337620000000008</v>
      </c>
      <c r="CZ50">
        <v>8.1337620000000008</v>
      </c>
      <c r="DA50">
        <v>8.1337620000000008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90.584795321637415</v>
      </c>
      <c r="EG50">
        <v>90.584795321637415</v>
      </c>
      <c r="EH50">
        <v>90.584795321637415</v>
      </c>
      <c r="EI50">
        <v>0</v>
      </c>
      <c r="EJ50">
        <f t="shared" si="118"/>
        <v>90.584795321637415</v>
      </c>
      <c r="EK50">
        <v>0</v>
      </c>
      <c r="EL50">
        <f t="shared" si="119"/>
        <v>90.584795321637415</v>
      </c>
      <c r="EM50">
        <v>0</v>
      </c>
      <c r="EN50">
        <f t="shared" si="120"/>
        <v>90.584795321637415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21"/>
        <v>0</v>
      </c>
      <c r="EU50">
        <v>0</v>
      </c>
      <c r="EV50">
        <f t="shared" si="122"/>
        <v>0</v>
      </c>
      <c r="EW50">
        <v>0</v>
      </c>
      <c r="EX50">
        <f t="shared" si="123"/>
        <v>0</v>
      </c>
      <c r="EY50">
        <v>0</v>
      </c>
      <c r="EZ50">
        <v>17.88</v>
      </c>
      <c r="FA50">
        <v>17.88</v>
      </c>
      <c r="FB50">
        <v>17.88</v>
      </c>
      <c r="FC50">
        <v>0</v>
      </c>
      <c r="FD50">
        <v>15.93</v>
      </c>
      <c r="FE50">
        <v>0</v>
      </c>
      <c r="FF50">
        <v>14.96</v>
      </c>
      <c r="FG50">
        <v>0</v>
      </c>
      <c r="FH50">
        <v>14.09</v>
      </c>
      <c r="FI50">
        <v>0</v>
      </c>
      <c r="FJ50">
        <v>8.5803264560679798E-2</v>
      </c>
      <c r="FK50">
        <v>8.5803264560679798E-2</v>
      </c>
      <c r="FL50">
        <v>8.5803264560679798E-2</v>
      </c>
      <c r="FM50">
        <v>8.3860161500585326E-2</v>
      </c>
      <c r="FN50">
        <v>8.3860161500585326E-2</v>
      </c>
      <c r="FO50">
        <v>8.3860161500585326E-2</v>
      </c>
      <c r="FP50">
        <v>8.3860161500585326E-2</v>
      </c>
      <c r="FQ50">
        <v>8.3860161500585326E-2</v>
      </c>
      <c r="FR50">
        <v>8.3860161500585326E-2</v>
      </c>
      <c r="FS50">
        <v>8.3860161500585326E-2</v>
      </c>
    </row>
    <row r="51" spans="1:175" x14ac:dyDescent="0.3">
      <c r="A51" s="98"/>
      <c r="B51" s="12" t="str">
        <f>CONCATENATE("RPU_"&amp;D51)</f>
        <v>RPU_ON_SP198-HH100</v>
      </c>
      <c r="C51" s="11" t="s">
        <v>277</v>
      </c>
      <c r="D51" s="2" t="s">
        <v>164</v>
      </c>
      <c r="E51" s="9">
        <f t="shared" si="5"/>
        <v>43</v>
      </c>
      <c r="F51" s="13">
        <v>1</v>
      </c>
      <c r="G51" s="13" t="s">
        <v>53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1758.6807528485745</v>
      </c>
      <c r="CI51">
        <v>1758.6807528485745</v>
      </c>
      <c r="CJ51">
        <v>1758.6807528485745</v>
      </c>
      <c r="CK51">
        <v>1633.060699073676</v>
      </c>
      <c r="CL51">
        <v>1633.060699073676</v>
      </c>
      <c r="CM51">
        <v>1633.060699073676</v>
      </c>
      <c r="CN51">
        <v>1538.8456587425023</v>
      </c>
      <c r="CO51">
        <v>1507.4406452987776</v>
      </c>
      <c r="CP51">
        <v>1507.4406452987776</v>
      </c>
      <c r="CQ51">
        <v>1507.4406452987776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18"/>
        <v>55.12222222222222</v>
      </c>
      <c r="EK51">
        <v>0</v>
      </c>
      <c r="EL51">
        <f t="shared" si="119"/>
        <v>55.12222222222222</v>
      </c>
      <c r="EM51">
        <v>0</v>
      </c>
      <c r="EN51">
        <f t="shared" si="120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21"/>
        <v>0</v>
      </c>
      <c r="EU51">
        <v>0</v>
      </c>
      <c r="EV51">
        <f t="shared" si="122"/>
        <v>0</v>
      </c>
      <c r="EW51">
        <v>0</v>
      </c>
      <c r="EX51">
        <f t="shared" si="123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98"/>
      <c r="B52" s="12" t="str">
        <f t="shared" ref="B52:B62" si="125">CONCATENATE("RPU_"&amp;D52)</f>
        <v>RPU_ON_SP198-HH150</v>
      </c>
      <c r="C52" s="11" t="s">
        <v>277</v>
      </c>
      <c r="D52" s="2" t="s">
        <v>54</v>
      </c>
      <c r="E52" s="9">
        <f t="shared" si="5"/>
        <v>44</v>
      </c>
      <c r="F52" s="13">
        <v>1</v>
      </c>
      <c r="G52" s="13" t="s">
        <v>55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2188.7934195531479</v>
      </c>
      <c r="CI52">
        <v>2188.7934195531479</v>
      </c>
      <c r="CJ52">
        <v>2188.7934195531479</v>
      </c>
      <c r="CK52">
        <v>2032.4510324422088</v>
      </c>
      <c r="CL52">
        <v>2032.4510324422088</v>
      </c>
      <c r="CM52">
        <v>2032.4510324422088</v>
      </c>
      <c r="CN52">
        <v>1915.1942421090046</v>
      </c>
      <c r="CO52">
        <v>1876.1086453312696</v>
      </c>
      <c r="CP52">
        <v>1876.1086453312696</v>
      </c>
      <c r="CQ52">
        <v>1876.1086453312696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18"/>
        <v>55.12222222222222</v>
      </c>
      <c r="EK52">
        <v>0</v>
      </c>
      <c r="EL52">
        <f t="shared" si="119"/>
        <v>55.12222222222222</v>
      </c>
      <c r="EM52">
        <v>0</v>
      </c>
      <c r="EN52">
        <f t="shared" si="120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21"/>
        <v>0</v>
      </c>
      <c r="EU52">
        <v>0</v>
      </c>
      <c r="EV52">
        <f t="shared" si="122"/>
        <v>0</v>
      </c>
      <c r="EW52">
        <v>0</v>
      </c>
      <c r="EX52">
        <f t="shared" si="123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98"/>
      <c r="B53" s="12" t="str">
        <f t="shared" si="125"/>
        <v>RPU_ON_SP237-HH100</v>
      </c>
      <c r="C53" s="11" t="s">
        <v>277</v>
      </c>
      <c r="D53" s="2" t="s">
        <v>56</v>
      </c>
      <c r="E53" s="9">
        <f t="shared" si="5"/>
        <v>45</v>
      </c>
      <c r="F53" s="13">
        <v>1</v>
      </c>
      <c r="G53" s="13" t="s">
        <v>57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1554.7627916706663</v>
      </c>
      <c r="CI53">
        <v>1554.7627916706663</v>
      </c>
      <c r="CJ53">
        <v>1554.7627916706663</v>
      </c>
      <c r="CK53">
        <v>1443.7083065513327</v>
      </c>
      <c r="CL53">
        <v>1443.7083065513327</v>
      </c>
      <c r="CM53">
        <v>1443.7083065513327</v>
      </c>
      <c r="CN53">
        <v>1360.4174427118328</v>
      </c>
      <c r="CO53">
        <v>1332.6538214319989</v>
      </c>
      <c r="CP53">
        <v>1332.6538214319989</v>
      </c>
      <c r="CQ53">
        <v>1332.6538214319989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18"/>
        <v>55.12222222222222</v>
      </c>
      <c r="EK53">
        <v>0</v>
      </c>
      <c r="EL53">
        <f t="shared" si="119"/>
        <v>55.12222222222222</v>
      </c>
      <c r="EM53">
        <v>0</v>
      </c>
      <c r="EN53">
        <f t="shared" si="120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21"/>
        <v>0</v>
      </c>
      <c r="EU53">
        <v>0</v>
      </c>
      <c r="EV53">
        <f t="shared" si="122"/>
        <v>0</v>
      </c>
      <c r="EW53">
        <v>0</v>
      </c>
      <c r="EX53">
        <f t="shared" si="123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98"/>
      <c r="B54" s="12" t="str">
        <f t="shared" si="125"/>
        <v>RPU_ON_SP237-HH150</v>
      </c>
      <c r="C54" s="11" t="s">
        <v>277</v>
      </c>
      <c r="D54" s="2" t="s">
        <v>58</v>
      </c>
      <c r="E54" s="9">
        <f t="shared" si="5"/>
        <v>46</v>
      </c>
      <c r="F54" s="13">
        <v>1</v>
      </c>
      <c r="G54" s="13" t="s">
        <v>59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1947.4738868244795</v>
      </c>
      <c r="CI54">
        <v>1947.4738868244795</v>
      </c>
      <c r="CJ54">
        <v>1947.4738868244795</v>
      </c>
      <c r="CK54">
        <v>1808.3686091941595</v>
      </c>
      <c r="CL54">
        <v>1808.3686091941595</v>
      </c>
      <c r="CM54">
        <v>1808.3686091941595</v>
      </c>
      <c r="CN54">
        <v>1704.0396509714192</v>
      </c>
      <c r="CO54">
        <v>1669.2633315638391</v>
      </c>
      <c r="CP54">
        <v>1669.2633315638391</v>
      </c>
      <c r="CQ54">
        <v>1669.2633315638391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18"/>
        <v>55.12222222222222</v>
      </c>
      <c r="EK54">
        <v>0</v>
      </c>
      <c r="EL54">
        <f t="shared" si="119"/>
        <v>55.12222222222222</v>
      </c>
      <c r="EM54">
        <v>0</v>
      </c>
      <c r="EN54">
        <f t="shared" si="120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98"/>
      <c r="B55" s="12" t="str">
        <f t="shared" si="125"/>
        <v>RPU_ON_SP277-HH100</v>
      </c>
      <c r="C55" s="11" t="s">
        <v>277</v>
      </c>
      <c r="D55" s="2" t="s">
        <v>60</v>
      </c>
      <c r="E55" s="9">
        <f t="shared" si="5"/>
        <v>47</v>
      </c>
      <c r="F55" s="13">
        <v>1</v>
      </c>
      <c r="G55" s="13" t="s">
        <v>61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1414.9828559823698</v>
      </c>
      <c r="CI55">
        <v>1414.9828559823698</v>
      </c>
      <c r="CJ55">
        <v>1414.9828559823698</v>
      </c>
      <c r="CK55">
        <v>1313.9126519836288</v>
      </c>
      <c r="CL55">
        <v>1313.9126519836288</v>
      </c>
      <c r="CM55">
        <v>1313.9126519836288</v>
      </c>
      <c r="CN55">
        <v>1238.1099989845734</v>
      </c>
      <c r="CO55">
        <v>1212.8424479848879</v>
      </c>
      <c r="CP55">
        <v>1212.8424479848879</v>
      </c>
      <c r="CQ55">
        <v>1212.8424479848879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98"/>
      <c r="B56" s="12" t="str">
        <f t="shared" si="125"/>
        <v>RPU_ON_SP277-HH150</v>
      </c>
      <c r="C56" s="11" t="s">
        <v>277</v>
      </c>
      <c r="D56" s="2" t="s">
        <v>62</v>
      </c>
      <c r="E56" s="9">
        <f t="shared" si="5"/>
        <v>48</v>
      </c>
      <c r="F56" s="13">
        <v>1</v>
      </c>
      <c r="G56" s="13" t="s">
        <v>63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1807.6939511361822</v>
      </c>
      <c r="CI56">
        <v>1807.6939511361822</v>
      </c>
      <c r="CJ56">
        <v>1807.6939511361822</v>
      </c>
      <c r="CK56">
        <v>1678.5729546264547</v>
      </c>
      <c r="CL56">
        <v>1678.5729546264547</v>
      </c>
      <c r="CM56">
        <v>1678.5729546264547</v>
      </c>
      <c r="CN56">
        <v>1581.7322072441593</v>
      </c>
      <c r="CO56">
        <v>1549.4519581167272</v>
      </c>
      <c r="CP56">
        <v>1549.4519581167272</v>
      </c>
      <c r="CQ56">
        <v>1549.4519581167272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98"/>
      <c r="B57" s="12" t="str">
        <f t="shared" si="125"/>
        <v>RPU_ON_SP321-HH100</v>
      </c>
      <c r="C57" s="11" t="s">
        <v>277</v>
      </c>
      <c r="D57" s="2" t="s">
        <v>64</v>
      </c>
      <c r="E57" s="9">
        <f t="shared" si="5"/>
        <v>49</v>
      </c>
      <c r="F57" s="13">
        <v>1</v>
      </c>
      <c r="G57" s="13" t="s">
        <v>65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1301.2947800734096</v>
      </c>
      <c r="CI57">
        <v>1301.2947800734096</v>
      </c>
      <c r="CJ57">
        <v>1301.2947800734096</v>
      </c>
      <c r="CK57">
        <v>1208.3451529253089</v>
      </c>
      <c r="CL57">
        <v>1208.3451529253089</v>
      </c>
      <c r="CM57">
        <v>1208.3451529253089</v>
      </c>
      <c r="CN57">
        <v>1138.6329325642334</v>
      </c>
      <c r="CO57">
        <v>1115.3955257772077</v>
      </c>
      <c r="CP57">
        <v>1115.3955257772077</v>
      </c>
      <c r="CQ57">
        <v>1115.3955257772077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98"/>
      <c r="B58" s="12" t="str">
        <f t="shared" si="125"/>
        <v>RPU_ON_SP321-HH150</v>
      </c>
      <c r="C58" s="11" t="s">
        <v>277</v>
      </c>
      <c r="D58" s="2" t="s">
        <v>66</v>
      </c>
      <c r="E58" s="9">
        <f t="shared" si="5"/>
        <v>50</v>
      </c>
      <c r="F58" s="13">
        <v>1</v>
      </c>
      <c r="G58" s="13" t="s">
        <v>67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1694.0063453254108</v>
      </c>
      <c r="CI58">
        <v>1694.0063453254108</v>
      </c>
      <c r="CJ58">
        <v>1694.0063453254108</v>
      </c>
      <c r="CK58">
        <v>1573.0058920878812</v>
      </c>
      <c r="CL58">
        <v>1573.0058920878812</v>
      </c>
      <c r="CM58">
        <v>1573.0058920878812</v>
      </c>
      <c r="CN58">
        <v>1482.2555521597342</v>
      </c>
      <c r="CO58">
        <v>1452.0054388503518</v>
      </c>
      <c r="CP58">
        <v>1452.0054388503518</v>
      </c>
      <c r="CQ58">
        <v>1452.0054388503518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98"/>
      <c r="B59" s="12" t="str">
        <f t="shared" si="125"/>
        <v>RPU_OFF_SP379-HH100</v>
      </c>
      <c r="C59" s="11" t="s">
        <v>277</v>
      </c>
      <c r="D59" s="2" t="s">
        <v>68</v>
      </c>
      <c r="E59" s="9">
        <f t="shared" si="5"/>
        <v>51</v>
      </c>
      <c r="F59" s="13">
        <v>1</v>
      </c>
      <c r="G59" s="13" t="s">
        <v>69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2205.1904479084506</v>
      </c>
      <c r="CI59">
        <v>2205.1904479084506</v>
      </c>
      <c r="CJ59">
        <v>2205.1904479084506</v>
      </c>
      <c r="CK59">
        <v>1998.1303119546053</v>
      </c>
      <c r="CL59">
        <v>1998.1303119546053</v>
      </c>
      <c r="CM59">
        <v>1998.1303119546053</v>
      </c>
      <c r="CN59">
        <v>1873.8942303822985</v>
      </c>
      <c r="CO59">
        <v>1842.8352099892215</v>
      </c>
      <c r="CP59">
        <v>1842.8352099892215</v>
      </c>
      <c r="CQ59">
        <v>1842.8352099892215</v>
      </c>
      <c r="CR59">
        <v>41.773124610000004</v>
      </c>
      <c r="CS59">
        <v>41.773124610000004</v>
      </c>
      <c r="CT59">
        <v>41.773124610000004</v>
      </c>
      <c r="CU59">
        <v>37.595707869999998</v>
      </c>
      <c r="CV59">
        <v>37.595707870000005</v>
      </c>
      <c r="CW59">
        <v>37.595707870000005</v>
      </c>
      <c r="CX59">
        <v>34.588301510000008</v>
      </c>
      <c r="CY59">
        <v>33.836449920000007</v>
      </c>
      <c r="CZ59">
        <v>33.836449920000007</v>
      </c>
      <c r="DA59">
        <v>33.83644992</v>
      </c>
      <c r="DB59">
        <v>3.1283700000000001E-3</v>
      </c>
      <c r="DC59">
        <v>3.1283700000000001E-3</v>
      </c>
      <c r="DD59">
        <v>3.1283700000000001E-3</v>
      </c>
      <c r="DE59">
        <v>2.8155330000000003E-3</v>
      </c>
      <c r="DF59">
        <v>2.8155330000000003E-3</v>
      </c>
      <c r="DG59">
        <v>2.8155329999999998E-3</v>
      </c>
      <c r="DH59">
        <v>2.6069750000000001E-3</v>
      </c>
      <c r="DI59">
        <v>2.5026960000000004E-3</v>
      </c>
      <c r="DJ59">
        <v>2.5026960000000004E-3</v>
      </c>
      <c r="DK59">
        <v>2.502696E-3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53.529999999999994</v>
      </c>
      <c r="EG59">
        <v>53.53</v>
      </c>
      <c r="EH59">
        <v>53.529999999999994</v>
      </c>
      <c r="EI59">
        <v>0</v>
      </c>
      <c r="EJ59">
        <f t="shared" si="118"/>
        <v>53.53</v>
      </c>
      <c r="EK59">
        <v>0</v>
      </c>
      <c r="EL59">
        <f t="shared" si="119"/>
        <v>53.53</v>
      </c>
      <c r="EM59">
        <v>0</v>
      </c>
      <c r="EN59">
        <f t="shared" si="120"/>
        <v>53.53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98"/>
      <c r="B60" s="12" t="str">
        <f t="shared" si="125"/>
        <v>RPU_OFF_SP379-HH150</v>
      </c>
      <c r="C60" s="11" t="s">
        <v>277</v>
      </c>
      <c r="D60" s="2" t="s">
        <v>70</v>
      </c>
      <c r="E60" s="9">
        <f t="shared" si="5"/>
        <v>52</v>
      </c>
      <c r="F60" s="13">
        <v>1</v>
      </c>
      <c r="G60" s="13" t="s">
        <v>71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2534.6071744804217</v>
      </c>
      <c r="CI60">
        <v>2534.6071744804217</v>
      </c>
      <c r="CJ60">
        <v>2534.6071744804217</v>
      </c>
      <c r="CK60">
        <v>2296.6158904916497</v>
      </c>
      <c r="CL60">
        <v>2296.6158904916497</v>
      </c>
      <c r="CM60">
        <v>2296.6158904916497</v>
      </c>
      <c r="CN60">
        <v>2153.8211200983869</v>
      </c>
      <c r="CO60">
        <v>2118.1224275000709</v>
      </c>
      <c r="CP60">
        <v>2118.1224275000709</v>
      </c>
      <c r="CQ60">
        <v>2118.1224275000709</v>
      </c>
      <c r="CR60">
        <v>41.773124610000004</v>
      </c>
      <c r="CS60">
        <v>41.773124610000004</v>
      </c>
      <c r="CT60">
        <v>41.773124610000004</v>
      </c>
      <c r="CU60">
        <v>37.595707869999998</v>
      </c>
      <c r="CV60">
        <v>37.595707870000005</v>
      </c>
      <c r="CW60">
        <v>37.595707870000005</v>
      </c>
      <c r="CX60">
        <v>34.588301510000008</v>
      </c>
      <c r="CY60">
        <v>33.836449920000007</v>
      </c>
      <c r="CZ60">
        <v>33.836449920000007</v>
      </c>
      <c r="DA60">
        <v>33.83644992</v>
      </c>
      <c r="DB60">
        <v>3.1283700000000001E-3</v>
      </c>
      <c r="DC60">
        <v>3.1283700000000001E-3</v>
      </c>
      <c r="DD60">
        <v>3.1283700000000001E-3</v>
      </c>
      <c r="DE60">
        <v>2.8155330000000003E-3</v>
      </c>
      <c r="DF60">
        <v>2.8155330000000003E-3</v>
      </c>
      <c r="DG60">
        <v>2.8155329999999998E-3</v>
      </c>
      <c r="DH60">
        <v>2.6069750000000001E-3</v>
      </c>
      <c r="DI60">
        <v>2.5026960000000004E-3</v>
      </c>
      <c r="DJ60">
        <v>2.5026960000000004E-3</v>
      </c>
      <c r="DK60">
        <v>2.502696E-3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53.529999999999994</v>
      </c>
      <c r="EG60">
        <v>53.529999999999994</v>
      </c>
      <c r="EH60">
        <v>53.529999999999994</v>
      </c>
      <c r="EI60">
        <v>0</v>
      </c>
      <c r="EJ60">
        <f t="shared" si="118"/>
        <v>53.529999999999994</v>
      </c>
      <c r="EK60">
        <v>0</v>
      </c>
      <c r="EL60">
        <f t="shared" si="119"/>
        <v>53.529999999999994</v>
      </c>
      <c r="EM60">
        <v>0</v>
      </c>
      <c r="EN60">
        <f t="shared" si="120"/>
        <v>53.529999999999994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98"/>
      <c r="B61" s="12" t="str">
        <f t="shared" si="125"/>
        <v>RPU_OFF_SP450-HH100</v>
      </c>
      <c r="C61" s="11" t="s">
        <v>277</v>
      </c>
      <c r="D61" s="2" t="s">
        <v>72</v>
      </c>
      <c r="E61" s="9">
        <f t="shared" si="5"/>
        <v>53</v>
      </c>
      <c r="F61" s="13">
        <v>1</v>
      </c>
      <c r="G61" s="13" t="s">
        <v>73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1988.1234836201065</v>
      </c>
      <c r="CI61">
        <v>1988.1234836201065</v>
      </c>
      <c r="CJ61">
        <v>1988.1234836201065</v>
      </c>
      <c r="CK61">
        <v>1801.4452222473265</v>
      </c>
      <c r="CL61">
        <v>1801.4452222473265</v>
      </c>
      <c r="CM61">
        <v>1801.4452222473265</v>
      </c>
      <c r="CN61">
        <v>1689.4382654236588</v>
      </c>
      <c r="CO61">
        <v>1661.4365262177421</v>
      </c>
      <c r="CP61">
        <v>1661.4365262177421</v>
      </c>
      <c r="CQ61">
        <v>1661.4365262177421</v>
      </c>
      <c r="CR61">
        <v>41.773124610000004</v>
      </c>
      <c r="CS61">
        <v>41.773124610000004</v>
      </c>
      <c r="CT61">
        <v>41.773124610000004</v>
      </c>
      <c r="CU61">
        <v>37.595707869999998</v>
      </c>
      <c r="CV61">
        <v>37.595707870000005</v>
      </c>
      <c r="CW61">
        <v>37.595707870000005</v>
      </c>
      <c r="CX61">
        <v>34.588301510000008</v>
      </c>
      <c r="CY61">
        <v>33.836449920000007</v>
      </c>
      <c r="CZ61">
        <v>33.836449920000007</v>
      </c>
      <c r="DA61">
        <v>33.83644992</v>
      </c>
      <c r="DB61">
        <v>3.1283700000000001E-3</v>
      </c>
      <c r="DC61">
        <v>3.1283700000000001E-3</v>
      </c>
      <c r="DD61">
        <v>3.1283700000000001E-3</v>
      </c>
      <c r="DE61">
        <v>2.8155330000000003E-3</v>
      </c>
      <c r="DF61">
        <v>2.8155330000000003E-3</v>
      </c>
      <c r="DG61">
        <v>2.8155329999999998E-3</v>
      </c>
      <c r="DH61">
        <v>2.6069750000000001E-3</v>
      </c>
      <c r="DI61">
        <v>2.5026960000000004E-3</v>
      </c>
      <c r="DJ61">
        <v>2.5026960000000004E-3</v>
      </c>
      <c r="DK61">
        <v>2.502696E-3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53.529999999999994</v>
      </c>
      <c r="EG61">
        <v>53.529999999999994</v>
      </c>
      <c r="EH61">
        <v>53.529999999999994</v>
      </c>
      <c r="EI61">
        <v>0</v>
      </c>
      <c r="EJ61">
        <f t="shared" si="118"/>
        <v>53.529999999999994</v>
      </c>
      <c r="EK61">
        <v>0</v>
      </c>
      <c r="EL61">
        <f t="shared" si="119"/>
        <v>53.529999999999994</v>
      </c>
      <c r="EM61">
        <v>0</v>
      </c>
      <c r="EN61">
        <f t="shared" si="120"/>
        <v>53.529999999999994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98"/>
      <c r="B62" s="12" t="str">
        <f t="shared" si="125"/>
        <v>RPU_OFF_SP450-HH150</v>
      </c>
      <c r="C62" s="11" t="s">
        <v>277</v>
      </c>
      <c r="D62" s="2" t="s">
        <v>165</v>
      </c>
      <c r="E62" s="9">
        <f t="shared" si="5"/>
        <v>54</v>
      </c>
      <c r="F62" s="13">
        <v>1</v>
      </c>
      <c r="G62" s="13" t="s">
        <v>74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2265.5270428386079</v>
      </c>
      <c r="CI62">
        <v>2265.5270428386079</v>
      </c>
      <c r="CJ62">
        <v>2265.5270428386079</v>
      </c>
      <c r="CK62">
        <v>2052.8014989101002</v>
      </c>
      <c r="CL62">
        <v>2052.8014989101002</v>
      </c>
      <c r="CM62">
        <v>2052.8014989101002</v>
      </c>
      <c r="CN62">
        <v>1925.1661725529959</v>
      </c>
      <c r="CO62">
        <v>1893.2573409637196</v>
      </c>
      <c r="CP62">
        <v>1893.2573409637196</v>
      </c>
      <c r="CQ62">
        <v>1893.2573409637196</v>
      </c>
      <c r="CR62">
        <v>41.773124610000004</v>
      </c>
      <c r="CS62">
        <v>41.773124610000004</v>
      </c>
      <c r="CT62">
        <v>41.773124610000004</v>
      </c>
      <c r="CU62">
        <v>37.595707869999998</v>
      </c>
      <c r="CV62">
        <v>37.595707870000005</v>
      </c>
      <c r="CW62">
        <v>37.595707870000005</v>
      </c>
      <c r="CX62">
        <v>34.588301510000008</v>
      </c>
      <c r="CY62">
        <v>33.836449920000007</v>
      </c>
      <c r="CZ62">
        <v>33.836449920000007</v>
      </c>
      <c r="DA62">
        <v>33.83644992</v>
      </c>
      <c r="DB62">
        <v>3.1283700000000001E-3</v>
      </c>
      <c r="DC62">
        <v>3.1283700000000001E-3</v>
      </c>
      <c r="DD62">
        <v>3.1283700000000001E-3</v>
      </c>
      <c r="DE62">
        <v>2.8155330000000003E-3</v>
      </c>
      <c r="DF62">
        <v>2.8155330000000003E-3</v>
      </c>
      <c r="DG62">
        <v>2.8155329999999998E-3</v>
      </c>
      <c r="DH62">
        <v>2.6069750000000001E-3</v>
      </c>
      <c r="DI62">
        <v>2.5026960000000004E-3</v>
      </c>
      <c r="DJ62">
        <v>2.5026960000000004E-3</v>
      </c>
      <c r="DK62">
        <v>2.502696E-3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53.529999999999994</v>
      </c>
      <c r="EG62">
        <v>53.529999999999994</v>
      </c>
      <c r="EH62">
        <v>53.529999999999994</v>
      </c>
      <c r="EI62">
        <v>0</v>
      </c>
      <c r="EJ62">
        <f t="shared" si="118"/>
        <v>53.529999999999994</v>
      </c>
      <c r="EK62">
        <v>0</v>
      </c>
      <c r="EL62">
        <f t="shared" si="119"/>
        <v>53.529999999999994</v>
      </c>
      <c r="EM62">
        <v>0</v>
      </c>
      <c r="EN62">
        <f t="shared" si="120"/>
        <v>53.529999999999994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98"/>
      <c r="B63" s="12" t="s">
        <v>236</v>
      </c>
      <c r="C63" s="11" t="s">
        <v>277</v>
      </c>
      <c r="D63" s="2" t="s">
        <v>237</v>
      </c>
      <c r="E63" s="9">
        <f t="shared" si="5"/>
        <v>55</v>
      </c>
      <c r="F63" s="13">
        <v>1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1</v>
      </c>
      <c r="O63">
        <f t="shared" si="124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3662.1</v>
      </c>
      <c r="CI63">
        <v>3662.1</v>
      </c>
      <c r="CJ63">
        <v>3662.1</v>
      </c>
      <c r="CK63">
        <v>3662.1</v>
      </c>
      <c r="CL63">
        <v>3662.1</v>
      </c>
      <c r="CM63">
        <v>3662.1</v>
      </c>
      <c r="CN63">
        <v>3662.1</v>
      </c>
      <c r="CO63">
        <v>3662.1</v>
      </c>
      <c r="CP63">
        <v>3662.1</v>
      </c>
      <c r="CQ63">
        <v>3662.1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8.77/1000</f>
        <v>8.77E-3</v>
      </c>
      <c r="DC63">
        <f t="shared" ref="DC63:DK63" si="126">8.77/1000</f>
        <v>8.77E-3</v>
      </c>
      <c r="DD63">
        <f t="shared" si="126"/>
        <v>8.77E-3</v>
      </c>
      <c r="DE63">
        <f t="shared" si="126"/>
        <v>8.77E-3</v>
      </c>
      <c r="DF63">
        <f t="shared" si="126"/>
        <v>8.77E-3</v>
      </c>
      <c r="DG63">
        <f t="shared" si="126"/>
        <v>8.77E-3</v>
      </c>
      <c r="DH63">
        <f t="shared" si="126"/>
        <v>8.77E-3</v>
      </c>
      <c r="DI63">
        <f t="shared" si="126"/>
        <v>8.77E-3</v>
      </c>
      <c r="DJ63">
        <f t="shared" si="126"/>
        <v>8.77E-3</v>
      </c>
      <c r="DK63">
        <f t="shared" si="126"/>
        <v>8.77E-3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f>((6.78*10^7)/(20*10^3))/30</f>
        <v>113</v>
      </c>
      <c r="EG63">
        <f t="shared" ref="EG63:EN63" si="127">((6.78*10^7)/(20*10^3))/30</f>
        <v>113</v>
      </c>
      <c r="EH63">
        <f t="shared" si="127"/>
        <v>113</v>
      </c>
      <c r="EI63">
        <v>0</v>
      </c>
      <c r="EJ63">
        <f t="shared" si="127"/>
        <v>113</v>
      </c>
      <c r="EK63">
        <v>0</v>
      </c>
      <c r="EL63">
        <f t="shared" si="127"/>
        <v>113</v>
      </c>
      <c r="EM63">
        <v>0</v>
      </c>
      <c r="EN63">
        <f t="shared" si="127"/>
        <v>113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8.0586403511111196E-2</v>
      </c>
      <c r="FK63" s="32">
        <v>8.0586403511111196E-2</v>
      </c>
      <c r="FL63" s="32">
        <v>8.0586403511111196E-2</v>
      </c>
      <c r="FM63" s="32">
        <v>8.0586403511111196E-2</v>
      </c>
      <c r="FN63" s="32">
        <v>8.0586403511111196E-2</v>
      </c>
      <c r="FO63" s="32">
        <v>8.0586403511111196E-2</v>
      </c>
      <c r="FP63" s="32">
        <v>8.0586403511111196E-2</v>
      </c>
      <c r="FQ63" s="32">
        <v>8.0586403511111196E-2</v>
      </c>
      <c r="FR63" s="32">
        <v>8.0586403511111196E-2</v>
      </c>
      <c r="FS63" s="32">
        <v>8.0586403511111196E-2</v>
      </c>
    </row>
    <row r="64" spans="1:175" x14ac:dyDescent="0.3">
      <c r="A64" s="98"/>
      <c r="B64" s="12" t="s">
        <v>15</v>
      </c>
      <c r="C64" s="11" t="s">
        <v>277</v>
      </c>
      <c r="D64" s="2" t="s">
        <v>271</v>
      </c>
      <c r="E64" s="9">
        <f t="shared" si="5"/>
        <v>56</v>
      </c>
      <c r="F64" s="13">
        <v>1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-1</v>
      </c>
      <c r="O64">
        <f t="shared" si="124"/>
        <v>2000000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1</v>
      </c>
      <c r="BE64" s="60">
        <v>1</v>
      </c>
      <c r="BF64" s="60">
        <v>1</v>
      </c>
      <c r="BG64" s="60">
        <v>1</v>
      </c>
      <c r="BH64" s="60">
        <v>1</v>
      </c>
      <c r="BI64" s="60">
        <v>1</v>
      </c>
      <c r="BJ64" s="60">
        <v>1</v>
      </c>
      <c r="BK64" s="60">
        <v>1</v>
      </c>
      <c r="BL64" s="60">
        <v>1</v>
      </c>
      <c r="BM64" s="60">
        <v>1</v>
      </c>
      <c r="BN64" s="60">
        <v>1</v>
      </c>
      <c r="BO64" s="60">
        <v>1</v>
      </c>
      <c r="BP64" s="60">
        <v>1</v>
      </c>
      <c r="BQ64" s="60">
        <v>1</v>
      </c>
      <c r="BR64" s="60">
        <v>1</v>
      </c>
      <c r="BS64" s="60">
        <v>1</v>
      </c>
      <c r="BT64" s="60">
        <v>1</v>
      </c>
      <c r="BU64" s="60">
        <v>1</v>
      </c>
      <c r="BV64" s="60">
        <v>1</v>
      </c>
      <c r="BW64" s="60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98"/>
      <c r="B65" s="12" t="s">
        <v>16</v>
      </c>
      <c r="C65" s="11" t="s">
        <v>277</v>
      </c>
      <c r="D65" s="2" t="s">
        <v>272</v>
      </c>
      <c r="E65" s="9">
        <f t="shared" si="5"/>
        <v>57</v>
      </c>
      <c r="F65" s="13">
        <v>1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1</v>
      </c>
      <c r="O65">
        <f t="shared" si="124"/>
        <v>2000000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1</v>
      </c>
      <c r="BE65" s="60">
        <v>1</v>
      </c>
      <c r="BF65" s="60">
        <v>1</v>
      </c>
      <c r="BG65" s="60">
        <v>1</v>
      </c>
      <c r="BH65" s="60">
        <v>1</v>
      </c>
      <c r="BI65" s="60">
        <v>1</v>
      </c>
      <c r="BJ65" s="60">
        <v>1</v>
      </c>
      <c r="BK65" s="60">
        <v>1</v>
      </c>
      <c r="BL65" s="60">
        <v>1</v>
      </c>
      <c r="BM65" s="60">
        <v>1</v>
      </c>
      <c r="BN65" s="60">
        <v>1</v>
      </c>
      <c r="BO65" s="60">
        <v>1</v>
      </c>
      <c r="BP65" s="60">
        <v>1</v>
      </c>
      <c r="BQ65" s="60">
        <v>1</v>
      </c>
      <c r="BR65" s="60">
        <v>1</v>
      </c>
      <c r="BS65" s="60">
        <v>1</v>
      </c>
      <c r="BT65" s="60">
        <v>1</v>
      </c>
      <c r="BU65" s="60">
        <v>1</v>
      </c>
      <c r="BV65" s="60">
        <v>1</v>
      </c>
      <c r="BW65" s="60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98"/>
      <c r="B66" s="12" t="s">
        <v>17</v>
      </c>
      <c r="C66" s="11" t="s">
        <v>277</v>
      </c>
      <c r="D66" s="2" t="s">
        <v>273</v>
      </c>
      <c r="E66" s="9">
        <f t="shared" si="5"/>
        <v>58</v>
      </c>
      <c r="F66" s="13">
        <v>1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1</v>
      </c>
      <c r="BE66" s="60">
        <v>1</v>
      </c>
      <c r="BF66" s="60">
        <v>1</v>
      </c>
      <c r="BG66" s="60">
        <v>1</v>
      </c>
      <c r="BH66" s="60">
        <v>1</v>
      </c>
      <c r="BI66" s="60">
        <v>1</v>
      </c>
      <c r="BJ66" s="60">
        <v>1</v>
      </c>
      <c r="BK66" s="60">
        <v>1</v>
      </c>
      <c r="BL66" s="60">
        <v>1</v>
      </c>
      <c r="BM66" s="60">
        <v>1</v>
      </c>
      <c r="BN66" s="60">
        <v>1</v>
      </c>
      <c r="BO66" s="60">
        <v>1</v>
      </c>
      <c r="BP66" s="60">
        <v>1</v>
      </c>
      <c r="BQ66" s="60">
        <v>1</v>
      </c>
      <c r="BR66" s="60">
        <v>1</v>
      </c>
      <c r="BS66" s="60">
        <v>1</v>
      </c>
      <c r="BT66" s="60">
        <v>1</v>
      </c>
      <c r="BU66" s="60">
        <v>1</v>
      </c>
      <c r="BV66" s="60">
        <v>1</v>
      </c>
      <c r="BW66" s="60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41</v>
      </c>
      <c r="CI66">
        <v>41</v>
      </c>
      <c r="CJ66">
        <v>41</v>
      </c>
      <c r="CK66">
        <v>0</v>
      </c>
      <c r="CL66">
        <f>41</f>
        <v>41</v>
      </c>
      <c r="CM66">
        <v>0</v>
      </c>
      <c r="CN66">
        <v>41</v>
      </c>
      <c r="CO66">
        <v>0</v>
      </c>
      <c r="CP66">
        <v>41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9.3678779051968114E-2</v>
      </c>
      <c r="FK66" s="32">
        <v>8.0586403511111196E-2</v>
      </c>
      <c r="FL66" s="32">
        <v>8.0586403511111196E-2</v>
      </c>
      <c r="FM66" s="32">
        <v>8.0586403511111196E-2</v>
      </c>
      <c r="FN66" s="32">
        <v>8.0586403511111196E-2</v>
      </c>
      <c r="FO66" s="32">
        <v>8.0586403511111196E-2</v>
      </c>
      <c r="FP66" s="32">
        <v>8.0586403511111196E-2</v>
      </c>
      <c r="FQ66" s="32">
        <v>8.0586403511111196E-2</v>
      </c>
      <c r="FR66" s="32">
        <v>8.0586403511111196E-2</v>
      </c>
      <c r="FS66" s="32">
        <v>8.0586403511111196E-2</v>
      </c>
    </row>
    <row r="67" spans="1:175" x14ac:dyDescent="0.3">
      <c r="A67" s="98"/>
      <c r="B67" s="61" t="s">
        <v>277</v>
      </c>
      <c r="C67" s="11" t="s">
        <v>277</v>
      </c>
      <c r="D67" s="2" t="s">
        <v>278</v>
      </c>
      <c r="E67" s="9">
        <f t="shared" si="5"/>
        <v>59</v>
      </c>
      <c r="F67" s="13">
        <v>1</v>
      </c>
      <c r="G67" s="13" t="s">
        <v>278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-1</v>
      </c>
      <c r="O67">
        <f t="shared" si="124"/>
        <v>2000000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1</v>
      </c>
      <c r="BE67" s="60">
        <v>1</v>
      </c>
      <c r="BF67" s="60">
        <v>1</v>
      </c>
      <c r="BG67" s="60">
        <v>1</v>
      </c>
      <c r="BH67" s="60">
        <v>1</v>
      </c>
      <c r="BI67" s="60">
        <v>1</v>
      </c>
      <c r="BJ67" s="60">
        <v>1</v>
      </c>
      <c r="BK67" s="60">
        <v>1</v>
      </c>
      <c r="BL67" s="60">
        <v>1</v>
      </c>
      <c r="BM67" s="60">
        <v>1</v>
      </c>
      <c r="BN67" s="60">
        <v>1</v>
      </c>
      <c r="BO67" s="60">
        <v>1</v>
      </c>
      <c r="BP67" s="60">
        <v>1</v>
      </c>
      <c r="BQ67" s="60">
        <v>1</v>
      </c>
      <c r="BR67" s="60">
        <v>1</v>
      </c>
      <c r="BS67" s="60">
        <v>1</v>
      </c>
      <c r="BT67" s="60">
        <v>1</v>
      </c>
      <c r="BU67" s="60">
        <v>1</v>
      </c>
      <c r="BV67" s="60">
        <v>1</v>
      </c>
      <c r="BW67" s="60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98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3">
        <v>0</v>
      </c>
      <c r="G68" s="13" t="s">
        <v>24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180</v>
      </c>
      <c r="CI68">
        <v>180</v>
      </c>
      <c r="CJ68">
        <v>180</v>
      </c>
      <c r="CK68">
        <v>180</v>
      </c>
      <c r="CL68">
        <v>180</v>
      </c>
      <c r="CM68">
        <v>180</v>
      </c>
      <c r="CN68">
        <v>180</v>
      </c>
      <c r="CO68">
        <v>180</v>
      </c>
      <c r="CP68">
        <v>180</v>
      </c>
      <c r="CQ68">
        <v>180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1.6649999999999998E-2</v>
      </c>
      <c r="DW68">
        <v>1.6649999999999998E-2</v>
      </c>
      <c r="DX68">
        <v>1.6649999999999998E-2</v>
      </c>
      <c r="DY68">
        <v>1.6649999999999998E-2</v>
      </c>
      <c r="DZ68">
        <v>1.6649999999999998E-2</v>
      </c>
      <c r="EA68">
        <v>1.6649999999999998E-2</v>
      </c>
      <c r="EB68">
        <v>1.6649999999999998E-2</v>
      </c>
      <c r="EC68">
        <v>1.6649999999999998E-2</v>
      </c>
      <c r="ED68">
        <v>1.6649999999999998E-2</v>
      </c>
      <c r="EE68">
        <v>1.6649999999999998E-2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f>0.520716756485048*B1</f>
        <v>0</v>
      </c>
      <c r="EQ68">
        <f>0.520716756485048*B1</f>
        <v>0</v>
      </c>
      <c r="ER68">
        <f>0.520716756485048*B1</f>
        <v>0</v>
      </c>
      <c r="ES68">
        <v>0</v>
      </c>
      <c r="ET68">
        <f>0.187143584625145*B1</f>
        <v>0</v>
      </c>
      <c r="EU68">
        <v>0</v>
      </c>
      <c r="EV68">
        <f>0.0198475609303731*B1</f>
        <v>0</v>
      </c>
      <c r="EW68">
        <v>0</v>
      </c>
      <c r="EX68">
        <f>0.0028336085303343*B1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8.8827433387272267E-2</v>
      </c>
      <c r="FK68" s="32">
        <v>8.8827433387272267E-2</v>
      </c>
      <c r="FL68" s="32">
        <v>8.8827433387272267E-2</v>
      </c>
      <c r="FM68" s="32">
        <v>8.8827433387272267E-2</v>
      </c>
      <c r="FN68" s="32">
        <v>8.8827433387272267E-2</v>
      </c>
      <c r="FO68" s="32">
        <v>8.8827433387272267E-2</v>
      </c>
      <c r="FP68" s="32">
        <v>8.8827433387272267E-2</v>
      </c>
      <c r="FQ68" s="32">
        <v>8.8827433387272267E-2</v>
      </c>
      <c r="FR68" s="32">
        <v>8.8827433387272267E-2</v>
      </c>
      <c r="FS68" s="32">
        <v>8.8827433387272267E-2</v>
      </c>
    </row>
    <row r="69" spans="1:175" x14ac:dyDescent="0.3">
      <c r="A69" s="98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3">
        <v>1</v>
      </c>
      <c r="G69" s="13" t="s">
        <v>279</v>
      </c>
      <c r="H69">
        <v>0</v>
      </c>
      <c r="I69" t="s">
        <v>12</v>
      </c>
      <c r="J69">
        <v>-1</v>
      </c>
      <c r="K69">
        <v>0</v>
      </c>
      <c r="L69" s="10">
        <v>0</v>
      </c>
      <c r="M69">
        <v>0</v>
      </c>
      <c r="N69">
        <v>0</v>
      </c>
      <c r="O69">
        <v>24000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f>$EG69*B$3</f>
        <v>0</v>
      </c>
      <c r="EK69">
        <v>0</v>
      </c>
      <c r="EL69">
        <f>$EG69*C$3</f>
        <v>0</v>
      </c>
      <c r="EM69">
        <v>0</v>
      </c>
      <c r="EN69">
        <f>$EG69*D$3</f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98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3">
        <v>1</v>
      </c>
      <c r="G70" s="13" t="s">
        <v>177</v>
      </c>
      <c r="H70">
        <v>0</v>
      </c>
      <c r="I70" t="s">
        <v>12</v>
      </c>
      <c r="J70">
        <v>1</v>
      </c>
      <c r="K70">
        <v>0</v>
      </c>
      <c r="L70" s="10">
        <v>0</v>
      </c>
      <c r="M70">
        <v>0</v>
      </c>
      <c r="N70">
        <v>0</v>
      </c>
      <c r="O70">
        <v>20000000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1</v>
      </c>
      <c r="BE70" s="34">
        <v>1</v>
      </c>
      <c r="BF70" s="34">
        <v>1</v>
      </c>
      <c r="BG70" s="34">
        <v>1</v>
      </c>
      <c r="BH70" s="34">
        <v>1</v>
      </c>
      <c r="BI70" s="34">
        <v>1</v>
      </c>
      <c r="BJ70" s="34">
        <v>1</v>
      </c>
      <c r="BK70" s="34">
        <v>1</v>
      </c>
      <c r="BL70" s="34">
        <v>1</v>
      </c>
      <c r="BM70" s="34">
        <v>1</v>
      </c>
      <c r="BN70" s="34">
        <v>1</v>
      </c>
      <c r="BO70" s="34">
        <v>1</v>
      </c>
      <c r="BP70" s="34">
        <v>1</v>
      </c>
      <c r="BQ70" s="34">
        <v>1</v>
      </c>
      <c r="BR70" s="34">
        <v>1</v>
      </c>
      <c r="BS70" s="34">
        <v>1</v>
      </c>
      <c r="BT70" s="34">
        <v>1</v>
      </c>
      <c r="BU70" s="34">
        <v>1</v>
      </c>
      <c r="BV70" s="34">
        <v>1</v>
      </c>
      <c r="BW70" s="34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343</f>
        <v>343</v>
      </c>
      <c r="CI70">
        <f>343</f>
        <v>343</v>
      </c>
      <c r="CJ70">
        <f>343</f>
        <v>343</v>
      </c>
      <c r="CK70">
        <f>343</f>
        <v>343</v>
      </c>
      <c r="CL70">
        <f>343</f>
        <v>343</v>
      </c>
      <c r="CM70">
        <f>343</f>
        <v>343</v>
      </c>
      <c r="CN70">
        <f>343</f>
        <v>343</v>
      </c>
      <c r="CO70">
        <f>343</f>
        <v>343</v>
      </c>
      <c r="CP70">
        <f>343</f>
        <v>343</v>
      </c>
      <c r="CQ70">
        <f>343</f>
        <v>343</v>
      </c>
      <c r="CR70">
        <v>8.8000000000000007</v>
      </c>
      <c r="CS70">
        <v>8.8000000000000007</v>
      </c>
      <c r="CT70">
        <v>8.8000000000000007</v>
      </c>
      <c r="CU70">
        <v>8.8000000000000007</v>
      </c>
      <c r="CV70">
        <v>8.8000000000000007</v>
      </c>
      <c r="CW70">
        <v>8.8000000000000007</v>
      </c>
      <c r="CX70">
        <v>8.8000000000000007</v>
      </c>
      <c r="CY70">
        <v>8.8000000000000007</v>
      </c>
      <c r="CZ70">
        <v>8.8000000000000007</v>
      </c>
      <c r="DA70">
        <v>8.8000000000000007</v>
      </c>
      <c r="DB70">
        <f t="shared" ref="DB70:DK70" si="128">6/(10^3)</f>
        <v>6.0000000000000001E-3</v>
      </c>
      <c r="DC70">
        <f t="shared" si="128"/>
        <v>6.0000000000000001E-3</v>
      </c>
      <c r="DD70">
        <f t="shared" si="128"/>
        <v>6.0000000000000001E-3</v>
      </c>
      <c r="DE70">
        <f t="shared" si="128"/>
        <v>6.0000000000000001E-3</v>
      </c>
      <c r="DF70">
        <f t="shared" si="128"/>
        <v>6.0000000000000001E-3</v>
      </c>
      <c r="DG70">
        <f t="shared" si="128"/>
        <v>6.0000000000000001E-3</v>
      </c>
      <c r="DH70">
        <f t="shared" si="128"/>
        <v>6.0000000000000001E-3</v>
      </c>
      <c r="DI70">
        <f t="shared" si="128"/>
        <v>6.0000000000000001E-3</v>
      </c>
      <c r="DJ70">
        <f t="shared" si="128"/>
        <v>6.0000000000000001E-3</v>
      </c>
      <c r="DK70">
        <f t="shared" si="128"/>
        <v>6.0000000000000001E-3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ref="DV70:EE70" si="129">0.3</f>
        <v>0.3</v>
      </c>
      <c r="DW70">
        <f t="shared" si="129"/>
        <v>0.3</v>
      </c>
      <c r="DX70">
        <f t="shared" si="129"/>
        <v>0.3</v>
      </c>
      <c r="DY70">
        <f t="shared" si="129"/>
        <v>0.3</v>
      </c>
      <c r="DZ70">
        <f t="shared" si="129"/>
        <v>0.3</v>
      </c>
      <c r="EA70">
        <f t="shared" si="129"/>
        <v>0.3</v>
      </c>
      <c r="EB70">
        <f t="shared" si="129"/>
        <v>0.3</v>
      </c>
      <c r="EC70">
        <f t="shared" si="129"/>
        <v>0.3</v>
      </c>
      <c r="ED70">
        <f t="shared" si="129"/>
        <v>0.3</v>
      </c>
      <c r="EE70">
        <f t="shared" si="129"/>
        <v>0.3</v>
      </c>
      <c r="EF70">
        <f>66</f>
        <v>66</v>
      </c>
      <c r="EG70">
        <f>66</f>
        <v>66</v>
      </c>
      <c r="EH70">
        <f>66</f>
        <v>66</v>
      </c>
      <c r="EI70">
        <v>0</v>
      </c>
      <c r="EJ70">
        <f>66</f>
        <v>66</v>
      </c>
      <c r="EK70">
        <v>0</v>
      </c>
      <c r="EL70">
        <f>66</f>
        <v>66</v>
      </c>
      <c r="EM70">
        <v>0</v>
      </c>
      <c r="EN70">
        <f>66</f>
        <v>66</v>
      </c>
      <c r="EO70">
        <v>0</v>
      </c>
      <c r="EP70">
        <v>0.73950000000000005</v>
      </c>
      <c r="EQ70">
        <v>0.73950000000000005</v>
      </c>
      <c r="ER70">
        <v>0.73950000000000005</v>
      </c>
      <c r="ES70">
        <v>0</v>
      </c>
      <c r="ET70">
        <v>0.73950000000000005</v>
      </c>
      <c r="EU70">
        <v>0</v>
      </c>
      <c r="EV70">
        <v>0.73950000000000005</v>
      </c>
      <c r="EW70">
        <v>0</v>
      </c>
      <c r="EX70">
        <v>0.73950000000000005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0.09</v>
      </c>
      <c r="FK70">
        <v>0.09</v>
      </c>
      <c r="FL70">
        <v>0.09</v>
      </c>
      <c r="FM70">
        <v>0.09</v>
      </c>
      <c r="FN70">
        <v>0.09</v>
      </c>
      <c r="FO70">
        <v>0.09</v>
      </c>
      <c r="FP70">
        <v>0.09</v>
      </c>
      <c r="FQ70">
        <v>0.09</v>
      </c>
      <c r="FR70">
        <v>0.09</v>
      </c>
      <c r="FS70">
        <v>0.09</v>
      </c>
    </row>
    <row r="71" spans="1:175" x14ac:dyDescent="0.3">
      <c r="A71" s="98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3">
        <v>1</v>
      </c>
      <c r="G71" s="13" t="s">
        <v>25</v>
      </c>
      <c r="H71">
        <v>0</v>
      </c>
      <c r="I71" t="s">
        <v>12</v>
      </c>
      <c r="J71">
        <v>-1</v>
      </c>
      <c r="K71">
        <v>0</v>
      </c>
      <c r="L71" s="10">
        <v>0</v>
      </c>
      <c r="M71">
        <v>0</v>
      </c>
      <c r="N71">
        <v>0</v>
      </c>
      <c r="O71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1</v>
      </c>
      <c r="BE71" s="14">
        <v>1</v>
      </c>
      <c r="BF71" s="14">
        <v>1</v>
      </c>
      <c r="BG71" s="14">
        <v>1</v>
      </c>
      <c r="BH71" s="14">
        <v>1</v>
      </c>
      <c r="BI71" s="14">
        <v>1</v>
      </c>
      <c r="BJ71" s="14">
        <v>1</v>
      </c>
      <c r="BK71" s="14">
        <v>1</v>
      </c>
      <c r="BL71" s="14">
        <v>1</v>
      </c>
      <c r="BM71" s="14">
        <v>1</v>
      </c>
      <c r="BN71" s="14">
        <v>1</v>
      </c>
      <c r="BO71" s="14">
        <v>1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14">
        <v>1</v>
      </c>
      <c r="BV71" s="14">
        <v>1</v>
      </c>
      <c r="BW71" s="14">
        <v>1</v>
      </c>
      <c r="BX71">
        <v>0.06</v>
      </c>
      <c r="BY71">
        <v>0.06</v>
      </c>
      <c r="BZ71">
        <v>3.5000000000000003E-2</v>
      </c>
      <c r="CA71">
        <v>0.05</v>
      </c>
      <c r="CB71">
        <v>0.05</v>
      </c>
      <c r="CC71">
        <v>0.05</v>
      </c>
      <c r="CD71">
        <f>(CB71+CF71)/2</f>
        <v>3.7500000000000006E-2</v>
      </c>
      <c r="CE71">
        <v>2.5000000000000001E-2</v>
      </c>
      <c r="CF71">
        <v>2.5000000000000001E-2</v>
      </c>
      <c r="CG71">
        <v>2.5000000000000001E-2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f>$EG71*B$3</f>
        <v>0</v>
      </c>
      <c r="EK71">
        <v>0</v>
      </c>
      <c r="EL71">
        <f>$EG71*C$3</f>
        <v>0</v>
      </c>
      <c r="EM71">
        <v>0</v>
      </c>
      <c r="EN71">
        <f>$EG71*D$3</f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>$EQ71*B$3</f>
        <v>0</v>
      </c>
      <c r="EU71">
        <v>0</v>
      </c>
      <c r="EV71">
        <f>$EQ71*C$3</f>
        <v>0</v>
      </c>
      <c r="EW71">
        <v>0</v>
      </c>
      <c r="EX71">
        <f>$EQ71*D$3</f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98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3">
        <v>1</v>
      </c>
      <c r="G72" s="13" t="s">
        <v>26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0.06</v>
      </c>
      <c r="BY72">
        <v>0.06</v>
      </c>
      <c r="BZ72">
        <v>0.04</v>
      </c>
      <c r="CA72">
        <v>0.05</v>
      </c>
      <c r="CB72">
        <v>0.05</v>
      </c>
      <c r="CC72">
        <v>0.05</v>
      </c>
      <c r="CD72">
        <f>(CB72+CF72)/2</f>
        <v>3.7500000000000006E-2</v>
      </c>
      <c r="CE72">
        <v>2.5000000000000001E-2</v>
      </c>
      <c r="CF72">
        <v>2.5000000000000001E-2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>$EQ72*B$3</f>
        <v>0</v>
      </c>
      <c r="EU72">
        <v>0</v>
      </c>
      <c r="EV72">
        <f>$EQ72*C$3</f>
        <v>0</v>
      </c>
      <c r="EW72">
        <v>0</v>
      </c>
      <c r="EX72">
        <f>$EQ72*D$3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98"/>
      <c r="B73" s="12" t="s">
        <v>17</v>
      </c>
      <c r="C73" s="11" t="s">
        <v>277</v>
      </c>
      <c r="D73" s="2" t="s">
        <v>46</v>
      </c>
      <c r="E73" s="9">
        <f t="shared" si="5"/>
        <v>65</v>
      </c>
      <c r="F73" s="13">
        <v>1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0.2</v>
      </c>
      <c r="AU73" s="14">
        <v>0.1</v>
      </c>
      <c r="AV73" s="14">
        <v>0.1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750</v>
      </c>
      <c r="CI73">
        <v>550</v>
      </c>
      <c r="CJ73">
        <v>300</v>
      </c>
      <c r="CK73">
        <v>648.61538000000007</v>
      </c>
      <c r="CL73">
        <v>180</v>
      </c>
      <c r="CM73">
        <v>148</v>
      </c>
      <c r="CN73">
        <f>(CL73+CQ73)/2</f>
        <v>164</v>
      </c>
      <c r="CO73">
        <v>265.91145</v>
      </c>
      <c r="CP73">
        <v>180</v>
      </c>
      <c r="CQ73">
        <v>148</v>
      </c>
      <c r="CR73">
        <f>CH73*0.02</f>
        <v>15</v>
      </c>
      <c r="CS73">
        <f>CI73*0.015</f>
        <v>8.25</v>
      </c>
      <c r="CT73">
        <f>CJ73*0.015</f>
        <v>4.5</v>
      </c>
      <c r="CU73">
        <f>CK73*0.015</f>
        <v>9.7292307000000005</v>
      </c>
      <c r="CV73">
        <f>CL73*0.015</f>
        <v>2.6999999999999997</v>
      </c>
      <c r="CW73">
        <f>CM73*0.01</f>
        <v>1.48</v>
      </c>
      <c r="CX73">
        <f>CN73*0.015</f>
        <v>2.46</v>
      </c>
      <c r="CY73">
        <f>CO73*0.015</f>
        <v>3.98867175</v>
      </c>
      <c r="CZ73">
        <f>CP73*0.015</f>
        <v>2.6999999999999997</v>
      </c>
      <c r="DA73">
        <f>CQ73*0.01</f>
        <v>1.48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11.908571428571429</v>
      </c>
      <c r="EG73">
        <v>2.6463492063492065</v>
      </c>
      <c r="EH73">
        <v>1.8503884572697002</v>
      </c>
      <c r="EI73">
        <v>0</v>
      </c>
      <c r="EJ73">
        <v>1.5728301886792453</v>
      </c>
      <c r="EK73">
        <v>0</v>
      </c>
      <c r="EL73">
        <v>1.3106918238993712</v>
      </c>
      <c r="EM73">
        <v>0</v>
      </c>
      <c r="EN73">
        <v>1.0485534591194969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2.5999999999999999E-2</v>
      </c>
      <c r="FA73">
        <v>1.7333333333333333E-2</v>
      </c>
      <c r="FB73">
        <v>1.0399999999999998E-2</v>
      </c>
      <c r="FC73">
        <v>0</v>
      </c>
      <c r="FD73">
        <v>1.7333333333333333E-2</v>
      </c>
      <c r="FE73">
        <v>0</v>
      </c>
      <c r="FF73">
        <v>1.7333333333333333E-2</v>
      </c>
      <c r="FG73">
        <v>0</v>
      </c>
      <c r="FH73">
        <v>1.7333333333333333E-2</v>
      </c>
      <c r="FI73">
        <v>0</v>
      </c>
      <c r="FJ73">
        <v>0.19207240142841048</v>
      </c>
      <c r="FK73">
        <v>0.11682954493601999</v>
      </c>
      <c r="FL73">
        <v>0.1096294314987091</v>
      </c>
      <c r="FM73" s="51">
        <v>0.10185220882315059</v>
      </c>
      <c r="FN73" s="51">
        <v>0.10185220882315059</v>
      </c>
      <c r="FO73" s="51">
        <v>0.10185220882315059</v>
      </c>
      <c r="FP73">
        <f>(FN73+FR73)/2</f>
        <v>9.5339821105211428E-2</v>
      </c>
      <c r="FQ73">
        <v>8.8827433387272267E-2</v>
      </c>
      <c r="FR73">
        <v>8.8827433387272267E-2</v>
      </c>
      <c r="FS73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48"/>
    <mergeCell ref="A49:A73"/>
    <mergeCell ref="A4:C4"/>
    <mergeCell ref="D5:D8"/>
    <mergeCell ref="B5:B8"/>
    <mergeCell ref="C5:C8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zoomScale="98" zoomScaleNormal="98" workbookViewId="0">
      <pane xSplit="2" topLeftCell="C1" activePane="topRight" state="frozen"/>
      <selection pane="topRight" activeCell="A5" sqref="A5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3.44140625" bestFit="1" customWidth="1"/>
    <col min="11" max="11" width="14.5546875" bestFit="1" customWidth="1"/>
    <col min="16" max="16" width="14.21875" bestFit="1" customWidth="1"/>
    <col min="17" max="17" width="15.21875" bestFit="1" customWidth="1"/>
    <col min="18" max="18" width="15.21875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249</v>
      </c>
      <c r="N1" t="s">
        <v>249</v>
      </c>
      <c r="O1" t="s">
        <v>249</v>
      </c>
      <c r="P1" t="s">
        <v>120</v>
      </c>
      <c r="Q1" t="s">
        <v>120</v>
      </c>
      <c r="R1" t="s">
        <v>120</v>
      </c>
    </row>
    <row r="2" spans="1:18" x14ac:dyDescent="0.3">
      <c r="A2" s="53" t="str">
        <f>B22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120</v>
      </c>
      <c r="N2" s="33">
        <v>120</v>
      </c>
      <c r="O2" s="33">
        <v>120</v>
      </c>
      <c r="P2" s="33">
        <v>18.600000000000001</v>
      </c>
      <c r="Q2" s="33">
        <v>18.600000000000001</v>
      </c>
      <c r="R2" s="33">
        <v>18.600000000000001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96" t="s">
        <v>487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124</v>
      </c>
      <c r="K4" t="s">
        <v>124</v>
      </c>
      <c r="L4" t="s">
        <v>124</v>
      </c>
      <c r="M4" t="s">
        <v>122</v>
      </c>
      <c r="N4" t="s">
        <v>122</v>
      </c>
      <c r="O4" t="s">
        <v>122</v>
      </c>
      <c r="P4" t="s">
        <v>133</v>
      </c>
      <c r="Q4" t="s">
        <v>133</v>
      </c>
      <c r="R4" t="s">
        <v>133</v>
      </c>
    </row>
    <row r="5" spans="1:18" x14ac:dyDescent="0.3">
      <c r="A5" s="3"/>
      <c r="B5" s="5" t="s">
        <v>125</v>
      </c>
      <c r="C5" t="str">
        <f t="shared" ref="C5:K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MeOH_AEC_PS</v>
      </c>
      <c r="K5" t="str">
        <f t="shared" si="0"/>
        <v>MeOH_SOEC_PS</v>
      </c>
      <c r="L5" t="str">
        <f t="shared" ref="L5:N5" si="2">L1&amp;"_"&amp;L3&amp;"_"&amp;L4</f>
        <v>MeOH_Mix_PS</v>
      </c>
      <c r="M5" t="str">
        <f t="shared" si="2"/>
        <v>H2_AEC_None</v>
      </c>
      <c r="N5" t="str">
        <f t="shared" si="2"/>
        <v>H2_SOEC_None</v>
      </c>
      <c r="O5" t="str">
        <f t="shared" ref="O5:R5" si="3">O1&amp;"_"&amp;O3&amp;"_"&amp;O4</f>
        <v>H2_Mix_None</v>
      </c>
      <c r="P5" t="str">
        <f t="shared" si="3"/>
        <v>NH3_AEC_All</v>
      </c>
      <c r="Q5" t="str">
        <f t="shared" si="3"/>
        <v>NH3_SOEC_All</v>
      </c>
      <c r="R5" t="str">
        <f t="shared" si="3"/>
        <v>NH3_Mix_All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N6" si="4">IF(AND(C1="MeOH",C4="DAC"),1,0)</f>
        <v>0</v>
      </c>
      <c r="D6" s="2">
        <f t="shared" si="4"/>
        <v>0</v>
      </c>
      <c r="E6" s="2">
        <f t="shared" si="4"/>
        <v>0</v>
      </c>
      <c r="F6" s="2">
        <f t="shared" ref="F6" si="5">IF(AND(F1="MeOH",F4="DAC"),1,0)</f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ref="O6:R6" si="6">IF(AND(O1="MeOH",O4="DAC"),1,0)</f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</row>
    <row r="7" spans="1:18" x14ac:dyDescent="0.3">
      <c r="A7" s="2">
        <f t="shared" ref="A7:A70" si="7">ROW(B7)-ROW($A$5)</f>
        <v>2</v>
      </c>
      <c r="B7" s="2" t="str">
        <f>Data_base_case!D10</f>
        <v>CO2 capture PS</v>
      </c>
      <c r="C7" s="2">
        <f t="shared" ref="C7:N7" si="8">IF(AND(C1="MeOH",C4="PS"),1,0)</f>
        <v>0</v>
      </c>
      <c r="D7" s="2">
        <f t="shared" si="8"/>
        <v>0</v>
      </c>
      <c r="E7" s="2">
        <f t="shared" si="8"/>
        <v>0</v>
      </c>
      <c r="F7" s="2">
        <f t="shared" ref="F7" si="9">IF(AND(F1="MeOH",F4="PS"),1,0)</f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1</v>
      </c>
      <c r="K7" s="2">
        <f t="shared" si="8"/>
        <v>1</v>
      </c>
      <c r="L7" s="2">
        <f t="shared" si="8"/>
        <v>1</v>
      </c>
      <c r="M7" s="2">
        <f t="shared" si="8"/>
        <v>0</v>
      </c>
      <c r="N7" s="2">
        <f t="shared" si="8"/>
        <v>0</v>
      </c>
      <c r="O7" s="2">
        <f t="shared" ref="O7:R7" si="10">IF(AND(O1="MeOH",O4="PS"),1,0)</f>
        <v>0</v>
      </c>
      <c r="P7" s="2">
        <f t="shared" si="10"/>
        <v>0</v>
      </c>
      <c r="Q7" s="2">
        <f t="shared" si="10"/>
        <v>0</v>
      </c>
      <c r="R7" s="2">
        <f t="shared" si="10"/>
        <v>0</v>
      </c>
    </row>
    <row r="8" spans="1:18" x14ac:dyDescent="0.3">
      <c r="A8" s="2">
        <f t="shared" si="7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N8" si="11">IF(AND(D1="MeOH"),1,0)</f>
        <v>0</v>
      </c>
      <c r="E8" s="2">
        <f t="shared" si="11"/>
        <v>0</v>
      </c>
      <c r="F8" s="2">
        <f t="shared" ref="F8" si="12">IF(AND(F1="MeOH"),1,0)</f>
        <v>0</v>
      </c>
      <c r="G8" s="2">
        <f t="shared" si="11"/>
        <v>0</v>
      </c>
      <c r="H8" s="2">
        <f t="shared" si="11"/>
        <v>0</v>
      </c>
      <c r="I8" s="2">
        <f t="shared" si="11"/>
        <v>0</v>
      </c>
      <c r="J8" s="2">
        <f t="shared" si="11"/>
        <v>1</v>
      </c>
      <c r="K8" s="2">
        <f t="shared" si="11"/>
        <v>1</v>
      </c>
      <c r="L8" s="2">
        <f t="shared" si="11"/>
        <v>1</v>
      </c>
      <c r="M8" s="2">
        <f t="shared" si="11"/>
        <v>0</v>
      </c>
      <c r="N8" s="2">
        <f t="shared" si="11"/>
        <v>0</v>
      </c>
      <c r="O8" s="2">
        <f t="shared" ref="O8:R8" si="13">IF(AND(O1="MeOH"),1,0)</f>
        <v>0</v>
      </c>
      <c r="P8" s="2">
        <f t="shared" si="13"/>
        <v>0</v>
      </c>
      <c r="Q8" s="2">
        <f t="shared" si="13"/>
        <v>0</v>
      </c>
      <c r="R8" s="2">
        <f t="shared" si="13"/>
        <v>0</v>
      </c>
    </row>
    <row r="9" spans="1:18" x14ac:dyDescent="0.3">
      <c r="A9" s="2">
        <f t="shared" si="7"/>
        <v>4</v>
      </c>
      <c r="B9" s="2" t="str">
        <f>Data_base_case!D12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7"/>
        <v>5</v>
      </c>
      <c r="B10" s="2" t="str">
        <f>Data_base_case!D13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7"/>
        <v>6</v>
      </c>
      <c r="B11" s="2" t="str">
        <f>Data_base_case!D14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7"/>
        <v>7</v>
      </c>
      <c r="B12" s="2" t="str">
        <f>Data_base_case!D15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L12" si="14">IF(G1="Bio-eMeOH",1,0)</f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K12" s="2">
        <f t="shared" si="14"/>
        <v>0</v>
      </c>
      <c r="L12" s="2">
        <f t="shared" si="14"/>
        <v>0</v>
      </c>
      <c r="M12" s="2">
        <f t="shared" ref="M12:N12" si="15">IF(M1="Bio-eMeOH",1,0)</f>
        <v>0</v>
      </c>
      <c r="N12" s="2">
        <f t="shared" si="15"/>
        <v>0</v>
      </c>
      <c r="O12" s="2">
        <f t="shared" ref="O12:R12" si="16">IF(O1="Bio-eMeOH",1,0)</f>
        <v>0</v>
      </c>
      <c r="P12" s="2">
        <f t="shared" si="16"/>
        <v>0</v>
      </c>
      <c r="Q12" s="2">
        <f t="shared" si="16"/>
        <v>0</v>
      </c>
      <c r="R12" s="2">
        <f t="shared" si="16"/>
        <v>0</v>
      </c>
    </row>
    <row r="13" spans="1:18" x14ac:dyDescent="0.3">
      <c r="A13" s="2">
        <f t="shared" si="7"/>
        <v>8</v>
      </c>
      <c r="B13" s="2" t="str">
        <f>Data_base_case!D16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L13" si="17">IF(G2="Bio-eMeOH",1,0)</f>
        <v>0</v>
      </c>
      <c r="H13" s="2">
        <f t="shared" si="17"/>
        <v>0</v>
      </c>
      <c r="I13" s="2">
        <f t="shared" si="17"/>
        <v>0</v>
      </c>
      <c r="J13" s="2">
        <f t="shared" si="17"/>
        <v>0</v>
      </c>
      <c r="K13" s="2">
        <f t="shared" si="17"/>
        <v>0</v>
      </c>
      <c r="L13" s="2">
        <f t="shared" si="17"/>
        <v>0</v>
      </c>
      <c r="M13" s="2">
        <f>IF(M2="Bio-eMeOH",1,0)</f>
        <v>0</v>
      </c>
      <c r="N13" s="2">
        <f>IF(N2="Bio-eMeOH",1,0)</f>
        <v>0</v>
      </c>
      <c r="O13" s="2">
        <f>IF(O2="Bio-eMeOH",1,0)</f>
        <v>0</v>
      </c>
      <c r="P13" s="2">
        <f t="shared" ref="P13:R13" si="18">IF(P2="Bio-eMeOH",1,0)</f>
        <v>0</v>
      </c>
      <c r="Q13" s="2">
        <f t="shared" si="18"/>
        <v>0</v>
      </c>
      <c r="R13" s="2">
        <f t="shared" si="18"/>
        <v>0</v>
      </c>
    </row>
    <row r="14" spans="1:18" x14ac:dyDescent="0.3">
      <c r="A14" s="2">
        <f t="shared" si="7"/>
        <v>9</v>
      </c>
      <c r="B14" s="2" t="str">
        <f>Data_base_case!D17</f>
        <v>Bamboo2-stage-SOEC</v>
      </c>
      <c r="C14" s="2">
        <f>IF(AND(C1="DME-B2",C3="SOEC"),1,0)</f>
        <v>1</v>
      </c>
      <c r="D14" s="2">
        <f t="shared" ref="D14:N14" si="19">IF(AND(D1="DME-B2",D3="SOEC"),1,0)</f>
        <v>0</v>
      </c>
      <c r="E14" s="2">
        <f t="shared" si="19"/>
        <v>0</v>
      </c>
      <c r="F14" s="2">
        <f t="shared" si="19"/>
        <v>0</v>
      </c>
      <c r="G14" s="2">
        <f t="shared" si="19"/>
        <v>0</v>
      </c>
      <c r="H14" s="2">
        <f t="shared" si="19"/>
        <v>0</v>
      </c>
      <c r="I14" s="2">
        <f t="shared" si="19"/>
        <v>0</v>
      </c>
      <c r="J14" s="2">
        <f t="shared" si="19"/>
        <v>0</v>
      </c>
      <c r="K14" s="2">
        <f t="shared" si="19"/>
        <v>0</v>
      </c>
      <c r="L14" s="2">
        <f t="shared" si="19"/>
        <v>0</v>
      </c>
      <c r="M14" s="2">
        <f t="shared" si="19"/>
        <v>0</v>
      </c>
      <c r="N14" s="2">
        <f t="shared" si="19"/>
        <v>0</v>
      </c>
      <c r="O14" s="2">
        <f t="shared" ref="O14:R14" si="20">IF(AND(O1="DME-B2",O3="SOEC"),1,0)</f>
        <v>0</v>
      </c>
      <c r="P14" s="2">
        <f t="shared" si="20"/>
        <v>0</v>
      </c>
      <c r="Q14" s="2">
        <f t="shared" si="20"/>
        <v>0</v>
      </c>
      <c r="R14" s="2">
        <f t="shared" si="20"/>
        <v>0</v>
      </c>
    </row>
    <row r="15" spans="1:18" x14ac:dyDescent="0.3">
      <c r="A15" s="2">
        <f t="shared" si="7"/>
        <v>10</v>
      </c>
      <c r="B15" s="2" t="str">
        <f>Data_base_case!D18</f>
        <v>Bamboo1-stage-SOEC</v>
      </c>
      <c r="C15" s="2">
        <f>IF(AND(C1="DME-B1",C3="SOEC"),1,0)</f>
        <v>0</v>
      </c>
      <c r="D15" s="2">
        <f t="shared" ref="D15:N15" si="21">IF(AND(D1="DME-B1",D3="SOEC"),1,0)</f>
        <v>1</v>
      </c>
      <c r="E15" s="2">
        <f t="shared" si="21"/>
        <v>0</v>
      </c>
      <c r="F15" s="2">
        <f t="shared" si="21"/>
        <v>0</v>
      </c>
      <c r="G15" s="2">
        <f t="shared" si="21"/>
        <v>0</v>
      </c>
      <c r="H15" s="2">
        <f t="shared" si="21"/>
        <v>0</v>
      </c>
      <c r="I15" s="2">
        <f t="shared" si="21"/>
        <v>0</v>
      </c>
      <c r="J15" s="2">
        <f t="shared" si="21"/>
        <v>0</v>
      </c>
      <c r="K15" s="2">
        <f t="shared" si="21"/>
        <v>0</v>
      </c>
      <c r="L15" s="2">
        <f t="shared" si="21"/>
        <v>0</v>
      </c>
      <c r="M15" s="2">
        <f t="shared" si="21"/>
        <v>0</v>
      </c>
      <c r="N15" s="2">
        <f t="shared" si="21"/>
        <v>0</v>
      </c>
      <c r="O15" s="2">
        <f t="shared" ref="O15:R15" si="22">IF(AND(O1="DME-B1",O3="SOEC"),1,0)</f>
        <v>0</v>
      </c>
      <c r="P15" s="2">
        <f t="shared" si="22"/>
        <v>0</v>
      </c>
      <c r="Q15" s="2">
        <f t="shared" si="22"/>
        <v>0</v>
      </c>
      <c r="R15" s="2">
        <f t="shared" si="22"/>
        <v>0</v>
      </c>
    </row>
    <row r="16" spans="1:18" x14ac:dyDescent="0.3">
      <c r="A16" s="2">
        <f t="shared" si="7"/>
        <v>11</v>
      </c>
      <c r="B16" s="2" t="str">
        <f>Data_base_case!D19</f>
        <v>Wheat2-stage-SOEC</v>
      </c>
      <c r="C16" s="2">
        <f>IF(AND(C1="DME-W2",C3="SOEC"),1,0)</f>
        <v>0</v>
      </c>
      <c r="D16" s="2">
        <f t="shared" ref="D16:N16" si="23">IF(AND(D1="DME-W2",D3="SOEC"),1,0)</f>
        <v>0</v>
      </c>
      <c r="E16" s="2">
        <f t="shared" si="23"/>
        <v>1</v>
      </c>
      <c r="F16" s="2">
        <f t="shared" si="23"/>
        <v>0</v>
      </c>
      <c r="G16" s="2">
        <f t="shared" si="23"/>
        <v>0</v>
      </c>
      <c r="H16" s="2">
        <f t="shared" si="23"/>
        <v>0</v>
      </c>
      <c r="I16" s="2">
        <f t="shared" si="23"/>
        <v>0</v>
      </c>
      <c r="J16" s="2">
        <f t="shared" si="23"/>
        <v>0</v>
      </c>
      <c r="K16" s="2">
        <f t="shared" si="23"/>
        <v>0</v>
      </c>
      <c r="L16" s="2">
        <f t="shared" si="23"/>
        <v>0</v>
      </c>
      <c r="M16" s="2">
        <f t="shared" si="23"/>
        <v>0</v>
      </c>
      <c r="N16" s="2">
        <f t="shared" si="23"/>
        <v>0</v>
      </c>
      <c r="O16" s="2">
        <f t="shared" ref="O16:R16" si="24">IF(AND(O1="DME-W2",O3="SOEC"),1,0)</f>
        <v>0</v>
      </c>
      <c r="P16" s="2">
        <f t="shared" si="24"/>
        <v>0</v>
      </c>
      <c r="Q16" s="2">
        <f t="shared" si="24"/>
        <v>0</v>
      </c>
      <c r="R16" s="2">
        <f t="shared" si="24"/>
        <v>0</v>
      </c>
    </row>
    <row r="17" spans="1:18" x14ac:dyDescent="0.3">
      <c r="A17" s="2">
        <f t="shared" si="7"/>
        <v>12</v>
      </c>
      <c r="B17" s="2" t="str">
        <f>Data_base_case!D20</f>
        <v>Wheat1-stage-SOEC</v>
      </c>
      <c r="C17" s="2">
        <f>IF(AND(C1="DME-W1",C3="SOEC"),1,0)</f>
        <v>0</v>
      </c>
      <c r="D17" s="2">
        <f t="shared" ref="D17:N17" si="25">IF(AND(D1="DME-W1",D3="SOEC"),1,0)</f>
        <v>0</v>
      </c>
      <c r="E17" s="2">
        <f t="shared" si="25"/>
        <v>0</v>
      </c>
      <c r="F17" s="2">
        <f t="shared" si="25"/>
        <v>1</v>
      </c>
      <c r="G17" s="2">
        <f t="shared" si="25"/>
        <v>0</v>
      </c>
      <c r="H17" s="2">
        <f t="shared" si="25"/>
        <v>0</v>
      </c>
      <c r="I17" s="2">
        <f t="shared" si="25"/>
        <v>0</v>
      </c>
      <c r="J17" s="2">
        <f t="shared" si="25"/>
        <v>0</v>
      </c>
      <c r="K17" s="2">
        <f t="shared" si="25"/>
        <v>0</v>
      </c>
      <c r="L17" s="2">
        <f t="shared" si="25"/>
        <v>0</v>
      </c>
      <c r="M17" s="2">
        <f t="shared" si="25"/>
        <v>0</v>
      </c>
      <c r="N17" s="2">
        <f t="shared" si="25"/>
        <v>0</v>
      </c>
      <c r="O17" s="2">
        <f t="shared" ref="O17:R17" si="26">IF(AND(O1="DME-W1",O3="SOEC"),1,0)</f>
        <v>0</v>
      </c>
      <c r="P17" s="2">
        <f t="shared" si="26"/>
        <v>0</v>
      </c>
      <c r="Q17" s="2">
        <f t="shared" si="26"/>
        <v>0</v>
      </c>
      <c r="R17" s="2">
        <f t="shared" si="26"/>
        <v>0</v>
      </c>
    </row>
    <row r="18" spans="1:18" x14ac:dyDescent="0.3">
      <c r="A18" s="2">
        <f t="shared" si="7"/>
        <v>13</v>
      </c>
      <c r="B18" s="2" t="str">
        <f>Data_base_case!D21</f>
        <v>NH3 plant + ASU - AEC</v>
      </c>
      <c r="C18" s="2">
        <f t="shared" ref="C18:N18" si="27">IF(AND(C1="NH3",C3="AEC"),1,0)</f>
        <v>0</v>
      </c>
      <c r="D18" s="2">
        <f t="shared" si="27"/>
        <v>0</v>
      </c>
      <c r="E18" s="2">
        <f t="shared" si="27"/>
        <v>0</v>
      </c>
      <c r="F18" s="2">
        <f t="shared" si="27"/>
        <v>0</v>
      </c>
      <c r="G18" s="2">
        <f t="shared" si="27"/>
        <v>1</v>
      </c>
      <c r="H18" s="2">
        <f t="shared" si="27"/>
        <v>0</v>
      </c>
      <c r="I18" s="2">
        <f t="shared" si="27"/>
        <v>0</v>
      </c>
      <c r="J18" s="2">
        <f t="shared" si="27"/>
        <v>0</v>
      </c>
      <c r="K18" s="2">
        <f t="shared" si="27"/>
        <v>0</v>
      </c>
      <c r="L18" s="2">
        <f t="shared" si="27"/>
        <v>0</v>
      </c>
      <c r="M18" s="2">
        <f t="shared" si="27"/>
        <v>0</v>
      </c>
      <c r="N18" s="2">
        <f t="shared" si="27"/>
        <v>0</v>
      </c>
      <c r="O18" s="2">
        <f t="shared" ref="O18:R18" si="28">IF(AND(O1="NH3",O3="AEC"),1,0)</f>
        <v>0</v>
      </c>
      <c r="P18" s="2">
        <f t="shared" si="28"/>
        <v>1</v>
      </c>
      <c r="Q18" s="2">
        <f t="shared" si="28"/>
        <v>0</v>
      </c>
      <c r="R18" s="2">
        <f t="shared" si="28"/>
        <v>0</v>
      </c>
    </row>
    <row r="19" spans="1:18" x14ac:dyDescent="0.3">
      <c r="A19" s="2">
        <f t="shared" si="7"/>
        <v>14</v>
      </c>
      <c r="B19" s="2" t="str">
        <f>Data_base_case!D22</f>
        <v>NH3 plant + ASU - SOEC</v>
      </c>
      <c r="C19" s="2">
        <f>IF(AND(C1="NH3",C3&lt;&gt;"AEC"),1,0)</f>
        <v>0</v>
      </c>
      <c r="D19" s="2">
        <f t="shared" ref="D19:N19" si="29">IF(AND(D1="NH3",D3&lt;&gt;"AEC"),1,0)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1</v>
      </c>
      <c r="I19" s="2">
        <f t="shared" si="29"/>
        <v>1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ref="O19:R19" si="30">IF(AND(O1="NH3",O3&lt;&gt;"AEC"),1,0)</f>
        <v>0</v>
      </c>
      <c r="P19" s="2">
        <f t="shared" si="30"/>
        <v>0</v>
      </c>
      <c r="Q19" s="2">
        <f t="shared" si="30"/>
        <v>1</v>
      </c>
      <c r="R19" s="2">
        <f t="shared" si="30"/>
        <v>1</v>
      </c>
    </row>
    <row r="20" spans="1:18" x14ac:dyDescent="0.3">
      <c r="A20" s="2">
        <f t="shared" si="7"/>
        <v>15</v>
      </c>
      <c r="B20" s="2" t="str">
        <f>Data_base_case!D23</f>
        <v>H2 client</v>
      </c>
      <c r="C20" s="2">
        <f t="shared" ref="C20:N20" si="31">IF(C1&lt;&gt;"H2",0,1)</f>
        <v>0</v>
      </c>
      <c r="D20" s="2">
        <f t="shared" si="31"/>
        <v>0</v>
      </c>
      <c r="E20" s="2">
        <f t="shared" si="31"/>
        <v>0</v>
      </c>
      <c r="F20" s="2">
        <f t="shared" si="31"/>
        <v>0</v>
      </c>
      <c r="G20" s="2">
        <f t="shared" si="31"/>
        <v>0</v>
      </c>
      <c r="H20" s="2">
        <f t="shared" si="31"/>
        <v>0</v>
      </c>
      <c r="I20" s="2">
        <f t="shared" si="31"/>
        <v>0</v>
      </c>
      <c r="J20" s="2">
        <f t="shared" si="31"/>
        <v>0</v>
      </c>
      <c r="K20" s="2">
        <f t="shared" si="31"/>
        <v>0</v>
      </c>
      <c r="L20" s="2">
        <f t="shared" si="31"/>
        <v>0</v>
      </c>
      <c r="M20" s="2">
        <f t="shared" si="31"/>
        <v>1</v>
      </c>
      <c r="N20" s="2">
        <f t="shared" si="31"/>
        <v>1</v>
      </c>
      <c r="O20" s="2">
        <f t="shared" ref="O20:R20" si="32">IF(O1&lt;&gt;"H2",0,1)</f>
        <v>1</v>
      </c>
      <c r="P20" s="2">
        <f t="shared" si="32"/>
        <v>0</v>
      </c>
      <c r="Q20" s="2">
        <f t="shared" si="32"/>
        <v>0</v>
      </c>
      <c r="R20" s="2">
        <f t="shared" si="32"/>
        <v>0</v>
      </c>
    </row>
    <row r="21" spans="1:18" x14ac:dyDescent="0.3">
      <c r="A21" s="2">
        <f t="shared" si="7"/>
        <v>16</v>
      </c>
      <c r="B21" s="2" t="str">
        <f>Data_base_case!D24</f>
        <v>Desalination plant</v>
      </c>
      <c r="C21" s="2">
        <f>IF($A$2=$B21,1,0)</f>
        <v>0</v>
      </c>
      <c r="D21" s="2">
        <f t="shared" ref="D21:R21" si="33">IF($A$2=$B21,1,0)</f>
        <v>0</v>
      </c>
      <c r="E21" s="2">
        <f t="shared" si="33"/>
        <v>0</v>
      </c>
      <c r="F21" s="2">
        <f t="shared" si="33"/>
        <v>0</v>
      </c>
      <c r="G21" s="2">
        <f t="shared" si="33"/>
        <v>0</v>
      </c>
      <c r="H21" s="2">
        <f t="shared" si="33"/>
        <v>0</v>
      </c>
      <c r="I21" s="2">
        <f t="shared" si="33"/>
        <v>0</v>
      </c>
      <c r="J21" s="2">
        <f t="shared" si="33"/>
        <v>0</v>
      </c>
      <c r="K21" s="2">
        <f t="shared" si="33"/>
        <v>0</v>
      </c>
      <c r="L21" s="2">
        <f t="shared" si="33"/>
        <v>0</v>
      </c>
      <c r="M21" s="2">
        <f t="shared" si="33"/>
        <v>0</v>
      </c>
      <c r="N21" s="2">
        <f t="shared" si="33"/>
        <v>0</v>
      </c>
      <c r="O21" s="2">
        <f t="shared" si="33"/>
        <v>0</v>
      </c>
      <c r="P21" s="2">
        <f t="shared" si="33"/>
        <v>0</v>
      </c>
      <c r="Q21" s="2">
        <f t="shared" si="33"/>
        <v>0</v>
      </c>
      <c r="R21" s="2">
        <f t="shared" si="33"/>
        <v>0</v>
      </c>
    </row>
    <row r="22" spans="1:18" x14ac:dyDescent="0.3">
      <c r="A22" s="2">
        <f t="shared" si="7"/>
        <v>17</v>
      </c>
      <c r="B22" s="2" t="str">
        <f>Data_base_case!D25</f>
        <v>Waste water plant</v>
      </c>
      <c r="C22" s="2">
        <f t="shared" ref="C22:R23" si="34">IF($A$2=$B22,1,0)</f>
        <v>1</v>
      </c>
      <c r="D22" s="2">
        <f t="shared" si="34"/>
        <v>1</v>
      </c>
      <c r="E22" s="2">
        <f t="shared" si="34"/>
        <v>1</v>
      </c>
      <c r="F22" s="2">
        <f t="shared" si="34"/>
        <v>1</v>
      </c>
      <c r="G22" s="2">
        <f t="shared" si="34"/>
        <v>1</v>
      </c>
      <c r="H22" s="2">
        <f t="shared" si="34"/>
        <v>1</v>
      </c>
      <c r="I22" s="2">
        <f t="shared" si="34"/>
        <v>1</v>
      </c>
      <c r="J22" s="2">
        <f t="shared" si="34"/>
        <v>1</v>
      </c>
      <c r="K22" s="2">
        <f t="shared" si="34"/>
        <v>1</v>
      </c>
      <c r="L22" s="2">
        <f t="shared" si="34"/>
        <v>1</v>
      </c>
      <c r="M22" s="2">
        <f t="shared" si="34"/>
        <v>1</v>
      </c>
      <c r="N22" s="2">
        <f t="shared" si="34"/>
        <v>1</v>
      </c>
      <c r="O22" s="2">
        <f t="shared" si="34"/>
        <v>1</v>
      </c>
      <c r="P22" s="2">
        <f t="shared" si="34"/>
        <v>1</v>
      </c>
      <c r="Q22" s="2">
        <f t="shared" si="34"/>
        <v>1</v>
      </c>
      <c r="R22" s="2">
        <f t="shared" si="34"/>
        <v>1</v>
      </c>
    </row>
    <row r="23" spans="1:18" x14ac:dyDescent="0.3">
      <c r="A23" s="2">
        <f t="shared" si="7"/>
        <v>18</v>
      </c>
      <c r="B23" s="2" t="str">
        <f>Data_base_case!D26</f>
        <v>Drinking water</v>
      </c>
      <c r="C23" s="2">
        <f t="shared" si="34"/>
        <v>0</v>
      </c>
      <c r="D23" s="2">
        <f t="shared" si="34"/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R23" s="2">
        <f t="shared" si="34"/>
        <v>0</v>
      </c>
    </row>
    <row r="24" spans="1:18" x14ac:dyDescent="0.3">
      <c r="A24" s="2">
        <f t="shared" si="7"/>
        <v>19</v>
      </c>
      <c r="B24" s="2" t="str">
        <f>Data_base_case!D27</f>
        <v>Electrolysers AEC</v>
      </c>
      <c r="C24" s="2">
        <f t="shared" ref="C24:N24" si="35">IF(C3="AEC",1,0)</f>
        <v>0</v>
      </c>
      <c r="D24" s="2">
        <f t="shared" si="35"/>
        <v>0</v>
      </c>
      <c r="E24" s="2">
        <f t="shared" si="35"/>
        <v>0</v>
      </c>
      <c r="F24" s="2">
        <f t="shared" si="35"/>
        <v>0</v>
      </c>
      <c r="G24" s="2">
        <f t="shared" si="35"/>
        <v>1</v>
      </c>
      <c r="H24" s="2">
        <f t="shared" si="35"/>
        <v>0</v>
      </c>
      <c r="I24" s="2">
        <f t="shared" si="35"/>
        <v>0</v>
      </c>
      <c r="J24" s="2">
        <f t="shared" si="35"/>
        <v>1</v>
      </c>
      <c r="K24" s="2">
        <f t="shared" si="35"/>
        <v>0</v>
      </c>
      <c r="L24" s="2">
        <f t="shared" si="35"/>
        <v>0</v>
      </c>
      <c r="M24" s="2">
        <f t="shared" si="35"/>
        <v>1</v>
      </c>
      <c r="N24" s="2">
        <f t="shared" si="35"/>
        <v>0</v>
      </c>
      <c r="O24" s="2">
        <f t="shared" ref="O24:R24" si="36">IF(O3="AEC",1,0)</f>
        <v>0</v>
      </c>
      <c r="P24" s="2">
        <f t="shared" si="36"/>
        <v>1</v>
      </c>
      <c r="Q24" s="2">
        <f t="shared" si="36"/>
        <v>0</v>
      </c>
      <c r="R24" s="2">
        <f t="shared" si="36"/>
        <v>0</v>
      </c>
    </row>
    <row r="25" spans="1:18" x14ac:dyDescent="0.3">
      <c r="A25" s="2">
        <f t="shared" si="7"/>
        <v>20</v>
      </c>
      <c r="B25" s="2" t="str">
        <f>Data_base_case!D28</f>
        <v>Electrolysers SOEC heat integrated</v>
      </c>
      <c r="C25" s="2">
        <f>IF(AND(C3="SOEC",OR(C1="DME-B2",C1="DME-B1",C1="DME-W2",C1="DME-W1",C1="NH3")),1,0)</f>
        <v>1</v>
      </c>
      <c r="D25" s="2">
        <f t="shared" ref="D25:N25" si="37">IF(AND(D3="SOEC",OR(D1="DME-B2",D1="DME-B1",D1="DME-W2",D1="DME-W1",D1="NH3")),1,0)</f>
        <v>1</v>
      </c>
      <c r="E25" s="2">
        <f t="shared" si="37"/>
        <v>1</v>
      </c>
      <c r="F25" s="2">
        <f t="shared" si="37"/>
        <v>1</v>
      </c>
      <c r="G25" s="2">
        <f t="shared" si="37"/>
        <v>0</v>
      </c>
      <c r="H25" s="2">
        <f t="shared" si="37"/>
        <v>1</v>
      </c>
      <c r="I25" s="2">
        <f t="shared" si="37"/>
        <v>0</v>
      </c>
      <c r="J25" s="2">
        <f t="shared" si="37"/>
        <v>0</v>
      </c>
      <c r="K25" s="2">
        <f t="shared" si="37"/>
        <v>0</v>
      </c>
      <c r="L25" s="2">
        <f t="shared" si="37"/>
        <v>0</v>
      </c>
      <c r="M25" s="2">
        <f t="shared" si="37"/>
        <v>0</v>
      </c>
      <c r="N25" s="2">
        <f t="shared" si="37"/>
        <v>0</v>
      </c>
      <c r="O25" s="2">
        <f t="shared" ref="O25:R25" si="38">IF(AND(O3="SOEC",OR(O1="DME-B2",O1="DME-B1",O1="DME-W2",O1="DME-W1",O1="NH3")),1,0)</f>
        <v>0</v>
      </c>
      <c r="P25" s="2">
        <f t="shared" si="38"/>
        <v>0</v>
      </c>
      <c r="Q25" s="2">
        <f t="shared" si="38"/>
        <v>1</v>
      </c>
      <c r="R25" s="2">
        <f t="shared" si="38"/>
        <v>0</v>
      </c>
    </row>
    <row r="26" spans="1:18" x14ac:dyDescent="0.3">
      <c r="A26" s="2">
        <f t="shared" si="7"/>
        <v>21</v>
      </c>
      <c r="B26" s="2" t="str">
        <f>Data_base_case!D29</f>
        <v>Electrolysers SOEC alone</v>
      </c>
      <c r="C26" s="2">
        <f t="shared" ref="C26:N26" si="39">IF(AND(C3="SOEC",OR(C1="MeOH",C1="H2")),1,0)</f>
        <v>0</v>
      </c>
      <c r="D26" s="2">
        <f t="shared" si="39"/>
        <v>0</v>
      </c>
      <c r="E26" s="2">
        <f t="shared" si="39"/>
        <v>0</v>
      </c>
      <c r="F26" s="2">
        <f t="shared" si="39"/>
        <v>0</v>
      </c>
      <c r="G26" s="2">
        <f t="shared" si="39"/>
        <v>0</v>
      </c>
      <c r="H26" s="2">
        <f t="shared" si="39"/>
        <v>0</v>
      </c>
      <c r="I26" s="2">
        <f t="shared" si="39"/>
        <v>0</v>
      </c>
      <c r="J26" s="2">
        <f t="shared" si="39"/>
        <v>0</v>
      </c>
      <c r="K26" s="2">
        <f t="shared" si="39"/>
        <v>1</v>
      </c>
      <c r="L26" s="2">
        <f t="shared" si="39"/>
        <v>0</v>
      </c>
      <c r="M26" s="2">
        <f t="shared" si="39"/>
        <v>0</v>
      </c>
      <c r="N26" s="2">
        <f t="shared" si="39"/>
        <v>1</v>
      </c>
      <c r="O26" s="2">
        <f t="shared" ref="O26:R26" si="40">IF(AND(O3="SOEC",OR(O1="MeOH",O1="H2")),1,0)</f>
        <v>0</v>
      </c>
      <c r="P26" s="2">
        <f t="shared" si="40"/>
        <v>0</v>
      </c>
      <c r="Q26" s="2">
        <f t="shared" si="40"/>
        <v>0</v>
      </c>
      <c r="R26" s="2">
        <f t="shared" si="40"/>
        <v>0</v>
      </c>
    </row>
    <row r="27" spans="1:18" x14ac:dyDescent="0.3">
      <c r="A27" s="2">
        <f t="shared" si="7"/>
        <v>22</v>
      </c>
      <c r="B27" s="2" t="str">
        <f>Data_base_case!D30</f>
        <v>Electrolysers 75AEC-25SOEC_HI</v>
      </c>
      <c r="C27" s="2">
        <f t="shared" ref="C27:N27" si="41">IF(AND(C3="Mix",OR(C1="Bio-eMeOH",C1="NH3")),1,0)</f>
        <v>0</v>
      </c>
      <c r="D27" s="2">
        <f t="shared" si="41"/>
        <v>0</v>
      </c>
      <c r="E27" s="2">
        <f t="shared" si="41"/>
        <v>0</v>
      </c>
      <c r="F27" s="2">
        <f t="shared" si="41"/>
        <v>0</v>
      </c>
      <c r="G27" s="2">
        <f t="shared" si="41"/>
        <v>0</v>
      </c>
      <c r="H27" s="2">
        <f t="shared" si="41"/>
        <v>0</v>
      </c>
      <c r="I27" s="2">
        <f t="shared" si="41"/>
        <v>1</v>
      </c>
      <c r="J27" s="2">
        <f t="shared" si="41"/>
        <v>0</v>
      </c>
      <c r="K27" s="2">
        <f t="shared" si="41"/>
        <v>0</v>
      </c>
      <c r="L27" s="2">
        <f t="shared" si="41"/>
        <v>0</v>
      </c>
      <c r="M27" s="2">
        <f t="shared" si="41"/>
        <v>0</v>
      </c>
      <c r="N27" s="2">
        <f t="shared" si="41"/>
        <v>0</v>
      </c>
      <c r="O27" s="2">
        <f t="shared" ref="O27:R27" si="42">IF(AND(O3="Mix",OR(O1="Bio-eMeOH",O1="NH3")),1,0)</f>
        <v>0</v>
      </c>
      <c r="P27" s="2">
        <f t="shared" si="42"/>
        <v>0</v>
      </c>
      <c r="Q27" s="2">
        <f t="shared" si="42"/>
        <v>0</v>
      </c>
      <c r="R27" s="2">
        <f t="shared" si="42"/>
        <v>1</v>
      </c>
    </row>
    <row r="28" spans="1:18" x14ac:dyDescent="0.3">
      <c r="A28" s="2">
        <f t="shared" si="7"/>
        <v>23</v>
      </c>
      <c r="B28" s="2" t="str">
        <f>Data_base_case!D31</f>
        <v>Electrolysers 75AEC-25SOEC_A</v>
      </c>
      <c r="C28" s="2">
        <f t="shared" ref="C28:N28" si="43">IF(AND(C3="Mix",OR(C1="MeOH",C1="H2")),1,0)</f>
        <v>0</v>
      </c>
      <c r="D28" s="2">
        <f t="shared" si="43"/>
        <v>0</v>
      </c>
      <c r="E28" s="2">
        <f t="shared" si="43"/>
        <v>0</v>
      </c>
      <c r="F28" s="2">
        <f t="shared" si="43"/>
        <v>0</v>
      </c>
      <c r="G28" s="2">
        <f t="shared" si="43"/>
        <v>0</v>
      </c>
      <c r="H28" s="2">
        <f t="shared" si="43"/>
        <v>0</v>
      </c>
      <c r="I28" s="2">
        <f t="shared" si="43"/>
        <v>0</v>
      </c>
      <c r="J28" s="2">
        <f t="shared" si="43"/>
        <v>0</v>
      </c>
      <c r="K28" s="2">
        <f t="shared" si="43"/>
        <v>0</v>
      </c>
      <c r="L28" s="2">
        <f t="shared" si="43"/>
        <v>1</v>
      </c>
      <c r="M28" s="2">
        <f t="shared" si="43"/>
        <v>0</v>
      </c>
      <c r="N28" s="2">
        <f t="shared" si="43"/>
        <v>0</v>
      </c>
      <c r="O28" s="2">
        <f t="shared" ref="O28:R28" si="44">IF(AND(O3="Mix",OR(O1="MeOH",O1="H2")),1,0)</f>
        <v>1</v>
      </c>
      <c r="P28" s="2">
        <f t="shared" si="44"/>
        <v>0</v>
      </c>
      <c r="Q28" s="2">
        <f t="shared" si="44"/>
        <v>0</v>
      </c>
      <c r="R28" s="2">
        <f t="shared" si="44"/>
        <v>0</v>
      </c>
    </row>
    <row r="29" spans="1:18" x14ac:dyDescent="0.3">
      <c r="A29" s="2">
        <f t="shared" si="7"/>
        <v>24</v>
      </c>
      <c r="B29" s="2" t="str">
        <f>Data_base_case!D32</f>
        <v>H2 pipeline to MeOH CCU plant</v>
      </c>
      <c r="C29" s="2">
        <f t="shared" ref="C29:N29" si="45">IF(C1="MeOH",1,0)</f>
        <v>0</v>
      </c>
      <c r="D29" s="2">
        <f t="shared" si="45"/>
        <v>0</v>
      </c>
      <c r="E29" s="2">
        <f t="shared" si="45"/>
        <v>0</v>
      </c>
      <c r="F29" s="2">
        <f t="shared" si="45"/>
        <v>0</v>
      </c>
      <c r="G29" s="2">
        <f t="shared" si="45"/>
        <v>0</v>
      </c>
      <c r="H29" s="2">
        <f t="shared" si="45"/>
        <v>0</v>
      </c>
      <c r="I29" s="2">
        <f t="shared" si="45"/>
        <v>0</v>
      </c>
      <c r="J29" s="2">
        <f t="shared" si="45"/>
        <v>1</v>
      </c>
      <c r="K29" s="2">
        <f t="shared" si="45"/>
        <v>1</v>
      </c>
      <c r="L29" s="2">
        <f t="shared" si="45"/>
        <v>1</v>
      </c>
      <c r="M29" s="2">
        <f t="shared" si="45"/>
        <v>0</v>
      </c>
      <c r="N29" s="2">
        <f t="shared" si="45"/>
        <v>0</v>
      </c>
      <c r="O29" s="2">
        <f t="shared" ref="O29:R29" si="46">IF(O1="MeOH",1,0)</f>
        <v>0</v>
      </c>
      <c r="P29" s="2">
        <f t="shared" si="46"/>
        <v>0</v>
      </c>
      <c r="Q29" s="2">
        <f t="shared" si="46"/>
        <v>0</v>
      </c>
      <c r="R29" s="2">
        <f t="shared" si="46"/>
        <v>0</v>
      </c>
    </row>
    <row r="30" spans="1:18" x14ac:dyDescent="0.3">
      <c r="A30" s="2">
        <f t="shared" si="7"/>
        <v>25</v>
      </c>
      <c r="B30" s="2" t="str">
        <f>Data_base_case!D33</f>
        <v>H2 pipeline to Bamboo-2</v>
      </c>
      <c r="C30" s="2">
        <f>C14</f>
        <v>1</v>
      </c>
      <c r="D30" s="2">
        <f t="shared" ref="D30:N30" si="47">D14</f>
        <v>0</v>
      </c>
      <c r="E30" s="2">
        <f t="shared" si="47"/>
        <v>0</v>
      </c>
      <c r="F30" s="2">
        <f t="shared" si="47"/>
        <v>0</v>
      </c>
      <c r="G30" s="2">
        <f t="shared" si="47"/>
        <v>0</v>
      </c>
      <c r="H30" s="2">
        <f t="shared" si="47"/>
        <v>0</v>
      </c>
      <c r="I30" s="2">
        <f t="shared" si="47"/>
        <v>0</v>
      </c>
      <c r="J30" s="2">
        <f t="shared" si="47"/>
        <v>0</v>
      </c>
      <c r="K30" s="2">
        <f t="shared" si="47"/>
        <v>0</v>
      </c>
      <c r="L30" s="2">
        <f t="shared" si="47"/>
        <v>0</v>
      </c>
      <c r="M30" s="2">
        <f t="shared" si="47"/>
        <v>0</v>
      </c>
      <c r="N30" s="2">
        <f t="shared" si="47"/>
        <v>0</v>
      </c>
      <c r="O30" s="2">
        <f t="shared" ref="O30:R30" si="48">O14</f>
        <v>0</v>
      </c>
      <c r="P30" s="2">
        <f t="shared" si="48"/>
        <v>0</v>
      </c>
      <c r="Q30" s="2">
        <f t="shared" si="48"/>
        <v>0</v>
      </c>
      <c r="R30" s="2">
        <f t="shared" si="48"/>
        <v>0</v>
      </c>
    </row>
    <row r="31" spans="1:18" x14ac:dyDescent="0.3">
      <c r="A31" s="2">
        <f t="shared" si="7"/>
        <v>26</v>
      </c>
      <c r="B31" s="2" t="str">
        <f>Data_base_case!D34</f>
        <v>H2 pipeline to Bamboo-1</v>
      </c>
      <c r="C31" s="2">
        <f t="shared" ref="C31:N33" si="49">C15</f>
        <v>0</v>
      </c>
      <c r="D31" s="2">
        <f t="shared" si="49"/>
        <v>1</v>
      </c>
      <c r="E31" s="2">
        <f t="shared" si="49"/>
        <v>0</v>
      </c>
      <c r="F31" s="2">
        <f t="shared" si="49"/>
        <v>0</v>
      </c>
      <c r="G31" s="2">
        <f t="shared" si="49"/>
        <v>0</v>
      </c>
      <c r="H31" s="2">
        <f t="shared" si="49"/>
        <v>0</v>
      </c>
      <c r="I31" s="2">
        <f t="shared" si="49"/>
        <v>0</v>
      </c>
      <c r="J31" s="2">
        <f t="shared" si="49"/>
        <v>0</v>
      </c>
      <c r="K31" s="2">
        <f t="shared" si="49"/>
        <v>0</v>
      </c>
      <c r="L31" s="2">
        <f t="shared" si="49"/>
        <v>0</v>
      </c>
      <c r="M31" s="2">
        <f t="shared" si="49"/>
        <v>0</v>
      </c>
      <c r="N31" s="2">
        <f t="shared" si="49"/>
        <v>0</v>
      </c>
      <c r="O31" s="2">
        <f t="shared" ref="O31:R31" si="50">O15</f>
        <v>0</v>
      </c>
      <c r="P31" s="2">
        <f t="shared" si="50"/>
        <v>0</v>
      </c>
      <c r="Q31" s="2">
        <f t="shared" si="50"/>
        <v>0</v>
      </c>
      <c r="R31" s="2">
        <f t="shared" si="50"/>
        <v>0</v>
      </c>
    </row>
    <row r="32" spans="1:18" x14ac:dyDescent="0.3">
      <c r="A32" s="2">
        <f t="shared" si="7"/>
        <v>27</v>
      </c>
      <c r="B32" s="2" t="str">
        <f>Data_base_case!D35</f>
        <v>H2 pipeline to Wheat-2</v>
      </c>
      <c r="C32" s="2">
        <f t="shared" si="49"/>
        <v>0</v>
      </c>
      <c r="D32" s="2">
        <f t="shared" si="49"/>
        <v>0</v>
      </c>
      <c r="E32" s="2">
        <f t="shared" si="49"/>
        <v>1</v>
      </c>
      <c r="F32" s="2">
        <f t="shared" si="49"/>
        <v>0</v>
      </c>
      <c r="G32" s="2">
        <f t="shared" si="49"/>
        <v>0</v>
      </c>
      <c r="H32" s="2">
        <f t="shared" si="49"/>
        <v>0</v>
      </c>
      <c r="I32" s="2">
        <f t="shared" si="49"/>
        <v>0</v>
      </c>
      <c r="J32" s="2">
        <f t="shared" si="49"/>
        <v>0</v>
      </c>
      <c r="K32" s="2">
        <f t="shared" si="49"/>
        <v>0</v>
      </c>
      <c r="L32" s="2">
        <f t="shared" si="49"/>
        <v>0</v>
      </c>
      <c r="M32" s="2">
        <f t="shared" si="49"/>
        <v>0</v>
      </c>
      <c r="N32" s="2">
        <f t="shared" si="49"/>
        <v>0</v>
      </c>
      <c r="O32" s="2">
        <f t="shared" ref="O32:R32" si="51">O16</f>
        <v>0</v>
      </c>
      <c r="P32" s="2">
        <f t="shared" si="51"/>
        <v>0</v>
      </c>
      <c r="Q32" s="2">
        <f t="shared" si="51"/>
        <v>0</v>
      </c>
      <c r="R32" s="2">
        <f t="shared" si="51"/>
        <v>0</v>
      </c>
    </row>
    <row r="33" spans="1:18" x14ac:dyDescent="0.3">
      <c r="A33" s="2">
        <f t="shared" si="7"/>
        <v>28</v>
      </c>
      <c r="B33" s="2" t="str">
        <f>Data_base_case!D36</f>
        <v>H2 pipeline to Wheat-1</v>
      </c>
      <c r="C33" s="2">
        <f t="shared" si="49"/>
        <v>0</v>
      </c>
      <c r="D33" s="2">
        <f t="shared" si="49"/>
        <v>0</v>
      </c>
      <c r="E33" s="2">
        <f t="shared" si="49"/>
        <v>0</v>
      </c>
      <c r="F33" s="2">
        <f t="shared" si="49"/>
        <v>1</v>
      </c>
      <c r="G33" s="2">
        <f t="shared" si="49"/>
        <v>0</v>
      </c>
      <c r="H33" s="2">
        <f t="shared" si="49"/>
        <v>0</v>
      </c>
      <c r="I33" s="2">
        <f t="shared" si="49"/>
        <v>0</v>
      </c>
      <c r="J33" s="2">
        <f t="shared" si="49"/>
        <v>0</v>
      </c>
      <c r="K33" s="2">
        <f t="shared" si="49"/>
        <v>0</v>
      </c>
      <c r="L33" s="2">
        <f t="shared" si="49"/>
        <v>0</v>
      </c>
      <c r="M33" s="2">
        <f t="shared" si="49"/>
        <v>0</v>
      </c>
      <c r="N33" s="2">
        <f t="shared" si="49"/>
        <v>0</v>
      </c>
      <c r="O33" s="2">
        <f t="shared" ref="O33:R33" si="52">O17</f>
        <v>0</v>
      </c>
      <c r="P33" s="2">
        <f t="shared" si="52"/>
        <v>0</v>
      </c>
      <c r="Q33" s="2">
        <f t="shared" si="52"/>
        <v>0</v>
      </c>
      <c r="R33" s="2">
        <f t="shared" si="52"/>
        <v>0</v>
      </c>
    </row>
    <row r="34" spans="1:18" x14ac:dyDescent="0.3">
      <c r="A34" s="2">
        <f t="shared" si="7"/>
        <v>29</v>
      </c>
      <c r="B34" s="2" t="str">
        <f>Data_base_case!D37</f>
        <v>H2 pipeline to NH3 plant</v>
      </c>
      <c r="C34" s="2">
        <f t="shared" ref="C34:N34" si="53">IF(C1 = "NH3",1,0)</f>
        <v>0</v>
      </c>
      <c r="D34" s="2">
        <f t="shared" si="53"/>
        <v>0</v>
      </c>
      <c r="E34" s="2">
        <f t="shared" si="53"/>
        <v>0</v>
      </c>
      <c r="F34" s="2">
        <f t="shared" si="53"/>
        <v>0</v>
      </c>
      <c r="G34" s="2">
        <f t="shared" si="53"/>
        <v>1</v>
      </c>
      <c r="H34" s="2">
        <f t="shared" si="53"/>
        <v>1</v>
      </c>
      <c r="I34" s="2">
        <f t="shared" si="53"/>
        <v>1</v>
      </c>
      <c r="J34" s="2">
        <f t="shared" si="53"/>
        <v>0</v>
      </c>
      <c r="K34" s="2">
        <f t="shared" si="53"/>
        <v>0</v>
      </c>
      <c r="L34" s="2">
        <f t="shared" si="53"/>
        <v>0</v>
      </c>
      <c r="M34" s="2">
        <f t="shared" si="53"/>
        <v>0</v>
      </c>
      <c r="N34" s="2">
        <f t="shared" si="53"/>
        <v>0</v>
      </c>
      <c r="O34" s="2">
        <f t="shared" ref="O34:R34" si="54">IF(O1 = "NH3",1,0)</f>
        <v>0</v>
      </c>
      <c r="P34" s="2">
        <f t="shared" si="54"/>
        <v>1</v>
      </c>
      <c r="Q34" s="2">
        <f t="shared" si="54"/>
        <v>1</v>
      </c>
      <c r="R34" s="2">
        <f t="shared" si="54"/>
        <v>1</v>
      </c>
    </row>
    <row r="35" spans="1:18" x14ac:dyDescent="0.3">
      <c r="A35" s="2">
        <f t="shared" si="7"/>
        <v>30</v>
      </c>
      <c r="B35" s="2" t="str">
        <f>Data_base_case!D38</f>
        <v>H2 pipeline to client</v>
      </c>
      <c r="C35" s="2">
        <f t="shared" ref="C35:N35" si="55">IF(C1 = "H2",1,0)</f>
        <v>0</v>
      </c>
      <c r="D35" s="2">
        <f t="shared" si="55"/>
        <v>0</v>
      </c>
      <c r="E35" s="2">
        <f t="shared" si="55"/>
        <v>0</v>
      </c>
      <c r="F35" s="2">
        <f t="shared" si="55"/>
        <v>0</v>
      </c>
      <c r="G35" s="2">
        <f t="shared" si="55"/>
        <v>0</v>
      </c>
      <c r="H35" s="2">
        <f t="shared" si="55"/>
        <v>0</v>
      </c>
      <c r="I35" s="2">
        <f t="shared" si="55"/>
        <v>0</v>
      </c>
      <c r="J35" s="2">
        <f t="shared" si="55"/>
        <v>0</v>
      </c>
      <c r="K35" s="2">
        <f t="shared" si="55"/>
        <v>0</v>
      </c>
      <c r="L35" s="2">
        <f t="shared" si="55"/>
        <v>0</v>
      </c>
      <c r="M35" s="2">
        <f t="shared" si="55"/>
        <v>1</v>
      </c>
      <c r="N35" s="2">
        <f t="shared" si="55"/>
        <v>1</v>
      </c>
      <c r="O35" s="2">
        <f t="shared" ref="O35:R35" si="56">IF(O1 = "H2",1,0)</f>
        <v>1</v>
      </c>
      <c r="P35" s="2">
        <f t="shared" si="56"/>
        <v>0</v>
      </c>
      <c r="Q35" s="2">
        <f t="shared" si="56"/>
        <v>0</v>
      </c>
      <c r="R35" s="2">
        <f t="shared" si="56"/>
        <v>0</v>
      </c>
    </row>
    <row r="36" spans="1:18" x14ac:dyDescent="0.3">
      <c r="A36" s="2">
        <f t="shared" si="7"/>
        <v>31</v>
      </c>
      <c r="B36" s="2" t="str">
        <f>Data_base_case!D39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7"/>
        <v>32</v>
      </c>
      <c r="B37" s="2" t="str">
        <f>Data_base_case!D40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7"/>
        <v>33</v>
      </c>
      <c r="B38" s="2" t="str">
        <f>Data_base_case!D41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7"/>
        <v>34</v>
      </c>
      <c r="B39" s="2" t="str">
        <f>Data_base_case!D42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7"/>
        <v>35</v>
      </c>
      <c r="B40" s="2" t="str">
        <f>Data_base_case!D43</f>
        <v>H2 tank compressor</v>
      </c>
      <c r="C40" s="2">
        <f>C42</f>
        <v>0</v>
      </c>
      <c r="D40" s="2">
        <f t="shared" ref="D40:N40" si="57">D42</f>
        <v>0</v>
      </c>
      <c r="E40" s="2">
        <f t="shared" si="57"/>
        <v>0</v>
      </c>
      <c r="F40" s="2">
        <f t="shared" si="57"/>
        <v>0</v>
      </c>
      <c r="G40" s="2">
        <f t="shared" si="57"/>
        <v>0</v>
      </c>
      <c r="H40" s="2">
        <f t="shared" si="57"/>
        <v>0</v>
      </c>
      <c r="I40" s="2">
        <f t="shared" si="57"/>
        <v>0</v>
      </c>
      <c r="J40" s="2">
        <f t="shared" si="57"/>
        <v>0</v>
      </c>
      <c r="K40" s="2">
        <f t="shared" si="57"/>
        <v>0</v>
      </c>
      <c r="L40" s="2">
        <f t="shared" si="57"/>
        <v>0</v>
      </c>
      <c r="M40" s="2">
        <f t="shared" si="57"/>
        <v>0</v>
      </c>
      <c r="N40" s="2">
        <f t="shared" si="57"/>
        <v>0</v>
      </c>
      <c r="O40" s="2">
        <f t="shared" ref="O40:R40" si="58">O42</f>
        <v>0</v>
      </c>
      <c r="P40" s="2">
        <f t="shared" si="58"/>
        <v>0</v>
      </c>
      <c r="Q40" s="2">
        <f t="shared" si="58"/>
        <v>0</v>
      </c>
      <c r="R40" s="2">
        <f t="shared" si="58"/>
        <v>0</v>
      </c>
    </row>
    <row r="41" spans="1:18" x14ac:dyDescent="0.3">
      <c r="A41" s="2">
        <f t="shared" si="7"/>
        <v>36</v>
      </c>
      <c r="B41" s="2" t="str">
        <f>Data_base_case!D44</f>
        <v>H2 tank valve</v>
      </c>
      <c r="C41" s="2">
        <f>C42</f>
        <v>0</v>
      </c>
      <c r="D41" s="2">
        <f t="shared" ref="D41:R41" si="59">D42</f>
        <v>0</v>
      </c>
      <c r="E41" s="2">
        <f t="shared" si="59"/>
        <v>0</v>
      </c>
      <c r="F41" s="2">
        <f t="shared" si="59"/>
        <v>0</v>
      </c>
      <c r="G41" s="2">
        <f t="shared" si="59"/>
        <v>0</v>
      </c>
      <c r="H41" s="2">
        <f t="shared" si="59"/>
        <v>0</v>
      </c>
      <c r="I41" s="2">
        <f t="shared" si="59"/>
        <v>0</v>
      </c>
      <c r="J41" s="2">
        <f t="shared" si="59"/>
        <v>0</v>
      </c>
      <c r="K41" s="2">
        <f t="shared" si="59"/>
        <v>0</v>
      </c>
      <c r="L41" s="2">
        <f t="shared" si="59"/>
        <v>0</v>
      </c>
      <c r="M41" s="2">
        <f t="shared" si="59"/>
        <v>0</v>
      </c>
      <c r="N41" s="2">
        <f t="shared" si="59"/>
        <v>0</v>
      </c>
      <c r="O41" s="2">
        <f t="shared" si="59"/>
        <v>0</v>
      </c>
      <c r="P41" s="2">
        <f t="shared" si="59"/>
        <v>0</v>
      </c>
      <c r="Q41" s="2">
        <f t="shared" si="59"/>
        <v>0</v>
      </c>
      <c r="R41" s="2">
        <f t="shared" si="59"/>
        <v>0</v>
      </c>
    </row>
    <row r="42" spans="1:18" x14ac:dyDescent="0.3">
      <c r="A42" s="2">
        <f t="shared" si="7"/>
        <v>37</v>
      </c>
      <c r="B42" s="2" t="str">
        <f>Data_base_case!D45</f>
        <v>H2 tank</v>
      </c>
      <c r="C42" s="2">
        <f>IF($B$42=$A$4,1,0)</f>
        <v>0</v>
      </c>
      <c r="D42" s="2">
        <f t="shared" ref="D42:R42" si="60">IF($B$42=$A$4,1,0)</f>
        <v>0</v>
      </c>
      <c r="E42" s="2">
        <f t="shared" si="60"/>
        <v>0</v>
      </c>
      <c r="F42" s="2">
        <f t="shared" si="60"/>
        <v>0</v>
      </c>
      <c r="G42" s="2">
        <f t="shared" si="60"/>
        <v>0</v>
      </c>
      <c r="H42" s="2">
        <f t="shared" si="60"/>
        <v>0</v>
      </c>
      <c r="I42" s="2">
        <f t="shared" si="60"/>
        <v>0</v>
      </c>
      <c r="J42" s="2">
        <f t="shared" si="60"/>
        <v>0</v>
      </c>
      <c r="K42" s="2">
        <f t="shared" si="60"/>
        <v>0</v>
      </c>
      <c r="L42" s="2">
        <f t="shared" si="60"/>
        <v>0</v>
      </c>
      <c r="M42" s="2">
        <f t="shared" si="60"/>
        <v>0</v>
      </c>
      <c r="N42" s="2">
        <f t="shared" si="60"/>
        <v>0</v>
      </c>
      <c r="O42" s="2">
        <f t="shared" si="60"/>
        <v>0</v>
      </c>
      <c r="P42" s="2">
        <f t="shared" si="60"/>
        <v>0</v>
      </c>
      <c r="Q42" s="2">
        <f t="shared" si="60"/>
        <v>0</v>
      </c>
      <c r="R42" s="2">
        <f t="shared" si="60"/>
        <v>0</v>
      </c>
    </row>
    <row r="43" spans="1:18" x14ac:dyDescent="0.3">
      <c r="A43" s="2">
        <f t="shared" si="7"/>
        <v>38</v>
      </c>
      <c r="B43" s="2" t="str">
        <f>Data_base_case!D46</f>
        <v>H2 pipes compressor</v>
      </c>
      <c r="C43" s="2">
        <f>C45</f>
        <v>0</v>
      </c>
      <c r="D43" s="2">
        <f t="shared" ref="D43:N43" si="61">D45</f>
        <v>0</v>
      </c>
      <c r="E43" s="2">
        <f t="shared" si="61"/>
        <v>0</v>
      </c>
      <c r="F43" s="2">
        <f t="shared" si="61"/>
        <v>0</v>
      </c>
      <c r="G43" s="2">
        <f t="shared" si="61"/>
        <v>0</v>
      </c>
      <c r="H43" s="2">
        <f t="shared" si="61"/>
        <v>0</v>
      </c>
      <c r="I43" s="2">
        <f t="shared" si="61"/>
        <v>0</v>
      </c>
      <c r="J43" s="2">
        <f t="shared" si="61"/>
        <v>0</v>
      </c>
      <c r="K43" s="2">
        <f t="shared" si="61"/>
        <v>0</v>
      </c>
      <c r="L43" s="2">
        <f t="shared" si="61"/>
        <v>0</v>
      </c>
      <c r="M43" s="2">
        <f t="shared" si="61"/>
        <v>0</v>
      </c>
      <c r="N43" s="2">
        <f t="shared" si="61"/>
        <v>0</v>
      </c>
      <c r="O43" s="2">
        <f t="shared" ref="O43:R43" si="62">O45</f>
        <v>0</v>
      </c>
      <c r="P43" s="2">
        <f t="shared" si="62"/>
        <v>0</v>
      </c>
      <c r="Q43" s="2">
        <f t="shared" si="62"/>
        <v>0</v>
      </c>
      <c r="R43" s="2">
        <f t="shared" si="62"/>
        <v>0</v>
      </c>
    </row>
    <row r="44" spans="1:18" x14ac:dyDescent="0.3">
      <c r="A44" s="2">
        <f t="shared" si="7"/>
        <v>39</v>
      </c>
      <c r="B44" s="2" t="str">
        <f>Data_base_case!D47</f>
        <v>H2 pipes valve</v>
      </c>
      <c r="C44" s="2">
        <f>C45</f>
        <v>0</v>
      </c>
      <c r="D44" s="2">
        <f t="shared" ref="D44:R44" si="63">D45</f>
        <v>0</v>
      </c>
      <c r="E44" s="2">
        <f t="shared" si="63"/>
        <v>0</v>
      </c>
      <c r="F44" s="2">
        <f t="shared" si="63"/>
        <v>0</v>
      </c>
      <c r="G44" s="2">
        <f t="shared" si="63"/>
        <v>0</v>
      </c>
      <c r="H44" s="2">
        <f t="shared" si="63"/>
        <v>0</v>
      </c>
      <c r="I44" s="2">
        <f t="shared" si="63"/>
        <v>0</v>
      </c>
      <c r="J44" s="2">
        <f t="shared" si="63"/>
        <v>0</v>
      </c>
      <c r="K44" s="2">
        <f t="shared" si="63"/>
        <v>0</v>
      </c>
      <c r="L44" s="2">
        <f t="shared" si="63"/>
        <v>0</v>
      </c>
      <c r="M44" s="2">
        <f t="shared" si="63"/>
        <v>0</v>
      </c>
      <c r="N44" s="2">
        <f t="shared" si="63"/>
        <v>0</v>
      </c>
      <c r="O44" s="2">
        <f t="shared" si="63"/>
        <v>0</v>
      </c>
      <c r="P44" s="2">
        <f t="shared" si="63"/>
        <v>0</v>
      </c>
      <c r="Q44" s="2">
        <f t="shared" si="63"/>
        <v>0</v>
      </c>
      <c r="R44" s="2">
        <f t="shared" si="63"/>
        <v>0</v>
      </c>
    </row>
    <row r="45" spans="1:18" x14ac:dyDescent="0.3">
      <c r="A45" s="2">
        <f t="shared" si="7"/>
        <v>40</v>
      </c>
      <c r="B45" s="2" t="str">
        <f>Data_base_case!D48</f>
        <v>H2 buried pipes</v>
      </c>
      <c r="C45" s="2">
        <f>IF($B45=$A$4,1,0)</f>
        <v>0</v>
      </c>
      <c r="D45" s="2">
        <f t="shared" ref="D45:R45" si="64">IF($B45=$A$4,1,0)</f>
        <v>0</v>
      </c>
      <c r="E45" s="2">
        <f t="shared" si="64"/>
        <v>0</v>
      </c>
      <c r="F45" s="2">
        <f t="shared" si="64"/>
        <v>0</v>
      </c>
      <c r="G45" s="2">
        <f t="shared" si="64"/>
        <v>0</v>
      </c>
      <c r="H45" s="2">
        <f t="shared" si="64"/>
        <v>0</v>
      </c>
      <c r="I45" s="2">
        <f t="shared" si="64"/>
        <v>0</v>
      </c>
      <c r="J45" s="2">
        <f t="shared" si="64"/>
        <v>0</v>
      </c>
      <c r="K45" s="2">
        <f t="shared" si="64"/>
        <v>0</v>
      </c>
      <c r="L45" s="2">
        <f t="shared" si="64"/>
        <v>0</v>
      </c>
      <c r="M45" s="2">
        <f t="shared" si="64"/>
        <v>0</v>
      </c>
      <c r="N45" s="2">
        <f t="shared" si="64"/>
        <v>0</v>
      </c>
      <c r="O45" s="2">
        <f t="shared" si="64"/>
        <v>0</v>
      </c>
      <c r="P45" s="2">
        <f t="shared" si="64"/>
        <v>0</v>
      </c>
      <c r="Q45" s="2">
        <f t="shared" si="64"/>
        <v>0</v>
      </c>
      <c r="R45" s="2">
        <f t="shared" si="64"/>
        <v>0</v>
      </c>
    </row>
    <row r="46" spans="1:18" x14ac:dyDescent="0.3">
      <c r="A46" s="2">
        <f t="shared" si="7"/>
        <v>41</v>
      </c>
      <c r="B46" s="2" t="str">
        <f>Data_base_case!D49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3">
      <c r="A47" s="2">
        <f t="shared" si="7"/>
        <v>42</v>
      </c>
      <c r="B47" s="2" t="str">
        <f>Data_base_case!D50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</row>
    <row r="48" spans="1:18" x14ac:dyDescent="0.3">
      <c r="A48" s="2">
        <f t="shared" si="7"/>
        <v>43</v>
      </c>
      <c r="B48" s="2" t="str">
        <f>Data_base_case!D51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</row>
    <row r="49" spans="1:18" x14ac:dyDescent="0.3">
      <c r="A49" s="2">
        <f t="shared" si="7"/>
        <v>44</v>
      </c>
      <c r="B49" s="2" t="str">
        <f>Data_base_case!D52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</row>
    <row r="50" spans="1:18" x14ac:dyDescent="0.3">
      <c r="A50" s="2">
        <f t="shared" si="7"/>
        <v>45</v>
      </c>
      <c r="B50" s="2" t="str">
        <f>Data_base_case!D53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7"/>
        <v>46</v>
      </c>
      <c r="B51" s="2" t="str">
        <f>Data_base_case!D54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</row>
    <row r="52" spans="1:18" x14ac:dyDescent="0.3">
      <c r="A52" s="2">
        <f t="shared" si="7"/>
        <v>47</v>
      </c>
      <c r="B52" s="2" t="str">
        <f>Data_base_case!D55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</row>
    <row r="53" spans="1:18" x14ac:dyDescent="0.3">
      <c r="A53" s="2">
        <f t="shared" si="7"/>
        <v>48</v>
      </c>
      <c r="B53" s="2" t="str">
        <f>Data_base_case!D56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</row>
    <row r="54" spans="1:18" x14ac:dyDescent="0.3">
      <c r="A54" s="2">
        <f t="shared" si="7"/>
        <v>49</v>
      </c>
      <c r="B54" s="2" t="str">
        <f>Data_base_case!D57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</row>
    <row r="55" spans="1:18" x14ac:dyDescent="0.3">
      <c r="A55" s="2">
        <f t="shared" si="7"/>
        <v>50</v>
      </c>
      <c r="B55" s="2" t="str">
        <f>Data_base_case!D58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</row>
    <row r="56" spans="1:18" x14ac:dyDescent="0.3">
      <c r="A56" s="2">
        <f t="shared" si="7"/>
        <v>51</v>
      </c>
      <c r="B56" s="2" t="str">
        <f>Data_base_case!D59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</row>
    <row r="57" spans="1:18" x14ac:dyDescent="0.3">
      <c r="A57" s="2">
        <f t="shared" si="7"/>
        <v>52</v>
      </c>
      <c r="B57" s="2" t="str">
        <f>Data_base_case!D60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</row>
    <row r="58" spans="1:18" x14ac:dyDescent="0.3">
      <c r="A58" s="2">
        <f t="shared" si="7"/>
        <v>53</v>
      </c>
      <c r="B58" s="2" t="str">
        <f>Data_base_case!D61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</row>
    <row r="59" spans="1:18" x14ac:dyDescent="0.3">
      <c r="A59" s="2">
        <f t="shared" si="7"/>
        <v>54</v>
      </c>
      <c r="B59" s="2" t="str">
        <f>Data_base_case!D62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</row>
    <row r="60" spans="1:18" x14ac:dyDescent="0.3">
      <c r="A60" s="2">
        <f t="shared" si="7"/>
        <v>55</v>
      </c>
      <c r="B60" s="2" t="str">
        <f>Data_base_case!D63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7"/>
        <v>56</v>
      </c>
      <c r="B61" s="2" t="str">
        <f>Data_base_case!D64</f>
        <v>Charge TES</v>
      </c>
      <c r="C61" s="2">
        <f>C60</f>
        <v>0</v>
      </c>
      <c r="D61" s="2">
        <f t="shared" ref="D61:N61" si="65">D60</f>
        <v>0</v>
      </c>
      <c r="E61" s="2">
        <f t="shared" si="65"/>
        <v>0</v>
      </c>
      <c r="F61" s="2">
        <f t="shared" si="65"/>
        <v>0</v>
      </c>
      <c r="G61" s="2">
        <f t="shared" si="65"/>
        <v>0</v>
      </c>
      <c r="H61" s="2">
        <f t="shared" si="65"/>
        <v>0</v>
      </c>
      <c r="I61" s="2">
        <f t="shared" si="65"/>
        <v>0</v>
      </c>
      <c r="J61" s="2">
        <f t="shared" si="65"/>
        <v>0</v>
      </c>
      <c r="K61" s="2">
        <f t="shared" si="65"/>
        <v>0</v>
      </c>
      <c r="L61" s="2">
        <f t="shared" si="65"/>
        <v>0</v>
      </c>
      <c r="M61" s="2">
        <f t="shared" si="65"/>
        <v>0</v>
      </c>
      <c r="N61" s="2">
        <f t="shared" si="65"/>
        <v>0</v>
      </c>
      <c r="O61" s="2">
        <f t="shared" ref="O61:R61" si="66">O60</f>
        <v>0</v>
      </c>
      <c r="P61" s="2">
        <f t="shared" si="66"/>
        <v>0</v>
      </c>
      <c r="Q61" s="2">
        <f t="shared" si="66"/>
        <v>0</v>
      </c>
      <c r="R61" s="2">
        <f t="shared" si="66"/>
        <v>0</v>
      </c>
    </row>
    <row r="62" spans="1:18" x14ac:dyDescent="0.3">
      <c r="A62" s="2">
        <f t="shared" si="7"/>
        <v>57</v>
      </c>
      <c r="B62" s="2" t="str">
        <f>Data_base_case!D65</f>
        <v>Discharge TES</v>
      </c>
      <c r="C62" s="2">
        <f>C60</f>
        <v>0</v>
      </c>
      <c r="D62" s="2">
        <f t="shared" ref="D62:N62" si="67">D60</f>
        <v>0</v>
      </c>
      <c r="E62" s="2">
        <f t="shared" si="67"/>
        <v>0</v>
      </c>
      <c r="F62" s="2">
        <f t="shared" si="67"/>
        <v>0</v>
      </c>
      <c r="G62" s="2">
        <f t="shared" si="67"/>
        <v>0</v>
      </c>
      <c r="H62" s="2">
        <f t="shared" si="67"/>
        <v>0</v>
      </c>
      <c r="I62" s="2">
        <f t="shared" si="67"/>
        <v>0</v>
      </c>
      <c r="J62" s="2">
        <f t="shared" si="67"/>
        <v>0</v>
      </c>
      <c r="K62" s="2">
        <f t="shared" si="67"/>
        <v>0</v>
      </c>
      <c r="L62" s="2">
        <f t="shared" si="67"/>
        <v>0</v>
      </c>
      <c r="M62" s="2">
        <f t="shared" si="67"/>
        <v>0</v>
      </c>
      <c r="N62" s="2">
        <f t="shared" si="67"/>
        <v>0</v>
      </c>
      <c r="O62" s="2">
        <f t="shared" ref="O62:R62" si="68">O60</f>
        <v>0</v>
      </c>
      <c r="P62" s="2">
        <f t="shared" si="68"/>
        <v>0</v>
      </c>
      <c r="Q62" s="2">
        <f t="shared" si="68"/>
        <v>0</v>
      </c>
      <c r="R62" s="2">
        <f t="shared" si="68"/>
        <v>0</v>
      </c>
    </row>
    <row r="63" spans="1:18" x14ac:dyDescent="0.3">
      <c r="A63" s="2">
        <f t="shared" si="7"/>
        <v>58</v>
      </c>
      <c r="B63" s="2" t="str">
        <f>Data_base_case!D66</f>
        <v>TES</v>
      </c>
      <c r="C63" s="2">
        <f>C60</f>
        <v>0</v>
      </c>
      <c r="D63" s="2">
        <f t="shared" ref="D63:N63" si="69">D60</f>
        <v>0</v>
      </c>
      <c r="E63" s="2">
        <f t="shared" si="69"/>
        <v>0</v>
      </c>
      <c r="F63" s="2">
        <f t="shared" si="69"/>
        <v>0</v>
      </c>
      <c r="G63" s="2">
        <f t="shared" si="69"/>
        <v>0</v>
      </c>
      <c r="H63" s="2">
        <f t="shared" si="69"/>
        <v>0</v>
      </c>
      <c r="I63" s="2">
        <f t="shared" si="69"/>
        <v>0</v>
      </c>
      <c r="J63" s="2">
        <f t="shared" si="69"/>
        <v>0</v>
      </c>
      <c r="K63" s="2">
        <f t="shared" si="69"/>
        <v>0</v>
      </c>
      <c r="L63" s="2">
        <f t="shared" si="69"/>
        <v>0</v>
      </c>
      <c r="M63" s="2">
        <f t="shared" si="69"/>
        <v>0</v>
      </c>
      <c r="N63" s="2">
        <f t="shared" si="69"/>
        <v>0</v>
      </c>
      <c r="O63" s="2">
        <f t="shared" ref="O63:R63" si="70">O60</f>
        <v>0</v>
      </c>
      <c r="P63" s="2">
        <f t="shared" si="70"/>
        <v>0</v>
      </c>
      <c r="Q63" s="2">
        <f t="shared" si="70"/>
        <v>0</v>
      </c>
      <c r="R63" s="2">
        <f t="shared" si="70"/>
        <v>0</v>
      </c>
    </row>
    <row r="64" spans="1:18" x14ac:dyDescent="0.3">
      <c r="A64" s="2">
        <f t="shared" si="7"/>
        <v>59</v>
      </c>
      <c r="B64" s="2" t="str">
        <f>Data_base_case!D67</f>
        <v>CSP + TES</v>
      </c>
      <c r="C64" s="2">
        <f>C60</f>
        <v>0</v>
      </c>
      <c r="D64" s="2">
        <f t="shared" ref="D64:N64" si="71">D60</f>
        <v>0</v>
      </c>
      <c r="E64" s="2">
        <f t="shared" si="71"/>
        <v>0</v>
      </c>
      <c r="F64" s="2">
        <f t="shared" si="71"/>
        <v>0</v>
      </c>
      <c r="G64" s="2">
        <f t="shared" si="71"/>
        <v>0</v>
      </c>
      <c r="H64" s="2">
        <f t="shared" si="71"/>
        <v>0</v>
      </c>
      <c r="I64" s="2">
        <f t="shared" si="71"/>
        <v>0</v>
      </c>
      <c r="J64" s="2">
        <f t="shared" si="71"/>
        <v>0</v>
      </c>
      <c r="K64" s="2">
        <f t="shared" si="71"/>
        <v>0</v>
      </c>
      <c r="L64" s="2">
        <f t="shared" si="71"/>
        <v>0</v>
      </c>
      <c r="M64" s="2">
        <f t="shared" si="71"/>
        <v>0</v>
      </c>
      <c r="N64" s="2">
        <f t="shared" si="71"/>
        <v>0</v>
      </c>
      <c r="O64" s="2">
        <f t="shared" ref="O64:R64" si="72">O60</f>
        <v>0</v>
      </c>
      <c r="P64" s="2">
        <f t="shared" si="72"/>
        <v>0</v>
      </c>
      <c r="Q64" s="2">
        <f t="shared" si="72"/>
        <v>0</v>
      </c>
      <c r="R64" s="2">
        <f t="shared" si="72"/>
        <v>0</v>
      </c>
    </row>
    <row r="65" spans="1:18" x14ac:dyDescent="0.3">
      <c r="A65" s="2">
        <f t="shared" si="7"/>
        <v>60</v>
      </c>
      <c r="B65" s="2" t="str">
        <f>Data_base_case!D68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7"/>
        <v>61</v>
      </c>
      <c r="B66" s="2" t="str">
        <f>Data_base_case!D69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7"/>
        <v>62</v>
      </c>
      <c r="B67" s="2" t="str">
        <f>Data_base_case!D70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7"/>
        <v>63</v>
      </c>
      <c r="B68" s="2" t="str">
        <f>Data_base_case!D71</f>
        <v>Charge batteries</v>
      </c>
      <c r="C68" s="2">
        <f>C70</f>
        <v>1</v>
      </c>
      <c r="D68" s="2">
        <f t="shared" ref="D68:O68" si="73">D70</f>
        <v>1</v>
      </c>
      <c r="E68" s="2">
        <f t="shared" si="73"/>
        <v>1</v>
      </c>
      <c r="F68" s="2">
        <f t="shared" si="73"/>
        <v>1</v>
      </c>
      <c r="G68" s="2">
        <f t="shared" si="73"/>
        <v>1</v>
      </c>
      <c r="H68" s="2">
        <f t="shared" si="73"/>
        <v>1</v>
      </c>
      <c r="I68" s="2">
        <f t="shared" si="73"/>
        <v>1</v>
      </c>
      <c r="J68" s="2">
        <f t="shared" si="73"/>
        <v>1</v>
      </c>
      <c r="K68" s="2">
        <f t="shared" si="73"/>
        <v>1</v>
      </c>
      <c r="L68" s="2">
        <f t="shared" si="73"/>
        <v>1</v>
      </c>
      <c r="M68" s="2">
        <f t="shared" si="73"/>
        <v>1</v>
      </c>
      <c r="N68" s="2">
        <f t="shared" si="73"/>
        <v>1</v>
      </c>
      <c r="O68" s="2">
        <f t="shared" si="73"/>
        <v>1</v>
      </c>
      <c r="P68" s="2">
        <f t="shared" ref="P68:R68" si="74">P70</f>
        <v>1</v>
      </c>
      <c r="Q68" s="2">
        <f t="shared" si="74"/>
        <v>1</v>
      </c>
      <c r="R68" s="2">
        <f t="shared" si="74"/>
        <v>1</v>
      </c>
    </row>
    <row r="69" spans="1:18" x14ac:dyDescent="0.3">
      <c r="A69" s="2">
        <f t="shared" si="7"/>
        <v>64</v>
      </c>
      <c r="B69" s="2" t="str">
        <f>Data_base_case!D72</f>
        <v>Discharge batteries</v>
      </c>
      <c r="C69" s="2">
        <f>C70</f>
        <v>1</v>
      </c>
      <c r="D69" s="2">
        <f t="shared" ref="D69:R69" si="75">D70</f>
        <v>1</v>
      </c>
      <c r="E69" s="2">
        <f t="shared" si="75"/>
        <v>1</v>
      </c>
      <c r="F69" s="2">
        <f t="shared" si="75"/>
        <v>1</v>
      </c>
      <c r="G69" s="2">
        <f t="shared" si="75"/>
        <v>1</v>
      </c>
      <c r="H69" s="2">
        <f t="shared" si="75"/>
        <v>1</v>
      </c>
      <c r="I69" s="2">
        <f t="shared" si="75"/>
        <v>1</v>
      </c>
      <c r="J69" s="2">
        <f t="shared" si="75"/>
        <v>1</v>
      </c>
      <c r="K69" s="2">
        <f t="shared" si="75"/>
        <v>1</v>
      </c>
      <c r="L69" s="2">
        <f t="shared" si="75"/>
        <v>1</v>
      </c>
      <c r="M69" s="2">
        <f t="shared" si="75"/>
        <v>1</v>
      </c>
      <c r="N69" s="2">
        <f t="shared" si="75"/>
        <v>1</v>
      </c>
      <c r="O69" s="2">
        <f t="shared" si="75"/>
        <v>1</v>
      </c>
      <c r="P69" s="2">
        <f t="shared" si="75"/>
        <v>1</v>
      </c>
      <c r="Q69" s="2">
        <f t="shared" si="75"/>
        <v>1</v>
      </c>
      <c r="R69" s="2">
        <f t="shared" si="75"/>
        <v>1</v>
      </c>
    </row>
    <row r="70" spans="1:18" x14ac:dyDescent="0.3">
      <c r="A70" s="2">
        <f t="shared" si="7"/>
        <v>65</v>
      </c>
      <c r="B70" s="2" t="str">
        <f>Data_base_case!D73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R70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201"/>
  <sheetViews>
    <sheetView workbookViewId="0">
      <selection activeCell="D85" sqref="D85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21" width="8.77734375" style="1"/>
    <col min="22" max="22" width="12" style="1" customWidth="1"/>
    <col min="23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x14ac:dyDescent="0.3">
      <c r="A4" s="11"/>
      <c r="B4" s="71" t="s">
        <v>444</v>
      </c>
      <c r="C4" s="11" t="s">
        <v>43</v>
      </c>
      <c r="D4" s="76" t="s">
        <v>131</v>
      </c>
      <c r="E4" s="11" t="s">
        <v>133</v>
      </c>
      <c r="F4" s="1">
        <v>0</v>
      </c>
      <c r="G4" s="69" t="s">
        <v>133</v>
      </c>
      <c r="H4" s="1">
        <f>INDEX(Data_base_case!$D$8:$FS$118,MATCH(Scenarios_definition!C4,Data_base_case!$D$8:$D$118,0),MATCH(Scenarios_definition!D4&amp;Scenarios_definition!G4,Data_base_case!$D$7:$FS$7,0))</f>
        <v>0</v>
      </c>
    </row>
    <row r="5" spans="1:140" x14ac:dyDescent="0.3">
      <c r="A5" s="11"/>
      <c r="B5" s="71" t="s">
        <v>443</v>
      </c>
      <c r="C5" s="11" t="s">
        <v>43</v>
      </c>
      <c r="D5" s="76" t="s">
        <v>131</v>
      </c>
      <c r="E5" s="11" t="s">
        <v>133</v>
      </c>
      <c r="F5" s="1">
        <v>0</v>
      </c>
      <c r="G5" s="69" t="s">
        <v>133</v>
      </c>
      <c r="H5" s="1">
        <f>INDEX(Data_base_case!$D$8:$FS$118,MATCH(Scenarios_definition!C5,Data_base_case!$D$8:$D$118,0),MATCH(Scenarios_definition!D5&amp;Scenarios_definition!G5,Data_base_case!$D$7:$FS$7,0))</f>
        <v>0</v>
      </c>
    </row>
    <row r="6" spans="1:140" x14ac:dyDescent="0.3">
      <c r="A6" s="11"/>
      <c r="B6" s="71" t="s">
        <v>445</v>
      </c>
      <c r="C6" s="11" t="s">
        <v>43</v>
      </c>
      <c r="D6" s="76" t="s">
        <v>131</v>
      </c>
      <c r="E6" s="11" t="s">
        <v>133</v>
      </c>
      <c r="F6" s="1">
        <v>0</v>
      </c>
      <c r="G6" s="69" t="s">
        <v>133</v>
      </c>
      <c r="H6" s="1">
        <f>INDEX(Data_base_case!$D$8:$FS$118,MATCH(Scenarios_definition!C6,Data_base_case!$D$8:$D$118,0),MATCH(Scenarios_definition!D6&amp;Scenarios_definition!G6,Data_base_case!$D$7:$FS$7,0))</f>
        <v>0</v>
      </c>
    </row>
    <row r="7" spans="1:140" x14ac:dyDescent="0.3">
      <c r="A7" s="13" t="s">
        <v>444</v>
      </c>
      <c r="B7" s="71" t="s">
        <v>441</v>
      </c>
      <c r="C7" s="11" t="s">
        <v>43</v>
      </c>
      <c r="D7" s="76" t="s">
        <v>131</v>
      </c>
      <c r="E7" s="11" t="s">
        <v>133</v>
      </c>
      <c r="F7" s="1">
        <v>1</v>
      </c>
      <c r="G7" s="69" t="s">
        <v>133</v>
      </c>
      <c r="H7" s="1">
        <f>INDEX(Data_base_case!$D$8:$FS$118,MATCH(Scenarios_definition!C7,Data_base_case!$D$8:$D$118,0),MATCH(Scenarios_definition!D7&amp;Scenarios_definition!G7,Data_base_case!$D$7:$FS$7,0))</f>
        <v>0</v>
      </c>
    </row>
    <row r="8" spans="1:140" x14ac:dyDescent="0.3">
      <c r="A8" s="13" t="s">
        <v>443</v>
      </c>
      <c r="B8" s="71" t="s">
        <v>440</v>
      </c>
      <c r="C8" s="11" t="s">
        <v>43</v>
      </c>
      <c r="D8" s="94" t="s">
        <v>131</v>
      </c>
      <c r="E8" s="11" t="s">
        <v>133</v>
      </c>
      <c r="F8" s="1">
        <v>1</v>
      </c>
      <c r="G8" s="69" t="s">
        <v>133</v>
      </c>
      <c r="H8" s="1">
        <f>INDEX(Data_base_case!$D$8:$FS$118,MATCH(Scenarios_definition!C8,Data_base_case!$D$8:$D$118,0),MATCH(Scenarios_definition!D8&amp;Scenarios_definition!G8,Data_base_case!$D$7:$FS$7,0))</f>
        <v>0</v>
      </c>
    </row>
    <row r="9" spans="1:140" x14ac:dyDescent="0.3">
      <c r="A9" s="13" t="s">
        <v>445</v>
      </c>
      <c r="B9" s="71" t="s">
        <v>442</v>
      </c>
      <c r="C9" s="11" t="s">
        <v>43</v>
      </c>
      <c r="D9" s="94" t="s">
        <v>131</v>
      </c>
      <c r="E9" s="11" t="s">
        <v>133</v>
      </c>
      <c r="F9" s="1">
        <v>1</v>
      </c>
      <c r="G9" s="69" t="s">
        <v>133</v>
      </c>
      <c r="H9" s="1">
        <f>INDEX(Data_base_case!$D$8:$FS$118,MATCH(Scenarios_definition!C9,Data_base_case!$D$8:$D$118,0),MATCH(Scenarios_definition!D9&amp;Scenarios_definition!G9,Data_base_case!$D$7:$FS$7,0))</f>
        <v>0</v>
      </c>
    </row>
    <row r="10" spans="1:140" x14ac:dyDescent="0.3">
      <c r="A10" s="13" t="s">
        <v>444</v>
      </c>
      <c r="B10" s="71" t="s">
        <v>453</v>
      </c>
      <c r="C10" s="13" t="s">
        <v>94</v>
      </c>
      <c r="D10" s="1" t="s">
        <v>81</v>
      </c>
      <c r="E10" s="11" t="s">
        <v>133</v>
      </c>
      <c r="F10" s="1">
        <v>0</v>
      </c>
      <c r="G10" s="69" t="s">
        <v>320</v>
      </c>
      <c r="H10" s="1">
        <f>INDEX(Data_base_case!$D$8:$FS$118,MATCH(Scenarios_definition!C10,Data_base_case!$D$8:$D$118,0),MATCH(Scenarios_definition!D10&amp;Scenarios_definition!G10,Data_base_case!$D$7:$FS$7,0))</f>
        <v>0.1</v>
      </c>
    </row>
    <row r="11" spans="1:140" x14ac:dyDescent="0.3">
      <c r="A11" s="13" t="s">
        <v>443</v>
      </c>
      <c r="B11" s="71" t="s">
        <v>452</v>
      </c>
      <c r="C11" s="13" t="s">
        <v>95</v>
      </c>
      <c r="D11" s="1" t="s">
        <v>81</v>
      </c>
      <c r="E11" s="11" t="s">
        <v>133</v>
      </c>
      <c r="F11" s="1">
        <v>0</v>
      </c>
      <c r="G11" s="69" t="s">
        <v>320</v>
      </c>
      <c r="H11" s="1">
        <f>INDEX(Data_base_case!$D$8:$FS$118,MATCH(Scenarios_definition!C11,Data_base_case!$D$8:$D$118,0),MATCH(Scenarios_definition!D11&amp;Scenarios_definition!G11,Data_base_case!$D$7:$FS$7,0))</f>
        <v>0.1</v>
      </c>
    </row>
    <row r="12" spans="1:140" x14ac:dyDescent="0.3">
      <c r="A12" s="13" t="s">
        <v>445</v>
      </c>
      <c r="B12" s="71" t="s">
        <v>454</v>
      </c>
      <c r="C12" s="13" t="s">
        <v>95</v>
      </c>
      <c r="D12" s="1" t="s">
        <v>81</v>
      </c>
      <c r="E12" s="11" t="s">
        <v>133</v>
      </c>
      <c r="F12" s="1">
        <v>0</v>
      </c>
      <c r="G12" s="69" t="s">
        <v>320</v>
      </c>
      <c r="H12" s="1">
        <f>INDEX(Data_base_case!$D$8:$FS$118,MATCH(Scenarios_definition!C12,Data_base_case!$D$8:$D$118,0),MATCH(Scenarios_definition!D12&amp;Scenarios_definition!G12,Data_base_case!$D$7:$FS$7,0))</f>
        <v>0.1</v>
      </c>
    </row>
    <row r="13" spans="1:140" x14ac:dyDescent="0.3">
      <c r="A13" s="13" t="s">
        <v>444</v>
      </c>
      <c r="B13" s="71" t="s">
        <v>459</v>
      </c>
      <c r="C13" s="13" t="s">
        <v>94</v>
      </c>
      <c r="D13" s="1" t="s">
        <v>81</v>
      </c>
      <c r="E13" s="11" t="s">
        <v>133</v>
      </c>
      <c r="F13" s="1">
        <f>H13</f>
        <v>0.4</v>
      </c>
      <c r="G13" s="69" t="s">
        <v>285</v>
      </c>
      <c r="H13" s="1">
        <f>INDEX(Data_base_case!$D$8:$FS$118,MATCH(Scenarios_definition!C13,Data_base_case!$D$8:$D$118,0),MATCH(Scenarios_definition!D13&amp;Scenarios_definition!G13,Data_base_case!$D$7:$FS$7,0))</f>
        <v>0.4</v>
      </c>
    </row>
    <row r="14" spans="1:140" x14ac:dyDescent="0.3">
      <c r="A14" s="13" t="s">
        <v>443</v>
      </c>
      <c r="B14" s="71" t="s">
        <v>458</v>
      </c>
      <c r="C14" s="13" t="s">
        <v>95</v>
      </c>
      <c r="D14" s="1" t="s">
        <v>81</v>
      </c>
      <c r="E14" s="11" t="s">
        <v>133</v>
      </c>
      <c r="F14" s="1">
        <f t="shared" ref="F14:F15" si="0">H14</f>
        <v>0.4</v>
      </c>
      <c r="G14" s="69" t="s">
        <v>285</v>
      </c>
      <c r="H14" s="1">
        <f>INDEX(Data_base_case!$D$8:$FS$118,MATCH(Scenarios_definition!C14,Data_base_case!$D$8:$D$118,0),MATCH(Scenarios_definition!D14&amp;Scenarios_definition!G14,Data_base_case!$D$7:$FS$7,0))</f>
        <v>0.4</v>
      </c>
    </row>
    <row r="15" spans="1:140" x14ac:dyDescent="0.3">
      <c r="A15" s="13" t="s">
        <v>445</v>
      </c>
      <c r="B15" s="71" t="s">
        <v>460</v>
      </c>
      <c r="C15" s="13" t="s">
        <v>95</v>
      </c>
      <c r="D15" s="1" t="s">
        <v>81</v>
      </c>
      <c r="E15" s="11" t="s">
        <v>133</v>
      </c>
      <c r="F15" s="1">
        <f t="shared" si="0"/>
        <v>0.4</v>
      </c>
      <c r="G15" s="69" t="s">
        <v>285</v>
      </c>
      <c r="H15" s="1">
        <f>INDEX(Data_base_case!$D$8:$FS$118,MATCH(Scenarios_definition!C15,Data_base_case!$D$8:$D$118,0),MATCH(Scenarios_definition!D15&amp;Scenarios_definition!G15,Data_base_case!$D$7:$FS$7,0))</f>
        <v>0.4</v>
      </c>
    </row>
    <row r="16" spans="1:140" x14ac:dyDescent="0.3">
      <c r="A16" s="13" t="s">
        <v>444</v>
      </c>
      <c r="B16" s="71" t="s">
        <v>450</v>
      </c>
      <c r="C16" s="13" t="s">
        <v>94</v>
      </c>
      <c r="D16" s="1" t="s">
        <v>81</v>
      </c>
      <c r="E16" s="11" t="s">
        <v>133</v>
      </c>
      <c r="F16" s="1">
        <f>H16</f>
        <v>0.1</v>
      </c>
      <c r="G16" s="69" t="s">
        <v>320</v>
      </c>
      <c r="H16" s="1">
        <f>INDEX(Data_base_case!$D$8:$FS$118,MATCH(Scenarios_definition!C16,Data_base_case!$D$8:$D$118,0),MATCH(Scenarios_definition!D16&amp;Scenarios_definition!G16,Data_base_case!$D$7:$FS$7,0))</f>
        <v>0.1</v>
      </c>
    </row>
    <row r="17" spans="1:8" x14ac:dyDescent="0.3">
      <c r="A17" s="13" t="s">
        <v>443</v>
      </c>
      <c r="B17" s="71" t="s">
        <v>449</v>
      </c>
      <c r="C17" s="13" t="s">
        <v>95</v>
      </c>
      <c r="D17" s="1" t="s">
        <v>81</v>
      </c>
      <c r="E17" s="11" t="s">
        <v>133</v>
      </c>
      <c r="F17" s="1">
        <f t="shared" ref="F17:F21" si="1">H17</f>
        <v>0.1</v>
      </c>
      <c r="G17" s="69" t="s">
        <v>320</v>
      </c>
      <c r="H17" s="1">
        <f>INDEX(Data_base_case!$D$8:$FS$118,MATCH(Scenarios_definition!C17,Data_base_case!$D$8:$D$118,0),MATCH(Scenarios_definition!D17&amp;Scenarios_definition!G17,Data_base_case!$D$7:$FS$7,0))</f>
        <v>0.1</v>
      </c>
    </row>
    <row r="18" spans="1:8" x14ac:dyDescent="0.3">
      <c r="A18" s="13" t="s">
        <v>445</v>
      </c>
      <c r="B18" s="71" t="s">
        <v>451</v>
      </c>
      <c r="C18" s="13" t="s">
        <v>95</v>
      </c>
      <c r="D18" s="1" t="s">
        <v>81</v>
      </c>
      <c r="E18" s="11" t="s">
        <v>133</v>
      </c>
      <c r="F18" s="1">
        <f t="shared" si="1"/>
        <v>0.1</v>
      </c>
      <c r="G18" s="69" t="s">
        <v>320</v>
      </c>
      <c r="H18" s="1">
        <f>INDEX(Data_base_case!$D$8:$FS$118,MATCH(Scenarios_definition!C18,Data_base_case!$D$8:$D$118,0),MATCH(Scenarios_definition!D18&amp;Scenarios_definition!G18,Data_base_case!$D$7:$FS$7,0))</f>
        <v>0.1</v>
      </c>
    </row>
    <row r="19" spans="1:8" x14ac:dyDescent="0.3">
      <c r="A19" s="13" t="s">
        <v>444</v>
      </c>
      <c r="B19" s="71" t="s">
        <v>456</v>
      </c>
      <c r="C19" s="13" t="s">
        <v>94</v>
      </c>
      <c r="D19" s="1" t="s">
        <v>81</v>
      </c>
      <c r="E19" s="11" t="s">
        <v>133</v>
      </c>
      <c r="F19" s="1">
        <f t="shared" si="1"/>
        <v>0.4</v>
      </c>
      <c r="G19" s="69" t="s">
        <v>285</v>
      </c>
      <c r="H19" s="1">
        <f>INDEX(Data_base_case!$D$8:$FS$118,MATCH(Scenarios_definition!C19,Data_base_case!$D$8:$D$118,0),MATCH(Scenarios_definition!D19&amp;Scenarios_definition!G19,Data_base_case!$D$7:$FS$7,0))</f>
        <v>0.4</v>
      </c>
    </row>
    <row r="20" spans="1:8" x14ac:dyDescent="0.3">
      <c r="A20" s="13" t="s">
        <v>443</v>
      </c>
      <c r="B20" s="71" t="s">
        <v>455</v>
      </c>
      <c r="C20" s="13" t="s">
        <v>95</v>
      </c>
      <c r="D20" s="1" t="s">
        <v>81</v>
      </c>
      <c r="E20" s="11" t="s">
        <v>133</v>
      </c>
      <c r="F20" s="1">
        <f t="shared" si="1"/>
        <v>0.4</v>
      </c>
      <c r="G20" s="69" t="s">
        <v>285</v>
      </c>
      <c r="H20" s="1">
        <f>INDEX(Data_base_case!$D$8:$FS$118,MATCH(Scenarios_definition!C20,Data_base_case!$D$8:$D$118,0),MATCH(Scenarios_definition!D20&amp;Scenarios_definition!G20,Data_base_case!$D$7:$FS$7,0))</f>
        <v>0.4</v>
      </c>
    </row>
    <row r="21" spans="1:8" x14ac:dyDescent="0.3">
      <c r="A21" s="13" t="s">
        <v>445</v>
      </c>
      <c r="B21" s="71" t="s">
        <v>457</v>
      </c>
      <c r="C21" s="13" t="s">
        <v>95</v>
      </c>
      <c r="D21" s="1" t="s">
        <v>81</v>
      </c>
      <c r="E21" s="11" t="s">
        <v>133</v>
      </c>
      <c r="F21" s="1">
        <f t="shared" si="1"/>
        <v>0.4</v>
      </c>
      <c r="G21" s="69" t="s">
        <v>285</v>
      </c>
      <c r="H21" s="1">
        <f>INDEX(Data_base_case!$D$8:$FS$118,MATCH(Scenarios_definition!C21,Data_base_case!$D$8:$D$118,0),MATCH(Scenarios_definition!D21&amp;Scenarios_definition!G21,Data_base_case!$D$7:$FS$7,0))</f>
        <v>0.4</v>
      </c>
    </row>
    <row r="22" spans="1:8" x14ac:dyDescent="0.3">
      <c r="A22" s="13" t="s">
        <v>444</v>
      </c>
      <c r="B22" s="71" t="s">
        <v>469</v>
      </c>
      <c r="C22" s="2" t="s">
        <v>94</v>
      </c>
      <c r="D22" s="1" t="s">
        <v>86</v>
      </c>
      <c r="E22" s="11" t="s">
        <v>133</v>
      </c>
      <c r="F22" s="95">
        <v>0.1060792482526339</v>
      </c>
      <c r="G22" s="69" t="s">
        <v>324</v>
      </c>
      <c r="H22" s="1">
        <f>INDEX(Data_base_case!$D$8:$FS$118,MATCH(Scenarios_definition!C22,Data_base_case!$D$8:$D$118,0),MATCH(Scenarios_definition!D22&amp;Scenarios_definition!G22,Data_base_case!$D$7:$FS$7,0))</f>
        <v>8.8495575221238937E-2</v>
      </c>
    </row>
    <row r="23" spans="1:8" x14ac:dyDescent="0.3">
      <c r="A23" s="13"/>
      <c r="B23" s="71" t="s">
        <v>469</v>
      </c>
      <c r="C23" s="2" t="s">
        <v>232</v>
      </c>
      <c r="D23" s="1" t="s">
        <v>86</v>
      </c>
      <c r="E23" s="11" t="s">
        <v>133</v>
      </c>
      <c r="F23" s="95">
        <v>0.1060792482526339</v>
      </c>
      <c r="G23" s="69" t="s">
        <v>324</v>
      </c>
      <c r="H23" s="1">
        <f>INDEX(Data_base_case!$D$8:$FS$118,MATCH(Scenarios_definition!C23,Data_base_case!$D$8:$D$118,0),MATCH(Scenarios_definition!D23&amp;Scenarios_definition!G23,Data_base_case!$D$7:$FS$7,0))</f>
        <v>8.8495575221238937E-2</v>
      </c>
    </row>
    <row r="24" spans="1:8" x14ac:dyDescent="0.3">
      <c r="A24" s="13"/>
      <c r="B24" s="71" t="s">
        <v>469</v>
      </c>
      <c r="C24" s="2" t="s">
        <v>242</v>
      </c>
      <c r="D24" s="1" t="s">
        <v>86</v>
      </c>
      <c r="E24" s="11" t="s">
        <v>133</v>
      </c>
      <c r="F24" s="95">
        <v>0.1060792482526339</v>
      </c>
      <c r="G24" s="69" t="s">
        <v>324</v>
      </c>
      <c r="H24" s="1">
        <f>INDEX(Data_base_case!$D$8:$FS$118,MATCH(Scenarios_definition!C24,Data_base_case!$D$8:$D$118,0),MATCH(Scenarios_definition!D24&amp;Scenarios_definition!G24,Data_base_case!$D$7:$FS$7,0))</f>
        <v>8.8495575221238937E-2</v>
      </c>
    </row>
    <row r="25" spans="1:8" x14ac:dyDescent="0.3">
      <c r="A25" s="13"/>
      <c r="B25" s="71" t="s">
        <v>469</v>
      </c>
      <c r="C25" s="2" t="s">
        <v>241</v>
      </c>
      <c r="D25" s="1" t="s">
        <v>86</v>
      </c>
      <c r="E25" s="11" t="s">
        <v>133</v>
      </c>
      <c r="F25" s="95">
        <v>0.1060792482526339</v>
      </c>
      <c r="G25" s="69" t="s">
        <v>324</v>
      </c>
      <c r="H25" s="1">
        <f>INDEX(Data_base_case!$D$8:$FS$118,MATCH(Scenarios_definition!C25,Data_base_case!$D$8:$D$118,0),MATCH(Scenarios_definition!D25&amp;Scenarios_definition!G25,Data_base_case!$D$7:$FS$7,0))</f>
        <v>8.8495575221238937E-2</v>
      </c>
    </row>
    <row r="26" spans="1:8" x14ac:dyDescent="0.3">
      <c r="A26" s="13"/>
      <c r="B26" s="71" t="s">
        <v>469</v>
      </c>
      <c r="C26" s="2" t="s">
        <v>243</v>
      </c>
      <c r="D26" s="1" t="s">
        <v>86</v>
      </c>
      <c r="E26" s="11" t="s">
        <v>133</v>
      </c>
      <c r="F26" s="95">
        <v>0.1060792482526339</v>
      </c>
      <c r="G26" s="69" t="s">
        <v>324</v>
      </c>
      <c r="H26" s="1">
        <f>INDEX(Data_base_case!$D$8:$FS$118,MATCH(Scenarios_definition!C26,Data_base_case!$D$8:$D$118,0),MATCH(Scenarios_definition!D26&amp;Scenarios_definition!G26,Data_base_case!$D$7:$FS$7,0))</f>
        <v>8.8495575221238937E-2</v>
      </c>
    </row>
    <row r="27" spans="1:8" x14ac:dyDescent="0.3">
      <c r="A27" s="13"/>
      <c r="B27" s="71" t="s">
        <v>469</v>
      </c>
      <c r="C27" s="2" t="s">
        <v>244</v>
      </c>
      <c r="D27" s="1" t="s">
        <v>86</v>
      </c>
      <c r="E27" s="11" t="s">
        <v>133</v>
      </c>
      <c r="F27" s="95">
        <v>0.1060792482526339</v>
      </c>
      <c r="G27" s="69" t="s">
        <v>324</v>
      </c>
      <c r="H27" s="1">
        <f>INDEX(Data_base_case!$D$8:$FS$118,MATCH(Scenarios_definition!C27,Data_base_case!$D$8:$D$118,0),MATCH(Scenarios_definition!D27&amp;Scenarios_definition!G27,Data_base_case!$D$7:$FS$7,0))</f>
        <v>8.8495575221238937E-2</v>
      </c>
    </row>
    <row r="28" spans="1:8" x14ac:dyDescent="0.3">
      <c r="A28" s="13"/>
      <c r="B28" s="71" t="s">
        <v>469</v>
      </c>
      <c r="C28" s="6" t="s">
        <v>47</v>
      </c>
      <c r="D28" s="1" t="s">
        <v>86</v>
      </c>
      <c r="E28" s="11" t="s">
        <v>133</v>
      </c>
      <c r="F28" s="95">
        <v>0.1060792482526339</v>
      </c>
      <c r="G28" s="69" t="s">
        <v>324</v>
      </c>
      <c r="H28" s="1">
        <f>INDEX(Data_base_case!$D$8:$FS$118,MATCH(Scenarios_definition!C28,Data_base_case!$D$8:$D$118,0),MATCH(Scenarios_definition!D28&amp;Scenarios_definition!G28,Data_base_case!$D$7:$FS$7,0))</f>
        <v>8.3860161500585326E-2</v>
      </c>
    </row>
    <row r="29" spans="1:8" x14ac:dyDescent="0.3">
      <c r="A29" s="13"/>
      <c r="B29" s="71" t="s">
        <v>469</v>
      </c>
      <c r="C29" s="6" t="s">
        <v>49</v>
      </c>
      <c r="D29" s="1" t="s">
        <v>86</v>
      </c>
      <c r="E29" s="11" t="s">
        <v>133</v>
      </c>
      <c r="F29" s="95">
        <v>0.1060792482526339</v>
      </c>
      <c r="G29" s="69" t="s">
        <v>324</v>
      </c>
      <c r="H29" s="1">
        <f>INDEX(Data_base_case!$D$8:$FS$118,MATCH(Scenarios_definition!C29,Data_base_case!$D$8:$D$118,0),MATCH(Scenarios_definition!D29&amp;Scenarios_definition!G29,Data_base_case!$D$7:$FS$7,0))</f>
        <v>8.3860161500585326E-2</v>
      </c>
    </row>
    <row r="30" spans="1:8" x14ac:dyDescent="0.3">
      <c r="A30" s="13"/>
      <c r="B30" s="71" t="s">
        <v>469</v>
      </c>
      <c r="C30" s="2" t="s">
        <v>164</v>
      </c>
      <c r="D30" s="1" t="s">
        <v>86</v>
      </c>
      <c r="E30" s="11" t="s">
        <v>133</v>
      </c>
      <c r="F30" s="95">
        <v>0.1060792482526339</v>
      </c>
      <c r="G30" s="69" t="s">
        <v>324</v>
      </c>
      <c r="H30" s="1">
        <f>INDEX(Data_base_case!$D$8:$FS$118,MATCH(Scenarios_definition!C30,Data_base_case!$D$8:$D$118,0),MATCH(Scenarios_definition!D30&amp;Scenarios_definition!G30,Data_base_case!$D$7:$FS$7,0))</f>
        <v>8.8827433387272267E-2</v>
      </c>
    </row>
    <row r="31" spans="1:8" x14ac:dyDescent="0.3">
      <c r="A31" s="13"/>
      <c r="B31" s="71" t="s">
        <v>469</v>
      </c>
      <c r="C31" s="2" t="s">
        <v>54</v>
      </c>
      <c r="D31" s="1" t="s">
        <v>86</v>
      </c>
      <c r="E31" s="11" t="s">
        <v>133</v>
      </c>
      <c r="F31" s="95">
        <v>0.1060792482526339</v>
      </c>
      <c r="G31" s="69" t="s">
        <v>324</v>
      </c>
      <c r="H31" s="1">
        <f>INDEX(Data_base_case!$D$8:$FS$118,MATCH(Scenarios_definition!C31,Data_base_case!$D$8:$D$118,0),MATCH(Scenarios_definition!D31&amp;Scenarios_definition!G31,Data_base_case!$D$7:$FS$7,0))</f>
        <v>8.8827433387272267E-2</v>
      </c>
    </row>
    <row r="32" spans="1:8" x14ac:dyDescent="0.3">
      <c r="A32" s="13"/>
      <c r="B32" s="71" t="s">
        <v>469</v>
      </c>
      <c r="C32" s="2" t="s">
        <v>56</v>
      </c>
      <c r="D32" s="1" t="s">
        <v>86</v>
      </c>
      <c r="E32" s="11" t="s">
        <v>133</v>
      </c>
      <c r="F32" s="95">
        <v>0.1060792482526339</v>
      </c>
      <c r="G32" s="69" t="s">
        <v>324</v>
      </c>
      <c r="H32" s="1">
        <f>INDEX(Data_base_case!$D$8:$FS$118,MATCH(Scenarios_definition!C32,Data_base_case!$D$8:$D$118,0),MATCH(Scenarios_definition!D32&amp;Scenarios_definition!G32,Data_base_case!$D$7:$FS$7,0))</f>
        <v>8.8827433387272267E-2</v>
      </c>
    </row>
    <row r="33" spans="1:8" x14ac:dyDescent="0.3">
      <c r="A33" s="13"/>
      <c r="B33" s="71" t="s">
        <v>469</v>
      </c>
      <c r="C33" s="2" t="s">
        <v>58</v>
      </c>
      <c r="D33" s="1" t="s">
        <v>86</v>
      </c>
      <c r="E33" s="11" t="s">
        <v>133</v>
      </c>
      <c r="F33" s="95">
        <v>0.1060792482526339</v>
      </c>
      <c r="G33" s="69" t="s">
        <v>324</v>
      </c>
      <c r="H33" s="1">
        <f>INDEX(Data_base_case!$D$8:$FS$118,MATCH(Scenarios_definition!C33,Data_base_case!$D$8:$D$118,0),MATCH(Scenarios_definition!D33&amp;Scenarios_definition!G33,Data_base_case!$D$7:$FS$7,0))</f>
        <v>8.8827433387272267E-2</v>
      </c>
    </row>
    <row r="34" spans="1:8" x14ac:dyDescent="0.3">
      <c r="A34" s="13"/>
      <c r="B34" s="71" t="s">
        <v>469</v>
      </c>
      <c r="C34" s="2" t="s">
        <v>60</v>
      </c>
      <c r="D34" s="1" t="s">
        <v>86</v>
      </c>
      <c r="E34" s="11" t="s">
        <v>133</v>
      </c>
      <c r="F34" s="95">
        <v>0.1060792482526339</v>
      </c>
      <c r="G34" s="69" t="s">
        <v>324</v>
      </c>
      <c r="H34" s="1">
        <f>INDEX(Data_base_case!$D$8:$FS$118,MATCH(Scenarios_definition!C34,Data_base_case!$D$8:$D$118,0),MATCH(Scenarios_definition!D34&amp;Scenarios_definition!G34,Data_base_case!$D$7:$FS$7,0))</f>
        <v>8.8827433387272267E-2</v>
      </c>
    </row>
    <row r="35" spans="1:8" x14ac:dyDescent="0.3">
      <c r="A35" s="13"/>
      <c r="B35" s="71" t="s">
        <v>469</v>
      </c>
      <c r="C35" s="2" t="s">
        <v>62</v>
      </c>
      <c r="D35" s="1" t="s">
        <v>86</v>
      </c>
      <c r="E35" s="11" t="s">
        <v>133</v>
      </c>
      <c r="F35" s="95">
        <v>0.1060792482526339</v>
      </c>
      <c r="G35" s="69" t="s">
        <v>324</v>
      </c>
      <c r="H35" s="1">
        <f>INDEX(Data_base_case!$D$8:$FS$118,MATCH(Scenarios_definition!C35,Data_base_case!$D$8:$D$118,0),MATCH(Scenarios_definition!D35&amp;Scenarios_definition!G35,Data_base_case!$D$7:$FS$7,0))</f>
        <v>8.8827433387272267E-2</v>
      </c>
    </row>
    <row r="36" spans="1:8" x14ac:dyDescent="0.3">
      <c r="A36" s="13"/>
      <c r="B36" s="71" t="s">
        <v>469</v>
      </c>
      <c r="C36" s="2" t="s">
        <v>64</v>
      </c>
      <c r="D36" s="1" t="s">
        <v>86</v>
      </c>
      <c r="E36" s="11" t="s">
        <v>133</v>
      </c>
      <c r="F36" s="95">
        <v>0.1060792482526339</v>
      </c>
      <c r="G36" s="69" t="s">
        <v>324</v>
      </c>
      <c r="H36" s="1">
        <f>INDEX(Data_base_case!$D$8:$FS$118,MATCH(Scenarios_definition!C36,Data_base_case!$D$8:$D$118,0),MATCH(Scenarios_definition!D36&amp;Scenarios_definition!G36,Data_base_case!$D$7:$FS$7,0))</f>
        <v>8.8827433387272267E-2</v>
      </c>
    </row>
    <row r="37" spans="1:8" x14ac:dyDescent="0.3">
      <c r="A37" s="13"/>
      <c r="B37" s="71" t="s">
        <v>469</v>
      </c>
      <c r="C37" s="2" t="s">
        <v>66</v>
      </c>
      <c r="D37" s="1" t="s">
        <v>86</v>
      </c>
      <c r="E37" s="11" t="s">
        <v>133</v>
      </c>
      <c r="F37" s="95">
        <v>0.1060792482526339</v>
      </c>
      <c r="G37" s="69" t="s">
        <v>324</v>
      </c>
      <c r="H37" s="1">
        <f>INDEX(Data_base_case!$D$8:$FS$118,MATCH(Scenarios_definition!C37,Data_base_case!$D$8:$D$118,0),MATCH(Scenarios_definition!D37&amp;Scenarios_definition!G37,Data_base_case!$D$7:$FS$7,0))</f>
        <v>8.8827433387272267E-2</v>
      </c>
    </row>
    <row r="38" spans="1:8" x14ac:dyDescent="0.3">
      <c r="A38" s="13"/>
      <c r="B38" s="71" t="s">
        <v>469</v>
      </c>
      <c r="C38" s="2" t="s">
        <v>68</v>
      </c>
      <c r="D38" s="1" t="s">
        <v>86</v>
      </c>
      <c r="E38" s="11" t="s">
        <v>133</v>
      </c>
      <c r="F38" s="95">
        <v>0.1060792482526339</v>
      </c>
      <c r="G38" s="69" t="s">
        <v>324</v>
      </c>
      <c r="H38" s="1">
        <f>INDEX(Data_base_case!$D$8:$FS$118,MATCH(Scenarios_definition!C38,Data_base_case!$D$8:$D$118,0),MATCH(Scenarios_definition!D38&amp;Scenarios_definition!G38,Data_base_case!$D$7:$FS$7,0))</f>
        <v>8.8827433387272267E-2</v>
      </c>
    </row>
    <row r="39" spans="1:8" x14ac:dyDescent="0.3">
      <c r="A39" s="13"/>
      <c r="B39" s="71" t="s">
        <v>469</v>
      </c>
      <c r="C39" s="2" t="s">
        <v>70</v>
      </c>
      <c r="D39" s="1" t="s">
        <v>86</v>
      </c>
      <c r="E39" s="11" t="s">
        <v>133</v>
      </c>
      <c r="F39" s="95">
        <v>0.1060792482526339</v>
      </c>
      <c r="G39" s="69" t="s">
        <v>324</v>
      </c>
      <c r="H39" s="1">
        <f>INDEX(Data_base_case!$D$8:$FS$118,MATCH(Scenarios_definition!C39,Data_base_case!$D$8:$D$118,0),MATCH(Scenarios_definition!D39&amp;Scenarios_definition!G39,Data_base_case!$D$7:$FS$7,0))</f>
        <v>8.8827433387272267E-2</v>
      </c>
    </row>
    <row r="40" spans="1:8" x14ac:dyDescent="0.3">
      <c r="A40" s="13"/>
      <c r="B40" s="71" t="s">
        <v>469</v>
      </c>
      <c r="C40" s="2" t="s">
        <v>72</v>
      </c>
      <c r="D40" s="1" t="s">
        <v>86</v>
      </c>
      <c r="E40" s="11" t="s">
        <v>133</v>
      </c>
      <c r="F40" s="95">
        <v>0.1060792482526339</v>
      </c>
      <c r="G40" s="69" t="s">
        <v>324</v>
      </c>
      <c r="H40" s="1">
        <f>INDEX(Data_base_case!$D$8:$FS$118,MATCH(Scenarios_definition!C40,Data_base_case!$D$8:$D$118,0),MATCH(Scenarios_definition!D40&amp;Scenarios_definition!G40,Data_base_case!$D$7:$FS$7,0))</f>
        <v>8.8827433387272267E-2</v>
      </c>
    </row>
    <row r="41" spans="1:8" x14ac:dyDescent="0.3">
      <c r="A41" s="13"/>
      <c r="B41" s="71" t="s">
        <v>469</v>
      </c>
      <c r="C41" s="2" t="s">
        <v>165</v>
      </c>
      <c r="D41" s="1" t="s">
        <v>86</v>
      </c>
      <c r="E41" s="11" t="s">
        <v>133</v>
      </c>
      <c r="F41" s="95">
        <v>0.1060792482526339</v>
      </c>
      <c r="G41" s="69" t="s">
        <v>324</v>
      </c>
      <c r="H41" s="1">
        <f>INDEX(Data_base_case!$D$8:$FS$118,MATCH(Scenarios_definition!C41,Data_base_case!$D$8:$D$118,0),MATCH(Scenarios_definition!D41&amp;Scenarios_definition!G41,Data_base_case!$D$7:$FS$7,0))</f>
        <v>8.8827433387272267E-2</v>
      </c>
    </row>
    <row r="42" spans="1:8" x14ac:dyDescent="0.3">
      <c r="A42" s="13" t="s">
        <v>443</v>
      </c>
      <c r="B42" s="71" t="s">
        <v>470</v>
      </c>
      <c r="C42" s="2" t="s">
        <v>95</v>
      </c>
      <c r="D42" s="1" t="s">
        <v>86</v>
      </c>
      <c r="E42" s="11" t="s">
        <v>133</v>
      </c>
      <c r="F42" s="95">
        <v>0.1060792482526339</v>
      </c>
      <c r="G42" s="69" t="s">
        <v>324</v>
      </c>
      <c r="H42" s="1">
        <f>INDEX(Data_base_case!$D$8:$FS$118,MATCH(Scenarios_definition!C42,Data_base_case!$D$8:$D$118,0),MATCH(Scenarios_definition!D42&amp;Scenarios_definition!G42,Data_base_case!$D$7:$FS$7,0))</f>
        <v>8.8495575221238937E-2</v>
      </c>
    </row>
    <row r="43" spans="1:8" x14ac:dyDescent="0.3">
      <c r="A43" s="13"/>
      <c r="B43" s="71" t="s">
        <v>470</v>
      </c>
      <c r="C43" s="2" t="s">
        <v>232</v>
      </c>
      <c r="D43" s="1" t="s">
        <v>86</v>
      </c>
      <c r="E43" s="11" t="s">
        <v>133</v>
      </c>
      <c r="F43" s="95">
        <v>0.1060792482526339</v>
      </c>
      <c r="G43" s="69" t="s">
        <v>324</v>
      </c>
      <c r="H43" s="1">
        <f>INDEX(Data_base_case!$D$8:$FS$118,MATCH(Scenarios_definition!C43,Data_base_case!$D$8:$D$118,0),MATCH(Scenarios_definition!D43&amp;Scenarios_definition!G43,Data_base_case!$D$7:$FS$7,0))</f>
        <v>8.8495575221238937E-2</v>
      </c>
    </row>
    <row r="44" spans="1:8" x14ac:dyDescent="0.3">
      <c r="A44" s="13"/>
      <c r="B44" s="71" t="s">
        <v>470</v>
      </c>
      <c r="C44" s="2" t="s">
        <v>242</v>
      </c>
      <c r="D44" s="1" t="s">
        <v>86</v>
      </c>
      <c r="E44" s="11" t="s">
        <v>133</v>
      </c>
      <c r="F44" s="95">
        <v>0.1060792482526339</v>
      </c>
      <c r="G44" s="69" t="s">
        <v>324</v>
      </c>
      <c r="H44" s="1">
        <f>INDEX(Data_base_case!$D$8:$FS$118,MATCH(Scenarios_definition!C44,Data_base_case!$D$8:$D$118,0),MATCH(Scenarios_definition!D44&amp;Scenarios_definition!G44,Data_base_case!$D$7:$FS$7,0))</f>
        <v>8.8495575221238937E-2</v>
      </c>
    </row>
    <row r="45" spans="1:8" x14ac:dyDescent="0.3">
      <c r="A45" s="13"/>
      <c r="B45" s="71" t="s">
        <v>470</v>
      </c>
      <c r="C45" s="2" t="s">
        <v>241</v>
      </c>
      <c r="D45" s="1" t="s">
        <v>86</v>
      </c>
      <c r="E45" s="11" t="s">
        <v>133</v>
      </c>
      <c r="F45" s="95">
        <v>0.1060792482526339</v>
      </c>
      <c r="G45" s="69" t="s">
        <v>324</v>
      </c>
      <c r="H45" s="1">
        <f>INDEX(Data_base_case!$D$8:$FS$118,MATCH(Scenarios_definition!C45,Data_base_case!$D$8:$D$118,0),MATCH(Scenarios_definition!D45&amp;Scenarios_definition!G45,Data_base_case!$D$7:$FS$7,0))</f>
        <v>8.8495575221238937E-2</v>
      </c>
    </row>
    <row r="46" spans="1:8" x14ac:dyDescent="0.3">
      <c r="A46" s="13"/>
      <c r="B46" s="71" t="s">
        <v>470</v>
      </c>
      <c r="C46" s="2" t="s">
        <v>243</v>
      </c>
      <c r="D46" s="1" t="s">
        <v>86</v>
      </c>
      <c r="E46" s="11" t="s">
        <v>133</v>
      </c>
      <c r="F46" s="95">
        <v>0.1060792482526339</v>
      </c>
      <c r="G46" s="69" t="s">
        <v>324</v>
      </c>
      <c r="H46" s="1">
        <f>INDEX(Data_base_case!$D$8:$FS$118,MATCH(Scenarios_definition!C46,Data_base_case!$D$8:$D$118,0),MATCH(Scenarios_definition!D46&amp;Scenarios_definition!G46,Data_base_case!$D$7:$FS$7,0))</f>
        <v>8.8495575221238937E-2</v>
      </c>
    </row>
    <row r="47" spans="1:8" x14ac:dyDescent="0.3">
      <c r="A47" s="13"/>
      <c r="B47" s="71" t="s">
        <v>470</v>
      </c>
      <c r="C47" s="2" t="s">
        <v>244</v>
      </c>
      <c r="D47" s="1" t="s">
        <v>86</v>
      </c>
      <c r="E47" s="11" t="s">
        <v>133</v>
      </c>
      <c r="F47" s="95">
        <v>0.1060792482526339</v>
      </c>
      <c r="G47" s="69" t="s">
        <v>324</v>
      </c>
      <c r="H47" s="1">
        <f>INDEX(Data_base_case!$D$8:$FS$118,MATCH(Scenarios_definition!C47,Data_base_case!$D$8:$D$118,0),MATCH(Scenarios_definition!D47&amp;Scenarios_definition!G47,Data_base_case!$D$7:$FS$7,0))</f>
        <v>8.8495575221238937E-2</v>
      </c>
    </row>
    <row r="48" spans="1:8" x14ac:dyDescent="0.3">
      <c r="A48" s="13"/>
      <c r="B48" s="71" t="s">
        <v>470</v>
      </c>
      <c r="C48" s="6" t="s">
        <v>47</v>
      </c>
      <c r="D48" s="1" t="s">
        <v>86</v>
      </c>
      <c r="E48" s="11" t="s">
        <v>133</v>
      </c>
      <c r="F48" s="95">
        <v>0.1060792482526339</v>
      </c>
      <c r="G48" s="69" t="s">
        <v>324</v>
      </c>
      <c r="H48" s="1">
        <f>INDEX(Data_base_case!$D$8:$FS$118,MATCH(Scenarios_definition!C48,Data_base_case!$D$8:$D$118,0),MATCH(Scenarios_definition!D48&amp;Scenarios_definition!G48,Data_base_case!$D$7:$FS$7,0))</f>
        <v>8.3860161500585326E-2</v>
      </c>
    </row>
    <row r="49" spans="1:8" x14ac:dyDescent="0.3">
      <c r="A49" s="13"/>
      <c r="B49" s="71" t="s">
        <v>470</v>
      </c>
      <c r="C49" s="6" t="s">
        <v>49</v>
      </c>
      <c r="D49" s="1" t="s">
        <v>86</v>
      </c>
      <c r="E49" s="11" t="s">
        <v>133</v>
      </c>
      <c r="F49" s="95">
        <v>0.1060792482526339</v>
      </c>
      <c r="G49" s="69" t="s">
        <v>324</v>
      </c>
      <c r="H49" s="1">
        <f>INDEX(Data_base_case!$D$8:$FS$118,MATCH(Scenarios_definition!C49,Data_base_case!$D$8:$D$118,0),MATCH(Scenarios_definition!D49&amp;Scenarios_definition!G49,Data_base_case!$D$7:$FS$7,0))</f>
        <v>8.3860161500585326E-2</v>
      </c>
    </row>
    <row r="50" spans="1:8" x14ac:dyDescent="0.3">
      <c r="A50" s="13"/>
      <c r="B50" s="71" t="s">
        <v>470</v>
      </c>
      <c r="C50" s="2" t="s">
        <v>164</v>
      </c>
      <c r="D50" s="1" t="s">
        <v>86</v>
      </c>
      <c r="E50" s="11" t="s">
        <v>133</v>
      </c>
      <c r="F50" s="95">
        <v>0.1060792482526339</v>
      </c>
      <c r="G50" s="69" t="s">
        <v>324</v>
      </c>
      <c r="H50" s="1">
        <f>INDEX(Data_base_case!$D$8:$FS$118,MATCH(Scenarios_definition!C50,Data_base_case!$D$8:$D$118,0),MATCH(Scenarios_definition!D50&amp;Scenarios_definition!G50,Data_base_case!$D$7:$FS$7,0))</f>
        <v>8.8827433387272267E-2</v>
      </c>
    </row>
    <row r="51" spans="1:8" x14ac:dyDescent="0.3">
      <c r="A51" s="13"/>
      <c r="B51" s="71" t="s">
        <v>470</v>
      </c>
      <c r="C51" s="2" t="s">
        <v>54</v>
      </c>
      <c r="D51" s="1" t="s">
        <v>86</v>
      </c>
      <c r="E51" s="11" t="s">
        <v>133</v>
      </c>
      <c r="F51" s="95">
        <v>0.1060792482526339</v>
      </c>
      <c r="G51" s="69" t="s">
        <v>324</v>
      </c>
      <c r="H51" s="1">
        <f>INDEX(Data_base_case!$D$8:$FS$118,MATCH(Scenarios_definition!C51,Data_base_case!$D$8:$D$118,0),MATCH(Scenarios_definition!D51&amp;Scenarios_definition!G51,Data_base_case!$D$7:$FS$7,0))</f>
        <v>8.8827433387272267E-2</v>
      </c>
    </row>
    <row r="52" spans="1:8" x14ac:dyDescent="0.3">
      <c r="A52" s="13"/>
      <c r="B52" s="71" t="s">
        <v>470</v>
      </c>
      <c r="C52" s="2" t="s">
        <v>56</v>
      </c>
      <c r="D52" s="1" t="s">
        <v>86</v>
      </c>
      <c r="E52" s="11" t="s">
        <v>133</v>
      </c>
      <c r="F52" s="95">
        <v>0.1060792482526339</v>
      </c>
      <c r="G52" s="69" t="s">
        <v>324</v>
      </c>
      <c r="H52" s="1">
        <f>INDEX(Data_base_case!$D$8:$FS$118,MATCH(Scenarios_definition!C52,Data_base_case!$D$8:$D$118,0),MATCH(Scenarios_definition!D52&amp;Scenarios_definition!G52,Data_base_case!$D$7:$FS$7,0))</f>
        <v>8.8827433387272267E-2</v>
      </c>
    </row>
    <row r="53" spans="1:8" x14ac:dyDescent="0.3">
      <c r="A53" s="13"/>
      <c r="B53" s="71" t="s">
        <v>470</v>
      </c>
      <c r="C53" s="2" t="s">
        <v>58</v>
      </c>
      <c r="D53" s="1" t="s">
        <v>86</v>
      </c>
      <c r="E53" s="11" t="s">
        <v>133</v>
      </c>
      <c r="F53" s="95">
        <v>0.1060792482526339</v>
      </c>
      <c r="G53" s="69" t="s">
        <v>324</v>
      </c>
      <c r="H53" s="1">
        <f>INDEX(Data_base_case!$D$8:$FS$118,MATCH(Scenarios_definition!C53,Data_base_case!$D$8:$D$118,0),MATCH(Scenarios_definition!D53&amp;Scenarios_definition!G53,Data_base_case!$D$7:$FS$7,0))</f>
        <v>8.8827433387272267E-2</v>
      </c>
    </row>
    <row r="54" spans="1:8" x14ac:dyDescent="0.3">
      <c r="A54" s="13"/>
      <c r="B54" s="71" t="s">
        <v>470</v>
      </c>
      <c r="C54" s="2" t="s">
        <v>60</v>
      </c>
      <c r="D54" s="1" t="s">
        <v>86</v>
      </c>
      <c r="E54" s="11" t="s">
        <v>133</v>
      </c>
      <c r="F54" s="95">
        <v>0.1060792482526339</v>
      </c>
      <c r="G54" s="69" t="s">
        <v>324</v>
      </c>
      <c r="H54" s="1">
        <f>INDEX(Data_base_case!$D$8:$FS$118,MATCH(Scenarios_definition!C54,Data_base_case!$D$8:$D$118,0),MATCH(Scenarios_definition!D54&amp;Scenarios_definition!G54,Data_base_case!$D$7:$FS$7,0))</f>
        <v>8.8827433387272267E-2</v>
      </c>
    </row>
    <row r="55" spans="1:8" x14ac:dyDescent="0.3">
      <c r="A55" s="13"/>
      <c r="B55" s="71" t="s">
        <v>470</v>
      </c>
      <c r="C55" s="2" t="s">
        <v>62</v>
      </c>
      <c r="D55" s="1" t="s">
        <v>86</v>
      </c>
      <c r="E55" s="11" t="s">
        <v>133</v>
      </c>
      <c r="F55" s="95">
        <v>0.1060792482526339</v>
      </c>
      <c r="G55" s="69" t="s">
        <v>324</v>
      </c>
      <c r="H55" s="1">
        <f>INDEX(Data_base_case!$D$8:$FS$118,MATCH(Scenarios_definition!C55,Data_base_case!$D$8:$D$118,0),MATCH(Scenarios_definition!D55&amp;Scenarios_definition!G55,Data_base_case!$D$7:$FS$7,0))</f>
        <v>8.8827433387272267E-2</v>
      </c>
    </row>
    <row r="56" spans="1:8" x14ac:dyDescent="0.3">
      <c r="A56" s="13"/>
      <c r="B56" s="71" t="s">
        <v>470</v>
      </c>
      <c r="C56" s="2" t="s">
        <v>64</v>
      </c>
      <c r="D56" s="1" t="s">
        <v>86</v>
      </c>
      <c r="E56" s="11" t="s">
        <v>133</v>
      </c>
      <c r="F56" s="95">
        <v>0.1060792482526339</v>
      </c>
      <c r="G56" s="69" t="s">
        <v>324</v>
      </c>
      <c r="H56" s="1">
        <f>INDEX(Data_base_case!$D$8:$FS$118,MATCH(Scenarios_definition!C56,Data_base_case!$D$8:$D$118,0),MATCH(Scenarios_definition!D56&amp;Scenarios_definition!G56,Data_base_case!$D$7:$FS$7,0))</f>
        <v>8.8827433387272267E-2</v>
      </c>
    </row>
    <row r="57" spans="1:8" x14ac:dyDescent="0.3">
      <c r="A57" s="13"/>
      <c r="B57" s="71" t="s">
        <v>470</v>
      </c>
      <c r="C57" s="2" t="s">
        <v>66</v>
      </c>
      <c r="D57" s="1" t="s">
        <v>86</v>
      </c>
      <c r="E57" s="11" t="s">
        <v>133</v>
      </c>
      <c r="F57" s="95">
        <v>0.1060792482526339</v>
      </c>
      <c r="G57" s="69" t="s">
        <v>324</v>
      </c>
      <c r="H57" s="1">
        <f>INDEX(Data_base_case!$D$8:$FS$118,MATCH(Scenarios_definition!C57,Data_base_case!$D$8:$D$118,0),MATCH(Scenarios_definition!D57&amp;Scenarios_definition!G57,Data_base_case!$D$7:$FS$7,0))</f>
        <v>8.8827433387272267E-2</v>
      </c>
    </row>
    <row r="58" spans="1:8" x14ac:dyDescent="0.3">
      <c r="A58" s="13"/>
      <c r="B58" s="71" t="s">
        <v>470</v>
      </c>
      <c r="C58" s="2" t="s">
        <v>68</v>
      </c>
      <c r="D58" s="1" t="s">
        <v>86</v>
      </c>
      <c r="E58" s="11" t="s">
        <v>133</v>
      </c>
      <c r="F58" s="95">
        <v>0.1060792482526339</v>
      </c>
      <c r="G58" s="69" t="s">
        <v>324</v>
      </c>
      <c r="H58" s="1">
        <f>INDEX(Data_base_case!$D$8:$FS$118,MATCH(Scenarios_definition!C58,Data_base_case!$D$8:$D$118,0),MATCH(Scenarios_definition!D58&amp;Scenarios_definition!G58,Data_base_case!$D$7:$FS$7,0))</f>
        <v>8.8827433387272267E-2</v>
      </c>
    </row>
    <row r="59" spans="1:8" x14ac:dyDescent="0.3">
      <c r="A59" s="13"/>
      <c r="B59" s="71" t="s">
        <v>470</v>
      </c>
      <c r="C59" s="2" t="s">
        <v>70</v>
      </c>
      <c r="D59" s="1" t="s">
        <v>86</v>
      </c>
      <c r="E59" s="11" t="s">
        <v>133</v>
      </c>
      <c r="F59" s="95">
        <v>0.1060792482526339</v>
      </c>
      <c r="G59" s="69" t="s">
        <v>324</v>
      </c>
      <c r="H59" s="1">
        <f>INDEX(Data_base_case!$D$8:$FS$118,MATCH(Scenarios_definition!C59,Data_base_case!$D$8:$D$118,0),MATCH(Scenarios_definition!D59&amp;Scenarios_definition!G59,Data_base_case!$D$7:$FS$7,0))</f>
        <v>8.8827433387272267E-2</v>
      </c>
    </row>
    <row r="60" spans="1:8" x14ac:dyDescent="0.3">
      <c r="A60" s="13"/>
      <c r="B60" s="71" t="s">
        <v>470</v>
      </c>
      <c r="C60" s="2" t="s">
        <v>72</v>
      </c>
      <c r="D60" s="1" t="s">
        <v>86</v>
      </c>
      <c r="E60" s="11" t="s">
        <v>133</v>
      </c>
      <c r="F60" s="95">
        <v>0.1060792482526339</v>
      </c>
      <c r="G60" s="69" t="s">
        <v>324</v>
      </c>
      <c r="H60" s="1">
        <f>INDEX(Data_base_case!$D$8:$FS$118,MATCH(Scenarios_definition!C60,Data_base_case!$D$8:$D$118,0),MATCH(Scenarios_definition!D60&amp;Scenarios_definition!G60,Data_base_case!$D$7:$FS$7,0))</f>
        <v>8.8827433387272267E-2</v>
      </c>
    </row>
    <row r="61" spans="1:8" x14ac:dyDescent="0.3">
      <c r="A61" s="13"/>
      <c r="B61" s="71" t="s">
        <v>470</v>
      </c>
      <c r="C61" s="2" t="s">
        <v>165</v>
      </c>
      <c r="D61" s="1" t="s">
        <v>86</v>
      </c>
      <c r="E61" s="11" t="s">
        <v>133</v>
      </c>
      <c r="F61" s="95">
        <v>0.1060792482526339</v>
      </c>
      <c r="G61" s="69" t="s">
        <v>324</v>
      </c>
      <c r="H61" s="1">
        <f>INDEX(Data_base_case!$D$8:$FS$118,MATCH(Scenarios_definition!C61,Data_base_case!$D$8:$D$118,0),MATCH(Scenarios_definition!D61&amp;Scenarios_definition!G61,Data_base_case!$D$7:$FS$7,0))</f>
        <v>8.8827433387272267E-2</v>
      </c>
    </row>
    <row r="62" spans="1:8" x14ac:dyDescent="0.3">
      <c r="A62" s="13" t="s">
        <v>445</v>
      </c>
      <c r="B62" s="71" t="s">
        <v>471</v>
      </c>
      <c r="C62" s="2" t="s">
        <v>95</v>
      </c>
      <c r="D62" s="1" t="s">
        <v>86</v>
      </c>
      <c r="E62" s="11" t="s">
        <v>133</v>
      </c>
      <c r="F62" s="95">
        <v>0.1060792482526339</v>
      </c>
      <c r="G62" s="69" t="s">
        <v>324</v>
      </c>
      <c r="H62" s="1">
        <f>INDEX(Data_base_case!$D$8:$FS$118,MATCH(Scenarios_definition!C62,Data_base_case!$D$8:$D$118,0),MATCH(Scenarios_definition!D62&amp;Scenarios_definition!G62,Data_base_case!$D$7:$FS$7,0))</f>
        <v>8.8495575221238937E-2</v>
      </c>
    </row>
    <row r="63" spans="1:8" x14ac:dyDescent="0.3">
      <c r="A63" s="13"/>
      <c r="B63" s="71" t="s">
        <v>471</v>
      </c>
      <c r="C63" s="2" t="s">
        <v>232</v>
      </c>
      <c r="D63" s="1" t="s">
        <v>86</v>
      </c>
      <c r="E63" s="11" t="s">
        <v>133</v>
      </c>
      <c r="F63" s="95">
        <v>0.1060792482526339</v>
      </c>
      <c r="G63" s="69" t="s">
        <v>324</v>
      </c>
      <c r="H63" s="1">
        <f>INDEX(Data_base_case!$D$8:$FS$118,MATCH(Scenarios_definition!C63,Data_base_case!$D$8:$D$118,0),MATCH(Scenarios_definition!D63&amp;Scenarios_definition!G63,Data_base_case!$D$7:$FS$7,0))</f>
        <v>8.8495575221238937E-2</v>
      </c>
    </row>
    <row r="64" spans="1:8" x14ac:dyDescent="0.3">
      <c r="A64" s="13"/>
      <c r="B64" s="71" t="s">
        <v>471</v>
      </c>
      <c r="C64" s="2" t="s">
        <v>242</v>
      </c>
      <c r="D64" s="1" t="s">
        <v>86</v>
      </c>
      <c r="E64" s="11" t="s">
        <v>133</v>
      </c>
      <c r="F64" s="95">
        <v>0.1060792482526339</v>
      </c>
      <c r="G64" s="69" t="s">
        <v>324</v>
      </c>
      <c r="H64" s="1">
        <f>INDEX(Data_base_case!$D$8:$FS$118,MATCH(Scenarios_definition!C64,Data_base_case!$D$8:$D$118,0),MATCH(Scenarios_definition!D64&amp;Scenarios_definition!G64,Data_base_case!$D$7:$FS$7,0))</f>
        <v>8.8495575221238937E-2</v>
      </c>
    </row>
    <row r="65" spans="1:8" x14ac:dyDescent="0.3">
      <c r="A65" s="13"/>
      <c r="B65" s="71" t="s">
        <v>471</v>
      </c>
      <c r="C65" s="2" t="s">
        <v>241</v>
      </c>
      <c r="D65" s="1" t="s">
        <v>86</v>
      </c>
      <c r="E65" s="11" t="s">
        <v>133</v>
      </c>
      <c r="F65" s="95">
        <v>0.1060792482526339</v>
      </c>
      <c r="G65" s="69" t="s">
        <v>324</v>
      </c>
      <c r="H65" s="1">
        <f>INDEX(Data_base_case!$D$8:$FS$118,MATCH(Scenarios_definition!C65,Data_base_case!$D$8:$D$118,0),MATCH(Scenarios_definition!D65&amp;Scenarios_definition!G65,Data_base_case!$D$7:$FS$7,0))</f>
        <v>8.8495575221238937E-2</v>
      </c>
    </row>
    <row r="66" spans="1:8" x14ac:dyDescent="0.3">
      <c r="A66" s="13"/>
      <c r="B66" s="71" t="s">
        <v>471</v>
      </c>
      <c r="C66" s="2" t="s">
        <v>243</v>
      </c>
      <c r="D66" s="1" t="s">
        <v>86</v>
      </c>
      <c r="E66" s="11" t="s">
        <v>133</v>
      </c>
      <c r="F66" s="95">
        <v>0.1060792482526339</v>
      </c>
      <c r="G66" s="69" t="s">
        <v>324</v>
      </c>
      <c r="H66" s="1">
        <f>INDEX(Data_base_case!$D$8:$FS$118,MATCH(Scenarios_definition!C66,Data_base_case!$D$8:$D$118,0),MATCH(Scenarios_definition!D66&amp;Scenarios_definition!G66,Data_base_case!$D$7:$FS$7,0))</f>
        <v>8.8495575221238937E-2</v>
      </c>
    </row>
    <row r="67" spans="1:8" x14ac:dyDescent="0.3">
      <c r="A67" s="13"/>
      <c r="B67" s="71" t="s">
        <v>471</v>
      </c>
      <c r="C67" s="2" t="s">
        <v>244</v>
      </c>
      <c r="D67" s="1" t="s">
        <v>86</v>
      </c>
      <c r="E67" s="11" t="s">
        <v>133</v>
      </c>
      <c r="F67" s="95">
        <v>0.1060792482526339</v>
      </c>
      <c r="G67" s="69" t="s">
        <v>324</v>
      </c>
      <c r="H67" s="1">
        <f>INDEX(Data_base_case!$D$8:$FS$118,MATCH(Scenarios_definition!C67,Data_base_case!$D$8:$D$118,0),MATCH(Scenarios_definition!D67&amp;Scenarios_definition!G67,Data_base_case!$D$7:$FS$7,0))</f>
        <v>8.8495575221238937E-2</v>
      </c>
    </row>
    <row r="68" spans="1:8" x14ac:dyDescent="0.3">
      <c r="A68" s="13"/>
      <c r="B68" s="71" t="s">
        <v>471</v>
      </c>
      <c r="C68" s="6" t="s">
        <v>47</v>
      </c>
      <c r="D68" s="1" t="s">
        <v>86</v>
      </c>
      <c r="E68" s="11" t="s">
        <v>133</v>
      </c>
      <c r="F68" s="95">
        <v>0.1060792482526339</v>
      </c>
      <c r="G68" s="69" t="s">
        <v>324</v>
      </c>
      <c r="H68" s="1">
        <f>INDEX(Data_base_case!$D$8:$FS$118,MATCH(Scenarios_definition!C68,Data_base_case!$D$8:$D$118,0),MATCH(Scenarios_definition!D68&amp;Scenarios_definition!G68,Data_base_case!$D$7:$FS$7,0))</f>
        <v>8.3860161500585326E-2</v>
      </c>
    </row>
    <row r="69" spans="1:8" x14ac:dyDescent="0.3">
      <c r="A69" s="13"/>
      <c r="B69" s="71" t="s">
        <v>471</v>
      </c>
      <c r="C69" s="6" t="s">
        <v>49</v>
      </c>
      <c r="D69" s="1" t="s">
        <v>86</v>
      </c>
      <c r="E69" s="11" t="s">
        <v>133</v>
      </c>
      <c r="F69" s="95">
        <v>0.1060792482526339</v>
      </c>
      <c r="G69" s="69" t="s">
        <v>324</v>
      </c>
      <c r="H69" s="1">
        <f>INDEX(Data_base_case!$D$8:$FS$118,MATCH(Scenarios_definition!C69,Data_base_case!$D$8:$D$118,0),MATCH(Scenarios_definition!D69&amp;Scenarios_definition!G69,Data_base_case!$D$7:$FS$7,0))</f>
        <v>8.3860161500585326E-2</v>
      </c>
    </row>
    <row r="70" spans="1:8" x14ac:dyDescent="0.3">
      <c r="A70" s="13"/>
      <c r="B70" s="71" t="s">
        <v>471</v>
      </c>
      <c r="C70" s="2" t="s">
        <v>164</v>
      </c>
      <c r="D70" s="1" t="s">
        <v>86</v>
      </c>
      <c r="E70" s="11" t="s">
        <v>133</v>
      </c>
      <c r="F70" s="95">
        <v>0.1060792482526339</v>
      </c>
      <c r="G70" s="69" t="s">
        <v>324</v>
      </c>
      <c r="H70" s="1">
        <f>INDEX(Data_base_case!$D$8:$FS$118,MATCH(Scenarios_definition!C70,Data_base_case!$D$8:$D$118,0),MATCH(Scenarios_definition!D70&amp;Scenarios_definition!G70,Data_base_case!$D$7:$FS$7,0))</f>
        <v>8.8827433387272267E-2</v>
      </c>
    </row>
    <row r="71" spans="1:8" x14ac:dyDescent="0.3">
      <c r="A71" s="13"/>
      <c r="B71" s="71" t="s">
        <v>471</v>
      </c>
      <c r="C71" s="2" t="s">
        <v>54</v>
      </c>
      <c r="D71" s="1" t="s">
        <v>86</v>
      </c>
      <c r="E71" s="11" t="s">
        <v>133</v>
      </c>
      <c r="F71" s="95">
        <v>0.1060792482526339</v>
      </c>
      <c r="G71" s="69" t="s">
        <v>324</v>
      </c>
      <c r="H71" s="1">
        <f>INDEX(Data_base_case!$D$8:$FS$118,MATCH(Scenarios_definition!C71,Data_base_case!$D$8:$D$118,0),MATCH(Scenarios_definition!D71&amp;Scenarios_definition!G71,Data_base_case!$D$7:$FS$7,0))</f>
        <v>8.8827433387272267E-2</v>
      </c>
    </row>
    <row r="72" spans="1:8" x14ac:dyDescent="0.3">
      <c r="A72" s="13"/>
      <c r="B72" s="71" t="s">
        <v>471</v>
      </c>
      <c r="C72" s="2" t="s">
        <v>56</v>
      </c>
      <c r="D72" s="1" t="s">
        <v>86</v>
      </c>
      <c r="E72" s="11" t="s">
        <v>133</v>
      </c>
      <c r="F72" s="95">
        <v>0.1060792482526339</v>
      </c>
      <c r="G72" s="69" t="s">
        <v>324</v>
      </c>
      <c r="H72" s="1">
        <f>INDEX(Data_base_case!$D$8:$FS$118,MATCH(Scenarios_definition!C72,Data_base_case!$D$8:$D$118,0),MATCH(Scenarios_definition!D72&amp;Scenarios_definition!G72,Data_base_case!$D$7:$FS$7,0))</f>
        <v>8.8827433387272267E-2</v>
      </c>
    </row>
    <row r="73" spans="1:8" x14ac:dyDescent="0.3">
      <c r="A73" s="13"/>
      <c r="B73" s="71" t="s">
        <v>471</v>
      </c>
      <c r="C73" s="2" t="s">
        <v>58</v>
      </c>
      <c r="D73" s="1" t="s">
        <v>86</v>
      </c>
      <c r="E73" s="11" t="s">
        <v>133</v>
      </c>
      <c r="F73" s="95">
        <v>0.1060792482526339</v>
      </c>
      <c r="G73" s="69" t="s">
        <v>324</v>
      </c>
      <c r="H73" s="1">
        <f>INDEX(Data_base_case!$D$8:$FS$118,MATCH(Scenarios_definition!C73,Data_base_case!$D$8:$D$118,0),MATCH(Scenarios_definition!D73&amp;Scenarios_definition!G73,Data_base_case!$D$7:$FS$7,0))</f>
        <v>8.8827433387272267E-2</v>
      </c>
    </row>
    <row r="74" spans="1:8" x14ac:dyDescent="0.3">
      <c r="A74" s="13"/>
      <c r="B74" s="71" t="s">
        <v>471</v>
      </c>
      <c r="C74" s="2" t="s">
        <v>60</v>
      </c>
      <c r="D74" s="1" t="s">
        <v>86</v>
      </c>
      <c r="E74" s="11" t="s">
        <v>133</v>
      </c>
      <c r="F74" s="95">
        <v>0.1060792482526339</v>
      </c>
      <c r="G74" s="69" t="s">
        <v>324</v>
      </c>
      <c r="H74" s="1">
        <f>INDEX(Data_base_case!$D$8:$FS$118,MATCH(Scenarios_definition!C74,Data_base_case!$D$8:$D$118,0),MATCH(Scenarios_definition!D74&amp;Scenarios_definition!G74,Data_base_case!$D$7:$FS$7,0))</f>
        <v>8.8827433387272267E-2</v>
      </c>
    </row>
    <row r="75" spans="1:8" x14ac:dyDescent="0.3">
      <c r="A75" s="13"/>
      <c r="B75" s="71" t="s">
        <v>471</v>
      </c>
      <c r="C75" s="2" t="s">
        <v>62</v>
      </c>
      <c r="D75" s="1" t="s">
        <v>86</v>
      </c>
      <c r="E75" s="11" t="s">
        <v>133</v>
      </c>
      <c r="F75" s="95">
        <v>0.1060792482526339</v>
      </c>
      <c r="G75" s="69" t="s">
        <v>324</v>
      </c>
      <c r="H75" s="1">
        <f>INDEX(Data_base_case!$D$8:$FS$118,MATCH(Scenarios_definition!C75,Data_base_case!$D$8:$D$118,0),MATCH(Scenarios_definition!D75&amp;Scenarios_definition!G75,Data_base_case!$D$7:$FS$7,0))</f>
        <v>8.8827433387272267E-2</v>
      </c>
    </row>
    <row r="76" spans="1:8" x14ac:dyDescent="0.3">
      <c r="A76" s="13"/>
      <c r="B76" s="71" t="s">
        <v>471</v>
      </c>
      <c r="C76" s="2" t="s">
        <v>64</v>
      </c>
      <c r="D76" s="1" t="s">
        <v>86</v>
      </c>
      <c r="E76" s="11" t="s">
        <v>133</v>
      </c>
      <c r="F76" s="95">
        <v>0.1060792482526339</v>
      </c>
      <c r="G76" s="69" t="s">
        <v>324</v>
      </c>
      <c r="H76" s="1">
        <f>INDEX(Data_base_case!$D$8:$FS$118,MATCH(Scenarios_definition!C76,Data_base_case!$D$8:$D$118,0),MATCH(Scenarios_definition!D76&amp;Scenarios_definition!G76,Data_base_case!$D$7:$FS$7,0))</f>
        <v>8.8827433387272267E-2</v>
      </c>
    </row>
    <row r="77" spans="1:8" x14ac:dyDescent="0.3">
      <c r="A77" s="13"/>
      <c r="B77" s="71" t="s">
        <v>471</v>
      </c>
      <c r="C77" s="2" t="s">
        <v>66</v>
      </c>
      <c r="D77" s="1" t="s">
        <v>86</v>
      </c>
      <c r="E77" s="11" t="s">
        <v>133</v>
      </c>
      <c r="F77" s="95">
        <v>0.1060792482526339</v>
      </c>
      <c r="G77" s="69" t="s">
        <v>324</v>
      </c>
      <c r="H77" s="1">
        <f>INDEX(Data_base_case!$D$8:$FS$118,MATCH(Scenarios_definition!C77,Data_base_case!$D$8:$D$118,0),MATCH(Scenarios_definition!D77&amp;Scenarios_definition!G77,Data_base_case!$D$7:$FS$7,0))</f>
        <v>8.8827433387272267E-2</v>
      </c>
    </row>
    <row r="78" spans="1:8" x14ac:dyDescent="0.3">
      <c r="A78" s="13"/>
      <c r="B78" s="71" t="s">
        <v>471</v>
      </c>
      <c r="C78" s="2" t="s">
        <v>68</v>
      </c>
      <c r="D78" s="1" t="s">
        <v>86</v>
      </c>
      <c r="E78" s="11" t="s">
        <v>133</v>
      </c>
      <c r="F78" s="95">
        <v>0.1060792482526339</v>
      </c>
      <c r="G78" s="69" t="s">
        <v>324</v>
      </c>
      <c r="H78" s="1">
        <f>INDEX(Data_base_case!$D$8:$FS$118,MATCH(Scenarios_definition!C78,Data_base_case!$D$8:$D$118,0),MATCH(Scenarios_definition!D78&amp;Scenarios_definition!G78,Data_base_case!$D$7:$FS$7,0))</f>
        <v>8.8827433387272267E-2</v>
      </c>
    </row>
    <row r="79" spans="1:8" x14ac:dyDescent="0.3">
      <c r="A79" s="13"/>
      <c r="B79" s="71" t="s">
        <v>471</v>
      </c>
      <c r="C79" s="2" t="s">
        <v>70</v>
      </c>
      <c r="D79" s="1" t="s">
        <v>86</v>
      </c>
      <c r="E79" s="11" t="s">
        <v>133</v>
      </c>
      <c r="F79" s="95">
        <v>0.1060792482526339</v>
      </c>
      <c r="G79" s="69" t="s">
        <v>324</v>
      </c>
      <c r="H79" s="1">
        <f>INDEX(Data_base_case!$D$8:$FS$118,MATCH(Scenarios_definition!C79,Data_base_case!$D$8:$D$118,0),MATCH(Scenarios_definition!D79&amp;Scenarios_definition!G79,Data_base_case!$D$7:$FS$7,0))</f>
        <v>8.8827433387272267E-2</v>
      </c>
    </row>
    <row r="80" spans="1:8" x14ac:dyDescent="0.3">
      <c r="A80" s="13"/>
      <c r="B80" s="71" t="s">
        <v>471</v>
      </c>
      <c r="C80" s="2" t="s">
        <v>72</v>
      </c>
      <c r="D80" s="1" t="s">
        <v>86</v>
      </c>
      <c r="E80" s="11" t="s">
        <v>133</v>
      </c>
      <c r="F80" s="95">
        <v>0.1060792482526339</v>
      </c>
      <c r="G80" s="69" t="s">
        <v>324</v>
      </c>
      <c r="H80" s="1">
        <f>INDEX(Data_base_case!$D$8:$FS$118,MATCH(Scenarios_definition!C80,Data_base_case!$D$8:$D$118,0),MATCH(Scenarios_definition!D80&amp;Scenarios_definition!G80,Data_base_case!$D$7:$FS$7,0))</f>
        <v>8.8827433387272267E-2</v>
      </c>
    </row>
    <row r="81" spans="1:8" x14ac:dyDescent="0.3">
      <c r="A81" s="13"/>
      <c r="B81" s="71" t="s">
        <v>471</v>
      </c>
      <c r="C81" s="2" t="s">
        <v>165</v>
      </c>
      <c r="D81" s="1" t="s">
        <v>86</v>
      </c>
      <c r="E81" s="11" t="s">
        <v>133</v>
      </c>
      <c r="F81" s="95">
        <v>0.1060792482526339</v>
      </c>
      <c r="G81" s="69" t="s">
        <v>324</v>
      </c>
      <c r="H81" s="1">
        <f>INDEX(Data_base_case!$D$8:$FS$118,MATCH(Scenarios_definition!C81,Data_base_case!$D$8:$D$118,0),MATCH(Scenarios_definition!D81&amp;Scenarios_definition!G81,Data_base_case!$D$7:$FS$7,0))</f>
        <v>8.8827433387272267E-2</v>
      </c>
    </row>
    <row r="82" spans="1:8" x14ac:dyDescent="0.3">
      <c r="A82" s="13" t="s">
        <v>444</v>
      </c>
      <c r="B82" s="71" t="s">
        <v>480</v>
      </c>
      <c r="C82" s="2" t="s">
        <v>94</v>
      </c>
      <c r="D82" s="1" t="s">
        <v>86</v>
      </c>
      <c r="E82" s="11" t="s">
        <v>133</v>
      </c>
      <c r="F82" s="32">
        <v>9.3050575311267647E-2</v>
      </c>
      <c r="G82" s="69" t="s">
        <v>324</v>
      </c>
      <c r="H82" s="1">
        <f>INDEX(Data_base_case!$D$8:$FS$118,MATCH(Scenarios_definition!C82,Data_base_case!$D$8:$D$118,0),MATCH(Scenarios_definition!D82&amp;Scenarios_definition!G82,Data_base_case!$D$7:$FS$7,0))</f>
        <v>8.8495575221238937E-2</v>
      </c>
    </row>
    <row r="83" spans="1:8" x14ac:dyDescent="0.3">
      <c r="A83" s="13"/>
      <c r="B83" s="71" t="s">
        <v>480</v>
      </c>
      <c r="C83" s="2" t="s">
        <v>232</v>
      </c>
      <c r="D83" s="1" t="s">
        <v>86</v>
      </c>
      <c r="E83" s="11" t="s">
        <v>133</v>
      </c>
      <c r="F83" s="32">
        <v>9.3050575311267647E-2</v>
      </c>
      <c r="G83" s="69" t="s">
        <v>324</v>
      </c>
      <c r="H83" s="1">
        <f>INDEX(Data_base_case!$D$8:$FS$118,MATCH(Scenarios_definition!C83,Data_base_case!$D$8:$D$118,0),MATCH(Scenarios_definition!D83&amp;Scenarios_definition!G83,Data_base_case!$D$7:$FS$7,0))</f>
        <v>8.8495575221238937E-2</v>
      </c>
    </row>
    <row r="84" spans="1:8" x14ac:dyDescent="0.3">
      <c r="A84" s="13"/>
      <c r="B84" s="71" t="s">
        <v>480</v>
      </c>
      <c r="C84" s="2" t="s">
        <v>242</v>
      </c>
      <c r="D84" s="1" t="s">
        <v>86</v>
      </c>
      <c r="E84" s="11" t="s">
        <v>133</v>
      </c>
      <c r="F84" s="32">
        <v>9.3050575311267605E-2</v>
      </c>
      <c r="G84" s="69" t="s">
        <v>324</v>
      </c>
      <c r="H84" s="1">
        <f>INDEX(Data_base_case!$D$8:$FS$118,MATCH(Scenarios_definition!C84,Data_base_case!$D$8:$D$118,0),MATCH(Scenarios_definition!D84&amp;Scenarios_definition!G84,Data_base_case!$D$7:$FS$7,0))</f>
        <v>8.8495575221238937E-2</v>
      </c>
    </row>
    <row r="85" spans="1:8" x14ac:dyDescent="0.3">
      <c r="A85" s="13"/>
      <c r="B85" s="71" t="s">
        <v>480</v>
      </c>
      <c r="C85" s="2" t="s">
        <v>241</v>
      </c>
      <c r="D85" s="1" t="s">
        <v>86</v>
      </c>
      <c r="E85" s="11" t="s">
        <v>133</v>
      </c>
      <c r="F85" s="32">
        <v>9.3050575311267605E-2</v>
      </c>
      <c r="G85" s="69" t="s">
        <v>324</v>
      </c>
      <c r="H85" s="1">
        <f>INDEX(Data_base_case!$D$8:$FS$118,MATCH(Scenarios_definition!C85,Data_base_case!$D$8:$D$118,0),MATCH(Scenarios_definition!D85&amp;Scenarios_definition!G85,Data_base_case!$D$7:$FS$7,0))</f>
        <v>8.8495575221238937E-2</v>
      </c>
    </row>
    <row r="86" spans="1:8" x14ac:dyDescent="0.3">
      <c r="A86" s="13"/>
      <c r="B86" s="71" t="s">
        <v>480</v>
      </c>
      <c r="C86" s="2" t="s">
        <v>243</v>
      </c>
      <c r="D86" s="1" t="s">
        <v>86</v>
      </c>
      <c r="E86" s="11" t="s">
        <v>133</v>
      </c>
      <c r="F86" s="32">
        <v>9.3050575311267605E-2</v>
      </c>
      <c r="G86" s="69" t="s">
        <v>324</v>
      </c>
      <c r="H86" s="1">
        <f>INDEX(Data_base_case!$D$8:$FS$118,MATCH(Scenarios_definition!C86,Data_base_case!$D$8:$D$118,0),MATCH(Scenarios_definition!D86&amp;Scenarios_definition!G86,Data_base_case!$D$7:$FS$7,0))</f>
        <v>8.8495575221238937E-2</v>
      </c>
    </row>
    <row r="87" spans="1:8" x14ac:dyDescent="0.3">
      <c r="A87" s="13"/>
      <c r="B87" s="71" t="s">
        <v>480</v>
      </c>
      <c r="C87" s="2" t="s">
        <v>244</v>
      </c>
      <c r="D87" s="1" t="s">
        <v>86</v>
      </c>
      <c r="E87" s="11" t="s">
        <v>133</v>
      </c>
      <c r="F87" s="32">
        <v>9.3050575311267605E-2</v>
      </c>
      <c r="G87" s="69" t="s">
        <v>324</v>
      </c>
      <c r="H87" s="1">
        <f>INDEX(Data_base_case!$D$8:$FS$118,MATCH(Scenarios_definition!C87,Data_base_case!$D$8:$D$118,0),MATCH(Scenarios_definition!D87&amp;Scenarios_definition!G87,Data_base_case!$D$7:$FS$7,0))</f>
        <v>8.8495575221238937E-2</v>
      </c>
    </row>
    <row r="88" spans="1:8" x14ac:dyDescent="0.3">
      <c r="A88" s="13"/>
      <c r="B88" s="71" t="s">
        <v>480</v>
      </c>
      <c r="C88" s="6" t="s">
        <v>47</v>
      </c>
      <c r="D88" s="1" t="s">
        <v>86</v>
      </c>
      <c r="E88" s="11" t="s">
        <v>133</v>
      </c>
      <c r="F88" s="32">
        <v>9.3050575311267605E-2</v>
      </c>
      <c r="G88" s="69" t="s">
        <v>324</v>
      </c>
      <c r="H88" s="1">
        <f>INDEX(Data_base_case!$D$8:$FS$118,MATCH(Scenarios_definition!C88,Data_base_case!$D$8:$D$118,0),MATCH(Scenarios_definition!D88&amp;Scenarios_definition!G88,Data_base_case!$D$7:$FS$7,0))</f>
        <v>8.3860161500585326E-2</v>
      </c>
    </row>
    <row r="89" spans="1:8" x14ac:dyDescent="0.3">
      <c r="A89" s="13"/>
      <c r="B89" s="71" t="s">
        <v>480</v>
      </c>
      <c r="C89" s="6" t="s">
        <v>49</v>
      </c>
      <c r="D89" s="1" t="s">
        <v>86</v>
      </c>
      <c r="E89" s="11" t="s">
        <v>133</v>
      </c>
      <c r="F89" s="32">
        <v>9.3050575311267605E-2</v>
      </c>
      <c r="G89" s="69" t="s">
        <v>324</v>
      </c>
      <c r="H89" s="1">
        <f>INDEX(Data_base_case!$D$8:$FS$118,MATCH(Scenarios_definition!C89,Data_base_case!$D$8:$D$118,0),MATCH(Scenarios_definition!D89&amp;Scenarios_definition!G89,Data_base_case!$D$7:$FS$7,0))</f>
        <v>8.3860161500585326E-2</v>
      </c>
    </row>
    <row r="90" spans="1:8" x14ac:dyDescent="0.3">
      <c r="A90" s="13"/>
      <c r="B90" s="71" t="s">
        <v>480</v>
      </c>
      <c r="C90" s="2" t="s">
        <v>164</v>
      </c>
      <c r="D90" s="1" t="s">
        <v>86</v>
      </c>
      <c r="E90" s="11" t="s">
        <v>133</v>
      </c>
      <c r="F90" s="32">
        <v>9.3050575311267605E-2</v>
      </c>
      <c r="G90" s="69" t="s">
        <v>324</v>
      </c>
      <c r="H90" s="1">
        <f>INDEX(Data_base_case!$D$8:$FS$118,MATCH(Scenarios_definition!C90,Data_base_case!$D$8:$D$118,0),MATCH(Scenarios_definition!D90&amp;Scenarios_definition!G90,Data_base_case!$D$7:$FS$7,0))</f>
        <v>8.8827433387272267E-2</v>
      </c>
    </row>
    <row r="91" spans="1:8" x14ac:dyDescent="0.3">
      <c r="A91" s="13"/>
      <c r="B91" s="71" t="s">
        <v>480</v>
      </c>
      <c r="C91" s="2" t="s">
        <v>54</v>
      </c>
      <c r="D91" s="1" t="s">
        <v>86</v>
      </c>
      <c r="E91" s="11" t="s">
        <v>133</v>
      </c>
      <c r="F91" s="32">
        <v>9.3050575311267605E-2</v>
      </c>
      <c r="G91" s="69" t="s">
        <v>324</v>
      </c>
      <c r="H91" s="1">
        <f>INDEX(Data_base_case!$D$8:$FS$118,MATCH(Scenarios_definition!C91,Data_base_case!$D$8:$D$118,0),MATCH(Scenarios_definition!D91&amp;Scenarios_definition!G91,Data_base_case!$D$7:$FS$7,0))</f>
        <v>8.8827433387272267E-2</v>
      </c>
    </row>
    <row r="92" spans="1:8" x14ac:dyDescent="0.3">
      <c r="A92" s="13"/>
      <c r="B92" s="71" t="s">
        <v>480</v>
      </c>
      <c r="C92" s="2" t="s">
        <v>56</v>
      </c>
      <c r="D92" s="1" t="s">
        <v>86</v>
      </c>
      <c r="E92" s="11" t="s">
        <v>133</v>
      </c>
      <c r="F92" s="32">
        <v>9.3050575311267605E-2</v>
      </c>
      <c r="G92" s="69" t="s">
        <v>324</v>
      </c>
      <c r="H92" s="1">
        <f>INDEX(Data_base_case!$D$8:$FS$118,MATCH(Scenarios_definition!C92,Data_base_case!$D$8:$D$118,0),MATCH(Scenarios_definition!D92&amp;Scenarios_definition!G92,Data_base_case!$D$7:$FS$7,0))</f>
        <v>8.8827433387272267E-2</v>
      </c>
    </row>
    <row r="93" spans="1:8" x14ac:dyDescent="0.3">
      <c r="A93" s="13"/>
      <c r="B93" s="71" t="s">
        <v>480</v>
      </c>
      <c r="C93" s="2" t="s">
        <v>58</v>
      </c>
      <c r="D93" s="1" t="s">
        <v>86</v>
      </c>
      <c r="E93" s="11" t="s">
        <v>133</v>
      </c>
      <c r="F93" s="32">
        <v>9.3050575311267605E-2</v>
      </c>
      <c r="G93" s="69" t="s">
        <v>324</v>
      </c>
      <c r="H93" s="1">
        <f>INDEX(Data_base_case!$D$8:$FS$118,MATCH(Scenarios_definition!C93,Data_base_case!$D$8:$D$118,0),MATCH(Scenarios_definition!D93&amp;Scenarios_definition!G93,Data_base_case!$D$7:$FS$7,0))</f>
        <v>8.8827433387272267E-2</v>
      </c>
    </row>
    <row r="94" spans="1:8" x14ac:dyDescent="0.3">
      <c r="A94" s="13"/>
      <c r="B94" s="71" t="s">
        <v>480</v>
      </c>
      <c r="C94" s="2" t="s">
        <v>60</v>
      </c>
      <c r="D94" s="1" t="s">
        <v>86</v>
      </c>
      <c r="E94" s="11" t="s">
        <v>133</v>
      </c>
      <c r="F94" s="32">
        <v>9.3050575311267605E-2</v>
      </c>
      <c r="G94" s="69" t="s">
        <v>324</v>
      </c>
      <c r="H94" s="1">
        <f>INDEX(Data_base_case!$D$8:$FS$118,MATCH(Scenarios_definition!C94,Data_base_case!$D$8:$D$118,0),MATCH(Scenarios_definition!D94&amp;Scenarios_definition!G94,Data_base_case!$D$7:$FS$7,0))</f>
        <v>8.8827433387272267E-2</v>
      </c>
    </row>
    <row r="95" spans="1:8" x14ac:dyDescent="0.3">
      <c r="A95" s="13"/>
      <c r="B95" s="71" t="s">
        <v>480</v>
      </c>
      <c r="C95" s="2" t="s">
        <v>62</v>
      </c>
      <c r="D95" s="1" t="s">
        <v>86</v>
      </c>
      <c r="E95" s="11" t="s">
        <v>133</v>
      </c>
      <c r="F95" s="32">
        <v>9.3050575311267605E-2</v>
      </c>
      <c r="G95" s="69" t="s">
        <v>324</v>
      </c>
      <c r="H95" s="1">
        <f>INDEX(Data_base_case!$D$8:$FS$118,MATCH(Scenarios_definition!C95,Data_base_case!$D$8:$D$118,0),MATCH(Scenarios_definition!D95&amp;Scenarios_definition!G95,Data_base_case!$D$7:$FS$7,0))</f>
        <v>8.8827433387272267E-2</v>
      </c>
    </row>
    <row r="96" spans="1:8" x14ac:dyDescent="0.3">
      <c r="A96" s="13"/>
      <c r="B96" s="71" t="s">
        <v>480</v>
      </c>
      <c r="C96" s="2" t="s">
        <v>64</v>
      </c>
      <c r="D96" s="1" t="s">
        <v>86</v>
      </c>
      <c r="E96" s="11" t="s">
        <v>133</v>
      </c>
      <c r="F96" s="32">
        <v>9.3050575311267605E-2</v>
      </c>
      <c r="G96" s="69" t="s">
        <v>324</v>
      </c>
      <c r="H96" s="1">
        <f>INDEX(Data_base_case!$D$8:$FS$118,MATCH(Scenarios_definition!C96,Data_base_case!$D$8:$D$118,0),MATCH(Scenarios_definition!D96&amp;Scenarios_definition!G96,Data_base_case!$D$7:$FS$7,0))</f>
        <v>8.8827433387272267E-2</v>
      </c>
    </row>
    <row r="97" spans="1:8" x14ac:dyDescent="0.3">
      <c r="A97" s="13"/>
      <c r="B97" s="71" t="s">
        <v>480</v>
      </c>
      <c r="C97" s="2" t="s">
        <v>66</v>
      </c>
      <c r="D97" s="1" t="s">
        <v>86</v>
      </c>
      <c r="E97" s="11" t="s">
        <v>133</v>
      </c>
      <c r="F97" s="32">
        <v>9.3050575311267605E-2</v>
      </c>
      <c r="G97" s="69" t="s">
        <v>324</v>
      </c>
      <c r="H97" s="1">
        <f>INDEX(Data_base_case!$D$8:$FS$118,MATCH(Scenarios_definition!C97,Data_base_case!$D$8:$D$118,0),MATCH(Scenarios_definition!D97&amp;Scenarios_definition!G97,Data_base_case!$D$7:$FS$7,0))</f>
        <v>8.8827433387272267E-2</v>
      </c>
    </row>
    <row r="98" spans="1:8" x14ac:dyDescent="0.3">
      <c r="A98" s="13"/>
      <c r="B98" s="71" t="s">
        <v>480</v>
      </c>
      <c r="C98" s="2" t="s">
        <v>68</v>
      </c>
      <c r="D98" s="1" t="s">
        <v>86</v>
      </c>
      <c r="E98" s="11" t="s">
        <v>133</v>
      </c>
      <c r="F98" s="32">
        <v>9.3050575311267605E-2</v>
      </c>
      <c r="G98" s="69" t="s">
        <v>324</v>
      </c>
      <c r="H98" s="1">
        <f>INDEX(Data_base_case!$D$8:$FS$118,MATCH(Scenarios_definition!C98,Data_base_case!$D$8:$D$118,0),MATCH(Scenarios_definition!D98&amp;Scenarios_definition!G98,Data_base_case!$D$7:$FS$7,0))</f>
        <v>8.8827433387272267E-2</v>
      </c>
    </row>
    <row r="99" spans="1:8" x14ac:dyDescent="0.3">
      <c r="A99" s="13"/>
      <c r="B99" s="71" t="s">
        <v>480</v>
      </c>
      <c r="C99" s="2" t="s">
        <v>70</v>
      </c>
      <c r="D99" s="1" t="s">
        <v>86</v>
      </c>
      <c r="E99" s="11" t="s">
        <v>133</v>
      </c>
      <c r="F99" s="32">
        <v>9.3050575311267605E-2</v>
      </c>
      <c r="G99" s="69" t="s">
        <v>324</v>
      </c>
      <c r="H99" s="1">
        <f>INDEX(Data_base_case!$D$8:$FS$118,MATCH(Scenarios_definition!C99,Data_base_case!$D$8:$D$118,0),MATCH(Scenarios_definition!D99&amp;Scenarios_definition!G99,Data_base_case!$D$7:$FS$7,0))</f>
        <v>8.8827433387272267E-2</v>
      </c>
    </row>
    <row r="100" spans="1:8" x14ac:dyDescent="0.3">
      <c r="A100" s="13"/>
      <c r="B100" s="71" t="s">
        <v>480</v>
      </c>
      <c r="C100" s="2" t="s">
        <v>72</v>
      </c>
      <c r="D100" s="1" t="s">
        <v>86</v>
      </c>
      <c r="E100" s="11" t="s">
        <v>133</v>
      </c>
      <c r="F100" s="32">
        <v>9.3050575311267605E-2</v>
      </c>
      <c r="G100" s="69" t="s">
        <v>324</v>
      </c>
      <c r="H100" s="1">
        <f>INDEX(Data_base_case!$D$8:$FS$118,MATCH(Scenarios_definition!C100,Data_base_case!$D$8:$D$118,0),MATCH(Scenarios_definition!D100&amp;Scenarios_definition!G100,Data_base_case!$D$7:$FS$7,0))</f>
        <v>8.8827433387272267E-2</v>
      </c>
    </row>
    <row r="101" spans="1:8" x14ac:dyDescent="0.3">
      <c r="A101" s="13"/>
      <c r="B101" s="71" t="s">
        <v>480</v>
      </c>
      <c r="C101" s="2" t="s">
        <v>165</v>
      </c>
      <c r="D101" s="1" t="s">
        <v>86</v>
      </c>
      <c r="E101" s="11" t="s">
        <v>133</v>
      </c>
      <c r="F101" s="32">
        <v>9.3050575311267605E-2</v>
      </c>
      <c r="G101" s="69" t="s">
        <v>324</v>
      </c>
      <c r="H101" s="1">
        <f>INDEX(Data_base_case!$D$8:$FS$118,MATCH(Scenarios_definition!C101,Data_base_case!$D$8:$D$118,0),MATCH(Scenarios_definition!D101&amp;Scenarios_definition!G101,Data_base_case!$D$7:$FS$7,0))</f>
        <v>8.8827433387272267E-2</v>
      </c>
    </row>
    <row r="102" spans="1:8" x14ac:dyDescent="0.3">
      <c r="A102" s="13" t="s">
        <v>443</v>
      </c>
      <c r="B102" s="71" t="s">
        <v>481</v>
      </c>
      <c r="C102" s="2" t="s">
        <v>95</v>
      </c>
      <c r="D102" s="1" t="s">
        <v>86</v>
      </c>
      <c r="E102" s="11" t="s">
        <v>133</v>
      </c>
      <c r="F102" s="32">
        <v>9.3050575311267605E-2</v>
      </c>
      <c r="G102" s="69" t="s">
        <v>324</v>
      </c>
      <c r="H102" s="1">
        <f>INDEX(Data_base_case!$D$8:$FS$118,MATCH(Scenarios_definition!C102,Data_base_case!$D$8:$D$118,0),MATCH(Scenarios_definition!D102&amp;Scenarios_definition!G102,Data_base_case!$D$7:$FS$7,0))</f>
        <v>8.8495575221238937E-2</v>
      </c>
    </row>
    <row r="103" spans="1:8" x14ac:dyDescent="0.3">
      <c r="A103" s="13"/>
      <c r="B103" s="71" t="s">
        <v>481</v>
      </c>
      <c r="C103" s="2" t="s">
        <v>232</v>
      </c>
      <c r="D103" s="1" t="s">
        <v>86</v>
      </c>
      <c r="E103" s="11" t="s">
        <v>133</v>
      </c>
      <c r="F103" s="32">
        <v>9.3050575311267605E-2</v>
      </c>
      <c r="G103" s="69" t="s">
        <v>324</v>
      </c>
      <c r="H103" s="1">
        <f>INDEX(Data_base_case!$D$8:$FS$118,MATCH(Scenarios_definition!C103,Data_base_case!$D$8:$D$118,0),MATCH(Scenarios_definition!D103&amp;Scenarios_definition!G103,Data_base_case!$D$7:$FS$7,0))</f>
        <v>8.8495575221238937E-2</v>
      </c>
    </row>
    <row r="104" spans="1:8" x14ac:dyDescent="0.3">
      <c r="A104" s="13"/>
      <c r="B104" s="71" t="s">
        <v>481</v>
      </c>
      <c r="C104" s="2" t="s">
        <v>242</v>
      </c>
      <c r="D104" s="1" t="s">
        <v>86</v>
      </c>
      <c r="E104" s="11" t="s">
        <v>133</v>
      </c>
      <c r="F104" s="32">
        <v>9.3050575311267605E-2</v>
      </c>
      <c r="G104" s="69" t="s">
        <v>324</v>
      </c>
      <c r="H104" s="1">
        <f>INDEX(Data_base_case!$D$8:$FS$118,MATCH(Scenarios_definition!C104,Data_base_case!$D$8:$D$118,0),MATCH(Scenarios_definition!D104&amp;Scenarios_definition!G104,Data_base_case!$D$7:$FS$7,0))</f>
        <v>8.8495575221238937E-2</v>
      </c>
    </row>
    <row r="105" spans="1:8" x14ac:dyDescent="0.3">
      <c r="A105" s="13"/>
      <c r="B105" s="71" t="s">
        <v>481</v>
      </c>
      <c r="C105" s="2" t="s">
        <v>241</v>
      </c>
      <c r="D105" s="1" t="s">
        <v>86</v>
      </c>
      <c r="E105" s="11" t="s">
        <v>133</v>
      </c>
      <c r="F105" s="32">
        <v>9.3050575311267605E-2</v>
      </c>
      <c r="G105" s="69" t="s">
        <v>324</v>
      </c>
      <c r="H105" s="1">
        <f>INDEX(Data_base_case!$D$8:$FS$118,MATCH(Scenarios_definition!C105,Data_base_case!$D$8:$D$118,0),MATCH(Scenarios_definition!D105&amp;Scenarios_definition!G105,Data_base_case!$D$7:$FS$7,0))</f>
        <v>8.8495575221238937E-2</v>
      </c>
    </row>
    <row r="106" spans="1:8" x14ac:dyDescent="0.3">
      <c r="A106" s="13"/>
      <c r="B106" s="71" t="s">
        <v>481</v>
      </c>
      <c r="C106" s="2" t="s">
        <v>243</v>
      </c>
      <c r="D106" s="1" t="s">
        <v>86</v>
      </c>
      <c r="E106" s="11" t="s">
        <v>133</v>
      </c>
      <c r="F106" s="32">
        <v>9.3050575311267605E-2</v>
      </c>
      <c r="G106" s="69" t="s">
        <v>324</v>
      </c>
      <c r="H106" s="1">
        <f>INDEX(Data_base_case!$D$8:$FS$118,MATCH(Scenarios_definition!C106,Data_base_case!$D$8:$D$118,0),MATCH(Scenarios_definition!D106&amp;Scenarios_definition!G106,Data_base_case!$D$7:$FS$7,0))</f>
        <v>8.8495575221238937E-2</v>
      </c>
    </row>
    <row r="107" spans="1:8" x14ac:dyDescent="0.3">
      <c r="A107" s="13"/>
      <c r="B107" s="71" t="s">
        <v>481</v>
      </c>
      <c r="C107" s="2" t="s">
        <v>244</v>
      </c>
      <c r="D107" s="1" t="s">
        <v>86</v>
      </c>
      <c r="E107" s="11" t="s">
        <v>133</v>
      </c>
      <c r="F107" s="32">
        <v>9.3050575311267605E-2</v>
      </c>
      <c r="G107" s="69" t="s">
        <v>324</v>
      </c>
      <c r="H107" s="1">
        <f>INDEX(Data_base_case!$D$8:$FS$118,MATCH(Scenarios_definition!C107,Data_base_case!$D$8:$D$118,0),MATCH(Scenarios_definition!D107&amp;Scenarios_definition!G107,Data_base_case!$D$7:$FS$7,0))</f>
        <v>8.8495575221238937E-2</v>
      </c>
    </row>
    <row r="108" spans="1:8" x14ac:dyDescent="0.3">
      <c r="A108" s="13"/>
      <c r="B108" s="71" t="s">
        <v>481</v>
      </c>
      <c r="C108" s="6" t="s">
        <v>47</v>
      </c>
      <c r="D108" s="1" t="s">
        <v>86</v>
      </c>
      <c r="E108" s="11" t="s">
        <v>133</v>
      </c>
      <c r="F108" s="32">
        <v>9.3050575311267605E-2</v>
      </c>
      <c r="G108" s="69" t="s">
        <v>324</v>
      </c>
      <c r="H108" s="1">
        <f>INDEX(Data_base_case!$D$8:$FS$118,MATCH(Scenarios_definition!C108,Data_base_case!$D$8:$D$118,0),MATCH(Scenarios_definition!D108&amp;Scenarios_definition!G108,Data_base_case!$D$7:$FS$7,0))</f>
        <v>8.3860161500585326E-2</v>
      </c>
    </row>
    <row r="109" spans="1:8" x14ac:dyDescent="0.3">
      <c r="A109" s="13"/>
      <c r="B109" s="71" t="s">
        <v>481</v>
      </c>
      <c r="C109" s="6" t="s">
        <v>49</v>
      </c>
      <c r="D109" s="1" t="s">
        <v>86</v>
      </c>
      <c r="E109" s="11" t="s">
        <v>133</v>
      </c>
      <c r="F109" s="32">
        <v>9.3050575311267605E-2</v>
      </c>
      <c r="G109" s="69" t="s">
        <v>324</v>
      </c>
      <c r="H109" s="1">
        <f>INDEX(Data_base_case!$D$8:$FS$118,MATCH(Scenarios_definition!C109,Data_base_case!$D$8:$D$118,0),MATCH(Scenarios_definition!D109&amp;Scenarios_definition!G109,Data_base_case!$D$7:$FS$7,0))</f>
        <v>8.3860161500585326E-2</v>
      </c>
    </row>
    <row r="110" spans="1:8" x14ac:dyDescent="0.3">
      <c r="A110" s="13"/>
      <c r="B110" s="71" t="s">
        <v>481</v>
      </c>
      <c r="C110" s="2" t="s">
        <v>164</v>
      </c>
      <c r="D110" s="1" t="s">
        <v>86</v>
      </c>
      <c r="E110" s="11" t="s">
        <v>133</v>
      </c>
      <c r="F110" s="32">
        <v>9.3050575311267605E-2</v>
      </c>
      <c r="G110" s="69" t="s">
        <v>324</v>
      </c>
      <c r="H110" s="1">
        <f>INDEX(Data_base_case!$D$8:$FS$118,MATCH(Scenarios_definition!C110,Data_base_case!$D$8:$D$118,0),MATCH(Scenarios_definition!D110&amp;Scenarios_definition!G110,Data_base_case!$D$7:$FS$7,0))</f>
        <v>8.8827433387272267E-2</v>
      </c>
    </row>
    <row r="111" spans="1:8" x14ac:dyDescent="0.3">
      <c r="A111" s="13"/>
      <c r="B111" s="71" t="s">
        <v>481</v>
      </c>
      <c r="C111" s="2" t="s">
        <v>54</v>
      </c>
      <c r="D111" s="1" t="s">
        <v>86</v>
      </c>
      <c r="E111" s="11" t="s">
        <v>133</v>
      </c>
      <c r="F111" s="32">
        <v>9.3050575311267605E-2</v>
      </c>
      <c r="G111" s="69" t="s">
        <v>324</v>
      </c>
      <c r="H111" s="1">
        <f>INDEX(Data_base_case!$D$8:$FS$118,MATCH(Scenarios_definition!C111,Data_base_case!$D$8:$D$118,0),MATCH(Scenarios_definition!D111&amp;Scenarios_definition!G111,Data_base_case!$D$7:$FS$7,0))</f>
        <v>8.8827433387272267E-2</v>
      </c>
    </row>
    <row r="112" spans="1:8" x14ac:dyDescent="0.3">
      <c r="A112" s="13"/>
      <c r="B112" s="71" t="s">
        <v>481</v>
      </c>
      <c r="C112" s="2" t="s">
        <v>56</v>
      </c>
      <c r="D112" s="1" t="s">
        <v>86</v>
      </c>
      <c r="E112" s="11" t="s">
        <v>133</v>
      </c>
      <c r="F112" s="32">
        <v>9.3050575311267605E-2</v>
      </c>
      <c r="G112" s="69" t="s">
        <v>324</v>
      </c>
      <c r="H112" s="1">
        <f>INDEX(Data_base_case!$D$8:$FS$118,MATCH(Scenarios_definition!C112,Data_base_case!$D$8:$D$118,0),MATCH(Scenarios_definition!D112&amp;Scenarios_definition!G112,Data_base_case!$D$7:$FS$7,0))</f>
        <v>8.8827433387272267E-2</v>
      </c>
    </row>
    <row r="113" spans="1:8" x14ac:dyDescent="0.3">
      <c r="A113" s="13"/>
      <c r="B113" s="71" t="s">
        <v>481</v>
      </c>
      <c r="C113" s="2" t="s">
        <v>58</v>
      </c>
      <c r="D113" s="1" t="s">
        <v>86</v>
      </c>
      <c r="E113" s="11" t="s">
        <v>133</v>
      </c>
      <c r="F113" s="32">
        <v>9.3050575311267605E-2</v>
      </c>
      <c r="G113" s="69" t="s">
        <v>324</v>
      </c>
      <c r="H113" s="1">
        <f>INDEX(Data_base_case!$D$8:$FS$118,MATCH(Scenarios_definition!C113,Data_base_case!$D$8:$D$118,0),MATCH(Scenarios_definition!D113&amp;Scenarios_definition!G113,Data_base_case!$D$7:$FS$7,0))</f>
        <v>8.8827433387272267E-2</v>
      </c>
    </row>
    <row r="114" spans="1:8" x14ac:dyDescent="0.3">
      <c r="A114" s="13"/>
      <c r="B114" s="71" t="s">
        <v>481</v>
      </c>
      <c r="C114" s="2" t="s">
        <v>60</v>
      </c>
      <c r="D114" s="1" t="s">
        <v>86</v>
      </c>
      <c r="E114" s="11" t="s">
        <v>133</v>
      </c>
      <c r="F114" s="32">
        <v>9.3050575311267605E-2</v>
      </c>
      <c r="G114" s="69" t="s">
        <v>324</v>
      </c>
      <c r="H114" s="1">
        <f>INDEX(Data_base_case!$D$8:$FS$118,MATCH(Scenarios_definition!C114,Data_base_case!$D$8:$D$118,0),MATCH(Scenarios_definition!D114&amp;Scenarios_definition!G114,Data_base_case!$D$7:$FS$7,0))</f>
        <v>8.8827433387272267E-2</v>
      </c>
    </row>
    <row r="115" spans="1:8" x14ac:dyDescent="0.3">
      <c r="A115" s="13"/>
      <c r="B115" s="71" t="s">
        <v>481</v>
      </c>
      <c r="C115" s="2" t="s">
        <v>62</v>
      </c>
      <c r="D115" s="1" t="s">
        <v>86</v>
      </c>
      <c r="E115" s="11" t="s">
        <v>133</v>
      </c>
      <c r="F115" s="32">
        <v>9.3050575311267605E-2</v>
      </c>
      <c r="G115" s="69" t="s">
        <v>324</v>
      </c>
      <c r="H115" s="1">
        <f>INDEX(Data_base_case!$D$8:$FS$118,MATCH(Scenarios_definition!C115,Data_base_case!$D$8:$D$118,0),MATCH(Scenarios_definition!D115&amp;Scenarios_definition!G115,Data_base_case!$D$7:$FS$7,0))</f>
        <v>8.8827433387272267E-2</v>
      </c>
    </row>
    <row r="116" spans="1:8" x14ac:dyDescent="0.3">
      <c r="A116" s="13"/>
      <c r="B116" s="71" t="s">
        <v>481</v>
      </c>
      <c r="C116" s="2" t="s">
        <v>64</v>
      </c>
      <c r="D116" s="1" t="s">
        <v>86</v>
      </c>
      <c r="E116" s="11" t="s">
        <v>133</v>
      </c>
      <c r="F116" s="32">
        <v>9.3050575311267605E-2</v>
      </c>
      <c r="G116" s="69" t="s">
        <v>324</v>
      </c>
      <c r="H116" s="1">
        <f>INDEX(Data_base_case!$D$8:$FS$118,MATCH(Scenarios_definition!C116,Data_base_case!$D$8:$D$118,0),MATCH(Scenarios_definition!D116&amp;Scenarios_definition!G116,Data_base_case!$D$7:$FS$7,0))</f>
        <v>8.8827433387272267E-2</v>
      </c>
    </row>
    <row r="117" spans="1:8" x14ac:dyDescent="0.3">
      <c r="A117" s="13"/>
      <c r="B117" s="71" t="s">
        <v>481</v>
      </c>
      <c r="C117" s="2" t="s">
        <v>66</v>
      </c>
      <c r="D117" s="1" t="s">
        <v>86</v>
      </c>
      <c r="E117" s="11" t="s">
        <v>133</v>
      </c>
      <c r="F117" s="32">
        <v>9.3050575311267605E-2</v>
      </c>
      <c r="G117" s="69" t="s">
        <v>324</v>
      </c>
      <c r="H117" s="1">
        <f>INDEX(Data_base_case!$D$8:$FS$118,MATCH(Scenarios_definition!C117,Data_base_case!$D$8:$D$118,0),MATCH(Scenarios_definition!D117&amp;Scenarios_definition!G117,Data_base_case!$D$7:$FS$7,0))</f>
        <v>8.8827433387272267E-2</v>
      </c>
    </row>
    <row r="118" spans="1:8" x14ac:dyDescent="0.3">
      <c r="A118" s="13"/>
      <c r="B118" s="71" t="s">
        <v>481</v>
      </c>
      <c r="C118" s="2" t="s">
        <v>68</v>
      </c>
      <c r="D118" s="1" t="s">
        <v>86</v>
      </c>
      <c r="E118" s="11" t="s">
        <v>133</v>
      </c>
      <c r="F118" s="32">
        <v>9.3050575311267605E-2</v>
      </c>
      <c r="G118" s="69" t="s">
        <v>324</v>
      </c>
      <c r="H118" s="1">
        <f>INDEX(Data_base_case!$D$8:$FS$118,MATCH(Scenarios_definition!C118,Data_base_case!$D$8:$D$118,0),MATCH(Scenarios_definition!D118&amp;Scenarios_definition!G118,Data_base_case!$D$7:$FS$7,0))</f>
        <v>8.8827433387272267E-2</v>
      </c>
    </row>
    <row r="119" spans="1:8" x14ac:dyDescent="0.3">
      <c r="A119" s="13"/>
      <c r="B119" s="71" t="s">
        <v>481</v>
      </c>
      <c r="C119" s="2" t="s">
        <v>70</v>
      </c>
      <c r="D119" s="1" t="s">
        <v>86</v>
      </c>
      <c r="E119" s="11" t="s">
        <v>133</v>
      </c>
      <c r="F119" s="32">
        <v>9.3050575311267605E-2</v>
      </c>
      <c r="G119" s="69" t="s">
        <v>324</v>
      </c>
      <c r="H119" s="1">
        <f>INDEX(Data_base_case!$D$8:$FS$118,MATCH(Scenarios_definition!C119,Data_base_case!$D$8:$D$118,0),MATCH(Scenarios_definition!D119&amp;Scenarios_definition!G119,Data_base_case!$D$7:$FS$7,0))</f>
        <v>8.8827433387272267E-2</v>
      </c>
    </row>
    <row r="120" spans="1:8" x14ac:dyDescent="0.3">
      <c r="A120" s="13"/>
      <c r="B120" s="71" t="s">
        <v>481</v>
      </c>
      <c r="C120" s="2" t="s">
        <v>72</v>
      </c>
      <c r="D120" s="1" t="s">
        <v>86</v>
      </c>
      <c r="E120" s="11" t="s">
        <v>133</v>
      </c>
      <c r="F120" s="32">
        <v>9.3050575311267605E-2</v>
      </c>
      <c r="G120" s="69" t="s">
        <v>324</v>
      </c>
      <c r="H120" s="1">
        <f>INDEX(Data_base_case!$D$8:$FS$118,MATCH(Scenarios_definition!C120,Data_base_case!$D$8:$D$118,0),MATCH(Scenarios_definition!D120&amp;Scenarios_definition!G120,Data_base_case!$D$7:$FS$7,0))</f>
        <v>8.8827433387272267E-2</v>
      </c>
    </row>
    <row r="121" spans="1:8" x14ac:dyDescent="0.3">
      <c r="A121" s="13"/>
      <c r="B121" s="71" t="s">
        <v>481</v>
      </c>
      <c r="C121" s="2" t="s">
        <v>165</v>
      </c>
      <c r="D121" s="1" t="s">
        <v>86</v>
      </c>
      <c r="E121" s="11" t="s">
        <v>133</v>
      </c>
      <c r="F121" s="32">
        <v>9.3050575311267605E-2</v>
      </c>
      <c r="G121" s="69" t="s">
        <v>324</v>
      </c>
      <c r="H121" s="1">
        <f>INDEX(Data_base_case!$D$8:$FS$118,MATCH(Scenarios_definition!C121,Data_base_case!$D$8:$D$118,0),MATCH(Scenarios_definition!D121&amp;Scenarios_definition!G121,Data_base_case!$D$7:$FS$7,0))</f>
        <v>8.8827433387272267E-2</v>
      </c>
    </row>
    <row r="122" spans="1:8" x14ac:dyDescent="0.3">
      <c r="A122" s="13" t="s">
        <v>445</v>
      </c>
      <c r="B122" s="71" t="s">
        <v>482</v>
      </c>
      <c r="C122" s="2" t="s">
        <v>95</v>
      </c>
      <c r="D122" s="1" t="s">
        <v>86</v>
      </c>
      <c r="E122" s="11" t="s">
        <v>133</v>
      </c>
      <c r="F122" s="32">
        <v>9.3050575311267605E-2</v>
      </c>
      <c r="G122" s="69" t="s">
        <v>324</v>
      </c>
      <c r="H122" s="1">
        <f>INDEX(Data_base_case!$D$8:$FS$118,MATCH(Scenarios_definition!C122,Data_base_case!$D$8:$D$118,0),MATCH(Scenarios_definition!D122&amp;Scenarios_definition!G122,Data_base_case!$D$7:$FS$7,0))</f>
        <v>8.8495575221238937E-2</v>
      </c>
    </row>
    <row r="123" spans="1:8" x14ac:dyDescent="0.3">
      <c r="A123" s="13"/>
      <c r="B123" s="71" t="s">
        <v>482</v>
      </c>
      <c r="C123" s="2" t="s">
        <v>232</v>
      </c>
      <c r="D123" s="1" t="s">
        <v>86</v>
      </c>
      <c r="E123" s="11" t="s">
        <v>133</v>
      </c>
      <c r="F123" s="32">
        <v>9.3050575311267605E-2</v>
      </c>
      <c r="G123" s="69" t="s">
        <v>324</v>
      </c>
      <c r="H123" s="1">
        <f>INDEX(Data_base_case!$D$8:$FS$118,MATCH(Scenarios_definition!C123,Data_base_case!$D$8:$D$118,0),MATCH(Scenarios_definition!D123&amp;Scenarios_definition!G123,Data_base_case!$D$7:$FS$7,0))</f>
        <v>8.8495575221238937E-2</v>
      </c>
    </row>
    <row r="124" spans="1:8" x14ac:dyDescent="0.3">
      <c r="A124" s="13"/>
      <c r="B124" s="71" t="s">
        <v>482</v>
      </c>
      <c r="C124" s="2" t="s">
        <v>242</v>
      </c>
      <c r="D124" s="1" t="s">
        <v>86</v>
      </c>
      <c r="E124" s="11" t="s">
        <v>133</v>
      </c>
      <c r="F124" s="32">
        <v>9.3050575311267605E-2</v>
      </c>
      <c r="G124" s="69" t="s">
        <v>324</v>
      </c>
      <c r="H124" s="1">
        <f>INDEX(Data_base_case!$D$8:$FS$118,MATCH(Scenarios_definition!C124,Data_base_case!$D$8:$D$118,0),MATCH(Scenarios_definition!D124&amp;Scenarios_definition!G124,Data_base_case!$D$7:$FS$7,0))</f>
        <v>8.8495575221238937E-2</v>
      </c>
    </row>
    <row r="125" spans="1:8" x14ac:dyDescent="0.3">
      <c r="A125" s="13"/>
      <c r="B125" s="71" t="s">
        <v>482</v>
      </c>
      <c r="C125" s="2" t="s">
        <v>241</v>
      </c>
      <c r="D125" s="1" t="s">
        <v>86</v>
      </c>
      <c r="E125" s="11" t="s">
        <v>133</v>
      </c>
      <c r="F125" s="32">
        <v>9.3050575311267605E-2</v>
      </c>
      <c r="G125" s="69" t="s">
        <v>324</v>
      </c>
      <c r="H125" s="1">
        <f>INDEX(Data_base_case!$D$8:$FS$118,MATCH(Scenarios_definition!C125,Data_base_case!$D$8:$D$118,0),MATCH(Scenarios_definition!D125&amp;Scenarios_definition!G125,Data_base_case!$D$7:$FS$7,0))</f>
        <v>8.8495575221238937E-2</v>
      </c>
    </row>
    <row r="126" spans="1:8" x14ac:dyDescent="0.3">
      <c r="A126" s="13"/>
      <c r="B126" s="71" t="s">
        <v>482</v>
      </c>
      <c r="C126" s="2" t="s">
        <v>243</v>
      </c>
      <c r="D126" s="1" t="s">
        <v>86</v>
      </c>
      <c r="E126" s="11" t="s">
        <v>133</v>
      </c>
      <c r="F126" s="32">
        <v>9.3050575311267605E-2</v>
      </c>
      <c r="G126" s="69" t="s">
        <v>324</v>
      </c>
      <c r="H126" s="1">
        <f>INDEX(Data_base_case!$D$8:$FS$118,MATCH(Scenarios_definition!C126,Data_base_case!$D$8:$D$118,0),MATCH(Scenarios_definition!D126&amp;Scenarios_definition!G126,Data_base_case!$D$7:$FS$7,0))</f>
        <v>8.8495575221238937E-2</v>
      </c>
    </row>
    <row r="127" spans="1:8" x14ac:dyDescent="0.3">
      <c r="A127" s="13"/>
      <c r="B127" s="71" t="s">
        <v>482</v>
      </c>
      <c r="C127" s="2" t="s">
        <v>244</v>
      </c>
      <c r="D127" s="1" t="s">
        <v>86</v>
      </c>
      <c r="E127" s="11" t="s">
        <v>133</v>
      </c>
      <c r="F127" s="32">
        <v>9.3050575311267605E-2</v>
      </c>
      <c r="G127" s="69" t="s">
        <v>324</v>
      </c>
      <c r="H127" s="1">
        <f>INDEX(Data_base_case!$D$8:$FS$118,MATCH(Scenarios_definition!C127,Data_base_case!$D$8:$D$118,0),MATCH(Scenarios_definition!D127&amp;Scenarios_definition!G127,Data_base_case!$D$7:$FS$7,0))</f>
        <v>8.8495575221238937E-2</v>
      </c>
    </row>
    <row r="128" spans="1:8" x14ac:dyDescent="0.3">
      <c r="A128" s="13"/>
      <c r="B128" s="71" t="s">
        <v>482</v>
      </c>
      <c r="C128" s="6" t="s">
        <v>47</v>
      </c>
      <c r="D128" s="1" t="s">
        <v>86</v>
      </c>
      <c r="E128" s="11" t="s">
        <v>133</v>
      </c>
      <c r="F128" s="32">
        <v>9.3050575311267605E-2</v>
      </c>
      <c r="G128" s="69" t="s">
        <v>324</v>
      </c>
      <c r="H128" s="1">
        <f>INDEX(Data_base_case!$D$8:$FS$118,MATCH(Scenarios_definition!C128,Data_base_case!$D$8:$D$118,0),MATCH(Scenarios_definition!D128&amp;Scenarios_definition!G128,Data_base_case!$D$7:$FS$7,0))</f>
        <v>8.3860161500585326E-2</v>
      </c>
    </row>
    <row r="129" spans="1:8" x14ac:dyDescent="0.3">
      <c r="A129" s="13"/>
      <c r="B129" s="71" t="s">
        <v>482</v>
      </c>
      <c r="C129" s="6" t="s">
        <v>49</v>
      </c>
      <c r="D129" s="1" t="s">
        <v>86</v>
      </c>
      <c r="E129" s="11" t="s">
        <v>133</v>
      </c>
      <c r="F129" s="32">
        <v>9.3050575311267605E-2</v>
      </c>
      <c r="G129" s="69" t="s">
        <v>324</v>
      </c>
      <c r="H129" s="1">
        <f>INDEX(Data_base_case!$D$8:$FS$118,MATCH(Scenarios_definition!C129,Data_base_case!$D$8:$D$118,0),MATCH(Scenarios_definition!D129&amp;Scenarios_definition!G129,Data_base_case!$D$7:$FS$7,0))</f>
        <v>8.3860161500585326E-2</v>
      </c>
    </row>
    <row r="130" spans="1:8" x14ac:dyDescent="0.3">
      <c r="A130" s="13"/>
      <c r="B130" s="71" t="s">
        <v>482</v>
      </c>
      <c r="C130" s="2" t="s">
        <v>164</v>
      </c>
      <c r="D130" s="1" t="s">
        <v>86</v>
      </c>
      <c r="E130" s="11" t="s">
        <v>133</v>
      </c>
      <c r="F130" s="32">
        <v>9.3050575311267605E-2</v>
      </c>
      <c r="G130" s="69" t="s">
        <v>324</v>
      </c>
      <c r="H130" s="1">
        <f>INDEX(Data_base_case!$D$8:$FS$118,MATCH(Scenarios_definition!C130,Data_base_case!$D$8:$D$118,0),MATCH(Scenarios_definition!D130&amp;Scenarios_definition!G130,Data_base_case!$D$7:$FS$7,0))</f>
        <v>8.8827433387272267E-2</v>
      </c>
    </row>
    <row r="131" spans="1:8" x14ac:dyDescent="0.3">
      <c r="A131" s="13"/>
      <c r="B131" s="71" t="s">
        <v>482</v>
      </c>
      <c r="C131" s="2" t="s">
        <v>54</v>
      </c>
      <c r="D131" s="1" t="s">
        <v>86</v>
      </c>
      <c r="E131" s="11" t="s">
        <v>133</v>
      </c>
      <c r="F131" s="32">
        <v>9.3050575311267605E-2</v>
      </c>
      <c r="G131" s="69" t="s">
        <v>324</v>
      </c>
      <c r="H131" s="1">
        <f>INDEX(Data_base_case!$D$8:$FS$118,MATCH(Scenarios_definition!C131,Data_base_case!$D$8:$D$118,0),MATCH(Scenarios_definition!D131&amp;Scenarios_definition!G131,Data_base_case!$D$7:$FS$7,0))</f>
        <v>8.8827433387272267E-2</v>
      </c>
    </row>
    <row r="132" spans="1:8" x14ac:dyDescent="0.3">
      <c r="A132" s="13"/>
      <c r="B132" s="71" t="s">
        <v>482</v>
      </c>
      <c r="C132" s="2" t="s">
        <v>56</v>
      </c>
      <c r="D132" s="1" t="s">
        <v>86</v>
      </c>
      <c r="E132" s="11" t="s">
        <v>133</v>
      </c>
      <c r="F132" s="32">
        <v>9.3050575311267605E-2</v>
      </c>
      <c r="G132" s="69" t="s">
        <v>324</v>
      </c>
      <c r="H132" s="1">
        <f>INDEX(Data_base_case!$D$8:$FS$118,MATCH(Scenarios_definition!C132,Data_base_case!$D$8:$D$118,0),MATCH(Scenarios_definition!D132&amp;Scenarios_definition!G132,Data_base_case!$D$7:$FS$7,0))</f>
        <v>8.8827433387272267E-2</v>
      </c>
    </row>
    <row r="133" spans="1:8" x14ac:dyDescent="0.3">
      <c r="A133" s="13"/>
      <c r="B133" s="71" t="s">
        <v>482</v>
      </c>
      <c r="C133" s="2" t="s">
        <v>58</v>
      </c>
      <c r="D133" s="1" t="s">
        <v>86</v>
      </c>
      <c r="E133" s="11" t="s">
        <v>133</v>
      </c>
      <c r="F133" s="32">
        <v>9.3050575311267605E-2</v>
      </c>
      <c r="G133" s="69" t="s">
        <v>324</v>
      </c>
      <c r="H133" s="1">
        <f>INDEX(Data_base_case!$D$8:$FS$118,MATCH(Scenarios_definition!C133,Data_base_case!$D$8:$D$118,0),MATCH(Scenarios_definition!D133&amp;Scenarios_definition!G133,Data_base_case!$D$7:$FS$7,0))</f>
        <v>8.8827433387272267E-2</v>
      </c>
    </row>
    <row r="134" spans="1:8" x14ac:dyDescent="0.3">
      <c r="A134" s="13"/>
      <c r="B134" s="71" t="s">
        <v>482</v>
      </c>
      <c r="C134" s="2" t="s">
        <v>60</v>
      </c>
      <c r="D134" s="1" t="s">
        <v>86</v>
      </c>
      <c r="E134" s="11" t="s">
        <v>133</v>
      </c>
      <c r="F134" s="32">
        <v>9.3050575311267605E-2</v>
      </c>
      <c r="G134" s="69" t="s">
        <v>324</v>
      </c>
      <c r="H134" s="1">
        <f>INDEX(Data_base_case!$D$8:$FS$118,MATCH(Scenarios_definition!C134,Data_base_case!$D$8:$D$118,0),MATCH(Scenarios_definition!D134&amp;Scenarios_definition!G134,Data_base_case!$D$7:$FS$7,0))</f>
        <v>8.8827433387272267E-2</v>
      </c>
    </row>
    <row r="135" spans="1:8" x14ac:dyDescent="0.3">
      <c r="A135" s="13"/>
      <c r="B135" s="71" t="s">
        <v>482</v>
      </c>
      <c r="C135" s="2" t="s">
        <v>62</v>
      </c>
      <c r="D135" s="1" t="s">
        <v>86</v>
      </c>
      <c r="E135" s="11" t="s">
        <v>133</v>
      </c>
      <c r="F135" s="32">
        <v>9.3050575311267605E-2</v>
      </c>
      <c r="G135" s="69" t="s">
        <v>324</v>
      </c>
      <c r="H135" s="1">
        <f>INDEX(Data_base_case!$D$8:$FS$118,MATCH(Scenarios_definition!C135,Data_base_case!$D$8:$D$118,0),MATCH(Scenarios_definition!D135&amp;Scenarios_definition!G135,Data_base_case!$D$7:$FS$7,0))</f>
        <v>8.8827433387272267E-2</v>
      </c>
    </row>
    <row r="136" spans="1:8" x14ac:dyDescent="0.3">
      <c r="A136" s="13"/>
      <c r="B136" s="71" t="s">
        <v>482</v>
      </c>
      <c r="C136" s="2" t="s">
        <v>64</v>
      </c>
      <c r="D136" s="1" t="s">
        <v>86</v>
      </c>
      <c r="E136" s="11" t="s">
        <v>133</v>
      </c>
      <c r="F136" s="32">
        <v>9.3050575311267605E-2</v>
      </c>
      <c r="G136" s="69" t="s">
        <v>324</v>
      </c>
      <c r="H136" s="1">
        <f>INDEX(Data_base_case!$D$8:$FS$118,MATCH(Scenarios_definition!C136,Data_base_case!$D$8:$D$118,0),MATCH(Scenarios_definition!D136&amp;Scenarios_definition!G136,Data_base_case!$D$7:$FS$7,0))</f>
        <v>8.8827433387272267E-2</v>
      </c>
    </row>
    <row r="137" spans="1:8" x14ac:dyDescent="0.3">
      <c r="A137" s="13"/>
      <c r="B137" s="71" t="s">
        <v>482</v>
      </c>
      <c r="C137" s="2" t="s">
        <v>66</v>
      </c>
      <c r="D137" s="1" t="s">
        <v>86</v>
      </c>
      <c r="E137" s="11" t="s">
        <v>133</v>
      </c>
      <c r="F137" s="32">
        <v>9.3050575311267605E-2</v>
      </c>
      <c r="G137" s="69" t="s">
        <v>324</v>
      </c>
      <c r="H137" s="1">
        <f>INDEX(Data_base_case!$D$8:$FS$118,MATCH(Scenarios_definition!C137,Data_base_case!$D$8:$D$118,0),MATCH(Scenarios_definition!D137&amp;Scenarios_definition!G137,Data_base_case!$D$7:$FS$7,0))</f>
        <v>8.8827433387272267E-2</v>
      </c>
    </row>
    <row r="138" spans="1:8" x14ac:dyDescent="0.3">
      <c r="A138" s="13"/>
      <c r="B138" s="71" t="s">
        <v>482</v>
      </c>
      <c r="C138" s="2" t="s">
        <v>68</v>
      </c>
      <c r="D138" s="1" t="s">
        <v>86</v>
      </c>
      <c r="E138" s="11" t="s">
        <v>133</v>
      </c>
      <c r="F138" s="32">
        <v>9.3050575311267605E-2</v>
      </c>
      <c r="G138" s="69" t="s">
        <v>324</v>
      </c>
      <c r="H138" s="1">
        <f>INDEX(Data_base_case!$D$8:$FS$118,MATCH(Scenarios_definition!C138,Data_base_case!$D$8:$D$118,0),MATCH(Scenarios_definition!D138&amp;Scenarios_definition!G138,Data_base_case!$D$7:$FS$7,0))</f>
        <v>8.8827433387272267E-2</v>
      </c>
    </row>
    <row r="139" spans="1:8" x14ac:dyDescent="0.3">
      <c r="A139" s="13"/>
      <c r="B139" s="71" t="s">
        <v>482</v>
      </c>
      <c r="C139" s="2" t="s">
        <v>70</v>
      </c>
      <c r="D139" s="1" t="s">
        <v>86</v>
      </c>
      <c r="E139" s="11" t="s">
        <v>133</v>
      </c>
      <c r="F139" s="32">
        <v>9.3050575311267605E-2</v>
      </c>
      <c r="G139" s="69" t="s">
        <v>324</v>
      </c>
      <c r="H139" s="1">
        <f>INDEX(Data_base_case!$D$8:$FS$118,MATCH(Scenarios_definition!C139,Data_base_case!$D$8:$D$118,0),MATCH(Scenarios_definition!D139&amp;Scenarios_definition!G139,Data_base_case!$D$7:$FS$7,0))</f>
        <v>8.8827433387272267E-2</v>
      </c>
    </row>
    <row r="140" spans="1:8" x14ac:dyDescent="0.3">
      <c r="A140" s="13"/>
      <c r="B140" s="71" t="s">
        <v>482</v>
      </c>
      <c r="C140" s="2" t="s">
        <v>72</v>
      </c>
      <c r="D140" s="1" t="s">
        <v>86</v>
      </c>
      <c r="E140" s="11" t="s">
        <v>133</v>
      </c>
      <c r="F140" s="32">
        <v>9.3050575311267605E-2</v>
      </c>
      <c r="G140" s="69" t="s">
        <v>324</v>
      </c>
      <c r="H140" s="1">
        <f>INDEX(Data_base_case!$D$8:$FS$118,MATCH(Scenarios_definition!C140,Data_base_case!$D$8:$D$118,0),MATCH(Scenarios_definition!D140&amp;Scenarios_definition!G140,Data_base_case!$D$7:$FS$7,0))</f>
        <v>8.8827433387272267E-2</v>
      </c>
    </row>
    <row r="141" spans="1:8" x14ac:dyDescent="0.3">
      <c r="A141" s="13"/>
      <c r="B141" s="71" t="s">
        <v>482</v>
      </c>
      <c r="C141" s="2" t="s">
        <v>165</v>
      </c>
      <c r="D141" s="1" t="s">
        <v>86</v>
      </c>
      <c r="E141" s="11" t="s">
        <v>133</v>
      </c>
      <c r="F141" s="32">
        <v>9.3050575311267605E-2</v>
      </c>
      <c r="G141" s="69" t="s">
        <v>324</v>
      </c>
      <c r="H141" s="1">
        <f>INDEX(Data_base_case!$D$8:$FS$118,MATCH(Scenarios_definition!C141,Data_base_case!$D$8:$D$118,0),MATCH(Scenarios_definition!D141&amp;Scenarios_definition!G141,Data_base_case!$D$7:$FS$7,0))</f>
        <v>8.8827433387272267E-2</v>
      </c>
    </row>
    <row r="142" spans="1:8" x14ac:dyDescent="0.3">
      <c r="A142" s="13" t="s">
        <v>444</v>
      </c>
      <c r="B142" s="71" t="s">
        <v>483</v>
      </c>
      <c r="C142" s="2" t="s">
        <v>94</v>
      </c>
      <c r="D142" s="1" t="s">
        <v>86</v>
      </c>
      <c r="E142" s="11" t="s">
        <v>133</v>
      </c>
      <c r="F142" s="95">
        <f>H142</f>
        <v>8.8495575221238937E-2</v>
      </c>
      <c r="G142" s="69" t="s">
        <v>324</v>
      </c>
      <c r="H142" s="1">
        <f>INDEX(Data_base_case!$D$8:$FS$118,MATCH(Scenarios_definition!C142,Data_base_case!$D$8:$D$118,0),MATCH(Scenarios_definition!D142&amp;Scenarios_definition!G142,Data_base_case!$D$7:$FS$7,0))</f>
        <v>8.8495575221238937E-2</v>
      </c>
    </row>
    <row r="143" spans="1:8" x14ac:dyDescent="0.3">
      <c r="A143" s="13"/>
      <c r="B143" s="71" t="s">
        <v>483</v>
      </c>
      <c r="C143" s="2" t="s">
        <v>232</v>
      </c>
      <c r="D143" s="1" t="s">
        <v>86</v>
      </c>
      <c r="E143" s="11" t="s">
        <v>133</v>
      </c>
      <c r="F143" s="95">
        <f t="shared" ref="F143:F201" si="2">H143</f>
        <v>8.8495575221238937E-2</v>
      </c>
      <c r="G143" s="69" t="s">
        <v>324</v>
      </c>
      <c r="H143" s="1">
        <f>INDEX(Data_base_case!$D$8:$FS$118,MATCH(Scenarios_definition!C143,Data_base_case!$D$8:$D$118,0),MATCH(Scenarios_definition!D143&amp;Scenarios_definition!G143,Data_base_case!$D$7:$FS$7,0))</f>
        <v>8.8495575221238937E-2</v>
      </c>
    </row>
    <row r="144" spans="1:8" x14ac:dyDescent="0.3">
      <c r="A144" s="13"/>
      <c r="B144" s="71" t="s">
        <v>483</v>
      </c>
      <c r="C144" s="2" t="s">
        <v>242</v>
      </c>
      <c r="D144" s="1" t="s">
        <v>86</v>
      </c>
      <c r="E144" s="11" t="s">
        <v>133</v>
      </c>
      <c r="F144" s="95">
        <f t="shared" si="2"/>
        <v>8.8495575221238937E-2</v>
      </c>
      <c r="G144" s="69" t="s">
        <v>324</v>
      </c>
      <c r="H144" s="1">
        <f>INDEX(Data_base_case!$D$8:$FS$118,MATCH(Scenarios_definition!C144,Data_base_case!$D$8:$D$118,0),MATCH(Scenarios_definition!D144&amp;Scenarios_definition!G144,Data_base_case!$D$7:$FS$7,0))</f>
        <v>8.8495575221238937E-2</v>
      </c>
    </row>
    <row r="145" spans="1:8" x14ac:dyDescent="0.3">
      <c r="A145" s="13"/>
      <c r="B145" s="71" t="s">
        <v>483</v>
      </c>
      <c r="C145" s="2" t="s">
        <v>241</v>
      </c>
      <c r="D145" s="1" t="s">
        <v>86</v>
      </c>
      <c r="E145" s="11" t="s">
        <v>133</v>
      </c>
      <c r="F145" s="95">
        <f t="shared" si="2"/>
        <v>8.8495575221238937E-2</v>
      </c>
      <c r="G145" s="69" t="s">
        <v>324</v>
      </c>
      <c r="H145" s="1">
        <f>INDEX(Data_base_case!$D$8:$FS$118,MATCH(Scenarios_definition!C145,Data_base_case!$D$8:$D$118,0),MATCH(Scenarios_definition!D145&amp;Scenarios_definition!G145,Data_base_case!$D$7:$FS$7,0))</f>
        <v>8.8495575221238937E-2</v>
      </c>
    </row>
    <row r="146" spans="1:8" x14ac:dyDescent="0.3">
      <c r="A146" s="13"/>
      <c r="B146" s="71" t="s">
        <v>483</v>
      </c>
      <c r="C146" s="2" t="s">
        <v>243</v>
      </c>
      <c r="D146" s="1" t="s">
        <v>86</v>
      </c>
      <c r="E146" s="11" t="s">
        <v>133</v>
      </c>
      <c r="F146" s="95">
        <f t="shared" si="2"/>
        <v>8.8495575221238937E-2</v>
      </c>
      <c r="G146" s="69" t="s">
        <v>324</v>
      </c>
      <c r="H146" s="1">
        <f>INDEX(Data_base_case!$D$8:$FS$118,MATCH(Scenarios_definition!C146,Data_base_case!$D$8:$D$118,0),MATCH(Scenarios_definition!D146&amp;Scenarios_definition!G146,Data_base_case!$D$7:$FS$7,0))</f>
        <v>8.8495575221238937E-2</v>
      </c>
    </row>
    <row r="147" spans="1:8" x14ac:dyDescent="0.3">
      <c r="A147" s="13"/>
      <c r="B147" s="71" t="s">
        <v>483</v>
      </c>
      <c r="C147" s="2" t="s">
        <v>244</v>
      </c>
      <c r="D147" s="1" t="s">
        <v>86</v>
      </c>
      <c r="E147" s="11" t="s">
        <v>133</v>
      </c>
      <c r="F147" s="95">
        <f t="shared" si="2"/>
        <v>8.8495575221238937E-2</v>
      </c>
      <c r="G147" s="69" t="s">
        <v>324</v>
      </c>
      <c r="H147" s="1">
        <f>INDEX(Data_base_case!$D$8:$FS$118,MATCH(Scenarios_definition!C147,Data_base_case!$D$8:$D$118,0),MATCH(Scenarios_definition!D147&amp;Scenarios_definition!G147,Data_base_case!$D$7:$FS$7,0))</f>
        <v>8.8495575221238937E-2</v>
      </c>
    </row>
    <row r="148" spans="1:8" x14ac:dyDescent="0.3">
      <c r="A148" s="13"/>
      <c r="B148" s="71" t="s">
        <v>483</v>
      </c>
      <c r="C148" s="6" t="s">
        <v>47</v>
      </c>
      <c r="D148" s="1" t="s">
        <v>86</v>
      </c>
      <c r="E148" s="11" t="s">
        <v>133</v>
      </c>
      <c r="F148" s="95">
        <f t="shared" si="2"/>
        <v>8.3860161500585326E-2</v>
      </c>
      <c r="G148" s="69" t="s">
        <v>324</v>
      </c>
      <c r="H148" s="1">
        <f>INDEX(Data_base_case!$D$8:$FS$118,MATCH(Scenarios_definition!C148,Data_base_case!$D$8:$D$118,0),MATCH(Scenarios_definition!D148&amp;Scenarios_definition!G148,Data_base_case!$D$7:$FS$7,0))</f>
        <v>8.3860161500585326E-2</v>
      </c>
    </row>
    <row r="149" spans="1:8" x14ac:dyDescent="0.3">
      <c r="A149" s="13"/>
      <c r="B149" s="71" t="s">
        <v>483</v>
      </c>
      <c r="C149" s="6" t="s">
        <v>49</v>
      </c>
      <c r="D149" s="1" t="s">
        <v>86</v>
      </c>
      <c r="E149" s="11" t="s">
        <v>133</v>
      </c>
      <c r="F149" s="95">
        <f t="shared" si="2"/>
        <v>8.3860161500585326E-2</v>
      </c>
      <c r="G149" s="69" t="s">
        <v>324</v>
      </c>
      <c r="H149" s="1">
        <f>INDEX(Data_base_case!$D$8:$FS$118,MATCH(Scenarios_definition!C149,Data_base_case!$D$8:$D$118,0),MATCH(Scenarios_definition!D149&amp;Scenarios_definition!G149,Data_base_case!$D$7:$FS$7,0))</f>
        <v>8.3860161500585326E-2</v>
      </c>
    </row>
    <row r="150" spans="1:8" x14ac:dyDescent="0.3">
      <c r="A150" s="13"/>
      <c r="B150" s="71" t="s">
        <v>483</v>
      </c>
      <c r="C150" s="2" t="s">
        <v>164</v>
      </c>
      <c r="D150" s="1" t="s">
        <v>86</v>
      </c>
      <c r="E150" s="11" t="s">
        <v>133</v>
      </c>
      <c r="F150" s="95">
        <f t="shared" si="2"/>
        <v>8.8827433387272267E-2</v>
      </c>
      <c r="G150" s="69" t="s">
        <v>324</v>
      </c>
      <c r="H150" s="1">
        <f>INDEX(Data_base_case!$D$8:$FS$118,MATCH(Scenarios_definition!C150,Data_base_case!$D$8:$D$118,0),MATCH(Scenarios_definition!D150&amp;Scenarios_definition!G150,Data_base_case!$D$7:$FS$7,0))</f>
        <v>8.8827433387272267E-2</v>
      </c>
    </row>
    <row r="151" spans="1:8" x14ac:dyDescent="0.3">
      <c r="A151" s="13"/>
      <c r="B151" s="71" t="s">
        <v>483</v>
      </c>
      <c r="C151" s="2" t="s">
        <v>54</v>
      </c>
      <c r="D151" s="1" t="s">
        <v>86</v>
      </c>
      <c r="E151" s="11" t="s">
        <v>133</v>
      </c>
      <c r="F151" s="95">
        <f t="shared" si="2"/>
        <v>8.8827433387272267E-2</v>
      </c>
      <c r="G151" s="69" t="s">
        <v>324</v>
      </c>
      <c r="H151" s="1">
        <f>INDEX(Data_base_case!$D$8:$FS$118,MATCH(Scenarios_definition!C151,Data_base_case!$D$8:$D$118,0),MATCH(Scenarios_definition!D151&amp;Scenarios_definition!G151,Data_base_case!$D$7:$FS$7,0))</f>
        <v>8.8827433387272267E-2</v>
      </c>
    </row>
    <row r="152" spans="1:8" x14ac:dyDescent="0.3">
      <c r="A152" s="13"/>
      <c r="B152" s="71" t="s">
        <v>483</v>
      </c>
      <c r="C152" s="2" t="s">
        <v>56</v>
      </c>
      <c r="D152" s="1" t="s">
        <v>86</v>
      </c>
      <c r="E152" s="11" t="s">
        <v>133</v>
      </c>
      <c r="F152" s="95">
        <f t="shared" si="2"/>
        <v>8.8827433387272267E-2</v>
      </c>
      <c r="G152" s="69" t="s">
        <v>324</v>
      </c>
      <c r="H152" s="1">
        <f>INDEX(Data_base_case!$D$8:$FS$118,MATCH(Scenarios_definition!C152,Data_base_case!$D$8:$D$118,0),MATCH(Scenarios_definition!D152&amp;Scenarios_definition!G152,Data_base_case!$D$7:$FS$7,0))</f>
        <v>8.8827433387272267E-2</v>
      </c>
    </row>
    <row r="153" spans="1:8" x14ac:dyDescent="0.3">
      <c r="A153" s="13"/>
      <c r="B153" s="71" t="s">
        <v>483</v>
      </c>
      <c r="C153" s="2" t="s">
        <v>58</v>
      </c>
      <c r="D153" s="1" t="s">
        <v>86</v>
      </c>
      <c r="E153" s="11" t="s">
        <v>133</v>
      </c>
      <c r="F153" s="95">
        <f t="shared" si="2"/>
        <v>8.8827433387272267E-2</v>
      </c>
      <c r="G153" s="69" t="s">
        <v>324</v>
      </c>
      <c r="H153" s="1">
        <f>INDEX(Data_base_case!$D$8:$FS$118,MATCH(Scenarios_definition!C153,Data_base_case!$D$8:$D$118,0),MATCH(Scenarios_definition!D153&amp;Scenarios_definition!G153,Data_base_case!$D$7:$FS$7,0))</f>
        <v>8.8827433387272267E-2</v>
      </c>
    </row>
    <row r="154" spans="1:8" x14ac:dyDescent="0.3">
      <c r="A154" s="13"/>
      <c r="B154" s="71" t="s">
        <v>483</v>
      </c>
      <c r="C154" s="2" t="s">
        <v>60</v>
      </c>
      <c r="D154" s="1" t="s">
        <v>86</v>
      </c>
      <c r="E154" s="11" t="s">
        <v>133</v>
      </c>
      <c r="F154" s="95">
        <f t="shared" si="2"/>
        <v>8.8827433387272267E-2</v>
      </c>
      <c r="G154" s="69" t="s">
        <v>324</v>
      </c>
      <c r="H154" s="1">
        <f>INDEX(Data_base_case!$D$8:$FS$118,MATCH(Scenarios_definition!C154,Data_base_case!$D$8:$D$118,0),MATCH(Scenarios_definition!D154&amp;Scenarios_definition!G154,Data_base_case!$D$7:$FS$7,0))</f>
        <v>8.8827433387272267E-2</v>
      </c>
    </row>
    <row r="155" spans="1:8" x14ac:dyDescent="0.3">
      <c r="A155" s="13"/>
      <c r="B155" s="71" t="s">
        <v>483</v>
      </c>
      <c r="C155" s="2" t="s">
        <v>62</v>
      </c>
      <c r="D155" s="1" t="s">
        <v>86</v>
      </c>
      <c r="E155" s="11" t="s">
        <v>133</v>
      </c>
      <c r="F155" s="95">
        <f t="shared" si="2"/>
        <v>8.8827433387272267E-2</v>
      </c>
      <c r="G155" s="69" t="s">
        <v>324</v>
      </c>
      <c r="H155" s="1">
        <f>INDEX(Data_base_case!$D$8:$FS$118,MATCH(Scenarios_definition!C155,Data_base_case!$D$8:$D$118,0),MATCH(Scenarios_definition!D155&amp;Scenarios_definition!G155,Data_base_case!$D$7:$FS$7,0))</f>
        <v>8.8827433387272267E-2</v>
      </c>
    </row>
    <row r="156" spans="1:8" x14ac:dyDescent="0.3">
      <c r="A156" s="13"/>
      <c r="B156" s="71" t="s">
        <v>483</v>
      </c>
      <c r="C156" s="2" t="s">
        <v>64</v>
      </c>
      <c r="D156" s="1" t="s">
        <v>86</v>
      </c>
      <c r="E156" s="11" t="s">
        <v>133</v>
      </c>
      <c r="F156" s="95">
        <f t="shared" si="2"/>
        <v>8.8827433387272267E-2</v>
      </c>
      <c r="G156" s="69" t="s">
        <v>324</v>
      </c>
      <c r="H156" s="1">
        <f>INDEX(Data_base_case!$D$8:$FS$118,MATCH(Scenarios_definition!C156,Data_base_case!$D$8:$D$118,0),MATCH(Scenarios_definition!D156&amp;Scenarios_definition!G156,Data_base_case!$D$7:$FS$7,0))</f>
        <v>8.8827433387272267E-2</v>
      </c>
    </row>
    <row r="157" spans="1:8" x14ac:dyDescent="0.3">
      <c r="A157" s="13"/>
      <c r="B157" s="71" t="s">
        <v>483</v>
      </c>
      <c r="C157" s="2" t="s">
        <v>66</v>
      </c>
      <c r="D157" s="1" t="s">
        <v>86</v>
      </c>
      <c r="E157" s="11" t="s">
        <v>133</v>
      </c>
      <c r="F157" s="95">
        <f t="shared" si="2"/>
        <v>8.8827433387272267E-2</v>
      </c>
      <c r="G157" s="69" t="s">
        <v>324</v>
      </c>
      <c r="H157" s="1">
        <f>INDEX(Data_base_case!$D$8:$FS$118,MATCH(Scenarios_definition!C157,Data_base_case!$D$8:$D$118,0),MATCH(Scenarios_definition!D157&amp;Scenarios_definition!G157,Data_base_case!$D$7:$FS$7,0))</f>
        <v>8.8827433387272267E-2</v>
      </c>
    </row>
    <row r="158" spans="1:8" x14ac:dyDescent="0.3">
      <c r="A158" s="13"/>
      <c r="B158" s="71" t="s">
        <v>483</v>
      </c>
      <c r="C158" s="2" t="s">
        <v>68</v>
      </c>
      <c r="D158" s="1" t="s">
        <v>86</v>
      </c>
      <c r="E158" s="11" t="s">
        <v>133</v>
      </c>
      <c r="F158" s="95">
        <f t="shared" si="2"/>
        <v>8.8827433387272267E-2</v>
      </c>
      <c r="G158" s="69" t="s">
        <v>324</v>
      </c>
      <c r="H158" s="1">
        <f>INDEX(Data_base_case!$D$8:$FS$118,MATCH(Scenarios_definition!C158,Data_base_case!$D$8:$D$118,0),MATCH(Scenarios_definition!D158&amp;Scenarios_definition!G158,Data_base_case!$D$7:$FS$7,0))</f>
        <v>8.8827433387272267E-2</v>
      </c>
    </row>
    <row r="159" spans="1:8" x14ac:dyDescent="0.3">
      <c r="A159" s="13"/>
      <c r="B159" s="71" t="s">
        <v>483</v>
      </c>
      <c r="C159" s="2" t="s">
        <v>70</v>
      </c>
      <c r="D159" s="1" t="s">
        <v>86</v>
      </c>
      <c r="E159" s="11" t="s">
        <v>133</v>
      </c>
      <c r="F159" s="95">
        <f t="shared" si="2"/>
        <v>8.8827433387272267E-2</v>
      </c>
      <c r="G159" s="69" t="s">
        <v>324</v>
      </c>
      <c r="H159" s="1">
        <f>INDEX(Data_base_case!$D$8:$FS$118,MATCH(Scenarios_definition!C159,Data_base_case!$D$8:$D$118,0),MATCH(Scenarios_definition!D159&amp;Scenarios_definition!G159,Data_base_case!$D$7:$FS$7,0))</f>
        <v>8.8827433387272267E-2</v>
      </c>
    </row>
    <row r="160" spans="1:8" x14ac:dyDescent="0.3">
      <c r="A160" s="13"/>
      <c r="B160" s="71" t="s">
        <v>483</v>
      </c>
      <c r="C160" s="2" t="s">
        <v>72</v>
      </c>
      <c r="D160" s="1" t="s">
        <v>86</v>
      </c>
      <c r="E160" s="11" t="s">
        <v>133</v>
      </c>
      <c r="F160" s="95">
        <f t="shared" si="2"/>
        <v>8.8827433387272267E-2</v>
      </c>
      <c r="G160" s="69" t="s">
        <v>324</v>
      </c>
      <c r="H160" s="1">
        <f>INDEX(Data_base_case!$D$8:$FS$118,MATCH(Scenarios_definition!C160,Data_base_case!$D$8:$D$118,0),MATCH(Scenarios_definition!D160&amp;Scenarios_definition!G160,Data_base_case!$D$7:$FS$7,0))</f>
        <v>8.8827433387272267E-2</v>
      </c>
    </row>
    <row r="161" spans="1:8" x14ac:dyDescent="0.3">
      <c r="A161" s="13"/>
      <c r="B161" s="71" t="s">
        <v>483</v>
      </c>
      <c r="C161" s="2" t="s">
        <v>165</v>
      </c>
      <c r="D161" s="1" t="s">
        <v>86</v>
      </c>
      <c r="E161" s="11" t="s">
        <v>133</v>
      </c>
      <c r="F161" s="95">
        <f t="shared" si="2"/>
        <v>8.8827433387272267E-2</v>
      </c>
      <c r="G161" s="69" t="s">
        <v>324</v>
      </c>
      <c r="H161" s="1">
        <f>INDEX(Data_base_case!$D$8:$FS$118,MATCH(Scenarios_definition!C161,Data_base_case!$D$8:$D$118,0),MATCH(Scenarios_definition!D161&amp;Scenarios_definition!G161,Data_base_case!$D$7:$FS$7,0))</f>
        <v>8.8827433387272267E-2</v>
      </c>
    </row>
    <row r="162" spans="1:8" x14ac:dyDescent="0.3">
      <c r="A162" s="13" t="s">
        <v>443</v>
      </c>
      <c r="B162" s="71" t="s">
        <v>484</v>
      </c>
      <c r="C162" s="2" t="s">
        <v>95</v>
      </c>
      <c r="D162" s="1" t="s">
        <v>86</v>
      </c>
      <c r="E162" s="11" t="s">
        <v>133</v>
      </c>
      <c r="F162" s="95">
        <f t="shared" si="2"/>
        <v>8.8495575221238937E-2</v>
      </c>
      <c r="G162" s="69" t="s">
        <v>324</v>
      </c>
      <c r="H162" s="1">
        <f>INDEX(Data_base_case!$D$8:$FS$118,MATCH(Scenarios_definition!C162,Data_base_case!$D$8:$D$118,0),MATCH(Scenarios_definition!D162&amp;Scenarios_definition!G162,Data_base_case!$D$7:$FS$7,0))</f>
        <v>8.8495575221238937E-2</v>
      </c>
    </row>
    <row r="163" spans="1:8" x14ac:dyDescent="0.3">
      <c r="A163" s="13"/>
      <c r="B163" s="71" t="s">
        <v>484</v>
      </c>
      <c r="C163" s="2" t="s">
        <v>232</v>
      </c>
      <c r="D163" s="1" t="s">
        <v>86</v>
      </c>
      <c r="E163" s="11" t="s">
        <v>133</v>
      </c>
      <c r="F163" s="95">
        <f t="shared" si="2"/>
        <v>8.8495575221238937E-2</v>
      </c>
      <c r="G163" s="69" t="s">
        <v>324</v>
      </c>
      <c r="H163" s="1">
        <f>INDEX(Data_base_case!$D$8:$FS$118,MATCH(Scenarios_definition!C163,Data_base_case!$D$8:$D$118,0),MATCH(Scenarios_definition!D163&amp;Scenarios_definition!G163,Data_base_case!$D$7:$FS$7,0))</f>
        <v>8.8495575221238937E-2</v>
      </c>
    </row>
    <row r="164" spans="1:8" x14ac:dyDescent="0.3">
      <c r="A164" s="13"/>
      <c r="B164" s="71" t="s">
        <v>484</v>
      </c>
      <c r="C164" s="2" t="s">
        <v>242</v>
      </c>
      <c r="D164" s="1" t="s">
        <v>86</v>
      </c>
      <c r="E164" s="11" t="s">
        <v>133</v>
      </c>
      <c r="F164" s="95">
        <f t="shared" si="2"/>
        <v>8.8495575221238937E-2</v>
      </c>
      <c r="G164" s="69" t="s">
        <v>324</v>
      </c>
      <c r="H164" s="1">
        <f>INDEX(Data_base_case!$D$8:$FS$118,MATCH(Scenarios_definition!C164,Data_base_case!$D$8:$D$118,0),MATCH(Scenarios_definition!D164&amp;Scenarios_definition!G164,Data_base_case!$D$7:$FS$7,0))</f>
        <v>8.8495575221238937E-2</v>
      </c>
    </row>
    <row r="165" spans="1:8" x14ac:dyDescent="0.3">
      <c r="A165" s="13"/>
      <c r="B165" s="71" t="s">
        <v>484</v>
      </c>
      <c r="C165" s="2" t="s">
        <v>241</v>
      </c>
      <c r="D165" s="1" t="s">
        <v>86</v>
      </c>
      <c r="E165" s="11" t="s">
        <v>133</v>
      </c>
      <c r="F165" s="95">
        <f t="shared" si="2"/>
        <v>8.8495575221238937E-2</v>
      </c>
      <c r="G165" s="69" t="s">
        <v>324</v>
      </c>
      <c r="H165" s="1">
        <f>INDEX(Data_base_case!$D$8:$FS$118,MATCH(Scenarios_definition!C165,Data_base_case!$D$8:$D$118,0),MATCH(Scenarios_definition!D165&amp;Scenarios_definition!G165,Data_base_case!$D$7:$FS$7,0))</f>
        <v>8.8495575221238937E-2</v>
      </c>
    </row>
    <row r="166" spans="1:8" x14ac:dyDescent="0.3">
      <c r="A166" s="13"/>
      <c r="B166" s="71" t="s">
        <v>484</v>
      </c>
      <c r="C166" s="2" t="s">
        <v>243</v>
      </c>
      <c r="D166" s="1" t="s">
        <v>86</v>
      </c>
      <c r="E166" s="11" t="s">
        <v>133</v>
      </c>
      <c r="F166" s="95">
        <f t="shared" si="2"/>
        <v>8.8495575221238937E-2</v>
      </c>
      <c r="G166" s="69" t="s">
        <v>324</v>
      </c>
      <c r="H166" s="1">
        <f>INDEX(Data_base_case!$D$8:$FS$118,MATCH(Scenarios_definition!C166,Data_base_case!$D$8:$D$118,0),MATCH(Scenarios_definition!D166&amp;Scenarios_definition!G166,Data_base_case!$D$7:$FS$7,0))</f>
        <v>8.8495575221238937E-2</v>
      </c>
    </row>
    <row r="167" spans="1:8" x14ac:dyDescent="0.3">
      <c r="A167" s="13"/>
      <c r="B167" s="71" t="s">
        <v>484</v>
      </c>
      <c r="C167" s="2" t="s">
        <v>244</v>
      </c>
      <c r="D167" s="1" t="s">
        <v>86</v>
      </c>
      <c r="E167" s="11" t="s">
        <v>133</v>
      </c>
      <c r="F167" s="95">
        <f t="shared" si="2"/>
        <v>8.8495575221238937E-2</v>
      </c>
      <c r="G167" s="69" t="s">
        <v>324</v>
      </c>
      <c r="H167" s="1">
        <f>INDEX(Data_base_case!$D$8:$FS$118,MATCH(Scenarios_definition!C167,Data_base_case!$D$8:$D$118,0),MATCH(Scenarios_definition!D167&amp;Scenarios_definition!G167,Data_base_case!$D$7:$FS$7,0))</f>
        <v>8.8495575221238937E-2</v>
      </c>
    </row>
    <row r="168" spans="1:8" x14ac:dyDescent="0.3">
      <c r="A168" s="13"/>
      <c r="B168" s="71" t="s">
        <v>484</v>
      </c>
      <c r="C168" s="6" t="s">
        <v>47</v>
      </c>
      <c r="D168" s="1" t="s">
        <v>86</v>
      </c>
      <c r="E168" s="11" t="s">
        <v>133</v>
      </c>
      <c r="F168" s="95">
        <f t="shared" si="2"/>
        <v>8.3860161500585326E-2</v>
      </c>
      <c r="G168" s="69" t="s">
        <v>324</v>
      </c>
      <c r="H168" s="1">
        <f>INDEX(Data_base_case!$D$8:$FS$118,MATCH(Scenarios_definition!C168,Data_base_case!$D$8:$D$118,0),MATCH(Scenarios_definition!D168&amp;Scenarios_definition!G168,Data_base_case!$D$7:$FS$7,0))</f>
        <v>8.3860161500585326E-2</v>
      </c>
    </row>
    <row r="169" spans="1:8" x14ac:dyDescent="0.3">
      <c r="A169" s="13"/>
      <c r="B169" s="71" t="s">
        <v>484</v>
      </c>
      <c r="C169" s="6" t="s">
        <v>49</v>
      </c>
      <c r="D169" s="1" t="s">
        <v>86</v>
      </c>
      <c r="E169" s="11" t="s">
        <v>133</v>
      </c>
      <c r="F169" s="95">
        <f t="shared" si="2"/>
        <v>8.3860161500585326E-2</v>
      </c>
      <c r="G169" s="69" t="s">
        <v>324</v>
      </c>
      <c r="H169" s="1">
        <f>INDEX(Data_base_case!$D$8:$FS$118,MATCH(Scenarios_definition!C169,Data_base_case!$D$8:$D$118,0),MATCH(Scenarios_definition!D169&amp;Scenarios_definition!G169,Data_base_case!$D$7:$FS$7,0))</f>
        <v>8.3860161500585326E-2</v>
      </c>
    </row>
    <row r="170" spans="1:8" x14ac:dyDescent="0.3">
      <c r="A170" s="13"/>
      <c r="B170" s="71" t="s">
        <v>484</v>
      </c>
      <c r="C170" s="2" t="s">
        <v>164</v>
      </c>
      <c r="D170" s="1" t="s">
        <v>86</v>
      </c>
      <c r="E170" s="11" t="s">
        <v>133</v>
      </c>
      <c r="F170" s="95">
        <f t="shared" si="2"/>
        <v>8.8827433387272267E-2</v>
      </c>
      <c r="G170" s="69" t="s">
        <v>324</v>
      </c>
      <c r="H170" s="1">
        <f>INDEX(Data_base_case!$D$8:$FS$118,MATCH(Scenarios_definition!C170,Data_base_case!$D$8:$D$118,0),MATCH(Scenarios_definition!D170&amp;Scenarios_definition!G170,Data_base_case!$D$7:$FS$7,0))</f>
        <v>8.8827433387272267E-2</v>
      </c>
    </row>
    <row r="171" spans="1:8" x14ac:dyDescent="0.3">
      <c r="A171" s="13"/>
      <c r="B171" s="71" t="s">
        <v>484</v>
      </c>
      <c r="C171" s="2" t="s">
        <v>54</v>
      </c>
      <c r="D171" s="1" t="s">
        <v>86</v>
      </c>
      <c r="E171" s="11" t="s">
        <v>133</v>
      </c>
      <c r="F171" s="95">
        <f t="shared" si="2"/>
        <v>8.8827433387272267E-2</v>
      </c>
      <c r="G171" s="69" t="s">
        <v>324</v>
      </c>
      <c r="H171" s="1">
        <f>INDEX(Data_base_case!$D$8:$FS$118,MATCH(Scenarios_definition!C171,Data_base_case!$D$8:$D$118,0),MATCH(Scenarios_definition!D171&amp;Scenarios_definition!G171,Data_base_case!$D$7:$FS$7,0))</f>
        <v>8.8827433387272267E-2</v>
      </c>
    </row>
    <row r="172" spans="1:8" x14ac:dyDescent="0.3">
      <c r="A172" s="13"/>
      <c r="B172" s="71" t="s">
        <v>484</v>
      </c>
      <c r="C172" s="2" t="s">
        <v>56</v>
      </c>
      <c r="D172" s="1" t="s">
        <v>86</v>
      </c>
      <c r="E172" s="11" t="s">
        <v>133</v>
      </c>
      <c r="F172" s="95">
        <f t="shared" si="2"/>
        <v>8.8827433387272267E-2</v>
      </c>
      <c r="G172" s="69" t="s">
        <v>324</v>
      </c>
      <c r="H172" s="1">
        <f>INDEX(Data_base_case!$D$8:$FS$118,MATCH(Scenarios_definition!C172,Data_base_case!$D$8:$D$118,0),MATCH(Scenarios_definition!D172&amp;Scenarios_definition!G172,Data_base_case!$D$7:$FS$7,0))</f>
        <v>8.8827433387272267E-2</v>
      </c>
    </row>
    <row r="173" spans="1:8" x14ac:dyDescent="0.3">
      <c r="A173" s="13"/>
      <c r="B173" s="71" t="s">
        <v>484</v>
      </c>
      <c r="C173" s="2" t="s">
        <v>58</v>
      </c>
      <c r="D173" s="1" t="s">
        <v>86</v>
      </c>
      <c r="E173" s="11" t="s">
        <v>133</v>
      </c>
      <c r="F173" s="95">
        <f t="shared" si="2"/>
        <v>8.8827433387272267E-2</v>
      </c>
      <c r="G173" s="69" t="s">
        <v>324</v>
      </c>
      <c r="H173" s="1">
        <f>INDEX(Data_base_case!$D$8:$FS$118,MATCH(Scenarios_definition!C173,Data_base_case!$D$8:$D$118,0),MATCH(Scenarios_definition!D173&amp;Scenarios_definition!G173,Data_base_case!$D$7:$FS$7,0))</f>
        <v>8.8827433387272267E-2</v>
      </c>
    </row>
    <row r="174" spans="1:8" x14ac:dyDescent="0.3">
      <c r="A174" s="13"/>
      <c r="B174" s="71" t="s">
        <v>484</v>
      </c>
      <c r="C174" s="2" t="s">
        <v>60</v>
      </c>
      <c r="D174" s="1" t="s">
        <v>86</v>
      </c>
      <c r="E174" s="11" t="s">
        <v>133</v>
      </c>
      <c r="F174" s="95">
        <f t="shared" si="2"/>
        <v>8.8827433387272267E-2</v>
      </c>
      <c r="G174" s="69" t="s">
        <v>324</v>
      </c>
      <c r="H174" s="1">
        <f>INDEX(Data_base_case!$D$8:$FS$118,MATCH(Scenarios_definition!C174,Data_base_case!$D$8:$D$118,0),MATCH(Scenarios_definition!D174&amp;Scenarios_definition!G174,Data_base_case!$D$7:$FS$7,0))</f>
        <v>8.8827433387272267E-2</v>
      </c>
    </row>
    <row r="175" spans="1:8" x14ac:dyDescent="0.3">
      <c r="A175" s="13"/>
      <c r="B175" s="71" t="s">
        <v>484</v>
      </c>
      <c r="C175" s="2" t="s">
        <v>62</v>
      </c>
      <c r="D175" s="1" t="s">
        <v>86</v>
      </c>
      <c r="E175" s="11" t="s">
        <v>133</v>
      </c>
      <c r="F175" s="95">
        <f t="shared" si="2"/>
        <v>8.8827433387272267E-2</v>
      </c>
      <c r="G175" s="69" t="s">
        <v>324</v>
      </c>
      <c r="H175" s="1">
        <f>INDEX(Data_base_case!$D$8:$FS$118,MATCH(Scenarios_definition!C175,Data_base_case!$D$8:$D$118,0),MATCH(Scenarios_definition!D175&amp;Scenarios_definition!G175,Data_base_case!$D$7:$FS$7,0))</f>
        <v>8.8827433387272267E-2</v>
      </c>
    </row>
    <row r="176" spans="1:8" x14ac:dyDescent="0.3">
      <c r="A176" s="13"/>
      <c r="B176" s="71" t="s">
        <v>484</v>
      </c>
      <c r="C176" s="2" t="s">
        <v>64</v>
      </c>
      <c r="D176" s="1" t="s">
        <v>86</v>
      </c>
      <c r="E176" s="11" t="s">
        <v>133</v>
      </c>
      <c r="F176" s="95">
        <f t="shared" si="2"/>
        <v>8.8827433387272267E-2</v>
      </c>
      <c r="G176" s="69" t="s">
        <v>324</v>
      </c>
      <c r="H176" s="1">
        <f>INDEX(Data_base_case!$D$8:$FS$118,MATCH(Scenarios_definition!C176,Data_base_case!$D$8:$D$118,0),MATCH(Scenarios_definition!D176&amp;Scenarios_definition!G176,Data_base_case!$D$7:$FS$7,0))</f>
        <v>8.8827433387272267E-2</v>
      </c>
    </row>
    <row r="177" spans="1:8" x14ac:dyDescent="0.3">
      <c r="A177" s="13"/>
      <c r="B177" s="71" t="s">
        <v>484</v>
      </c>
      <c r="C177" s="2" t="s">
        <v>66</v>
      </c>
      <c r="D177" s="1" t="s">
        <v>86</v>
      </c>
      <c r="E177" s="11" t="s">
        <v>133</v>
      </c>
      <c r="F177" s="95">
        <f t="shared" si="2"/>
        <v>8.8827433387272267E-2</v>
      </c>
      <c r="G177" s="69" t="s">
        <v>324</v>
      </c>
      <c r="H177" s="1">
        <f>INDEX(Data_base_case!$D$8:$FS$118,MATCH(Scenarios_definition!C177,Data_base_case!$D$8:$D$118,0),MATCH(Scenarios_definition!D177&amp;Scenarios_definition!G177,Data_base_case!$D$7:$FS$7,0))</f>
        <v>8.8827433387272267E-2</v>
      </c>
    </row>
    <row r="178" spans="1:8" x14ac:dyDescent="0.3">
      <c r="A178" s="13"/>
      <c r="B178" s="71" t="s">
        <v>484</v>
      </c>
      <c r="C178" s="2" t="s">
        <v>68</v>
      </c>
      <c r="D178" s="1" t="s">
        <v>86</v>
      </c>
      <c r="E178" s="11" t="s">
        <v>133</v>
      </c>
      <c r="F178" s="95">
        <f t="shared" si="2"/>
        <v>8.8827433387272267E-2</v>
      </c>
      <c r="G178" s="69" t="s">
        <v>324</v>
      </c>
      <c r="H178" s="1">
        <f>INDEX(Data_base_case!$D$8:$FS$118,MATCH(Scenarios_definition!C178,Data_base_case!$D$8:$D$118,0),MATCH(Scenarios_definition!D178&amp;Scenarios_definition!G178,Data_base_case!$D$7:$FS$7,0))</f>
        <v>8.8827433387272267E-2</v>
      </c>
    </row>
    <row r="179" spans="1:8" x14ac:dyDescent="0.3">
      <c r="A179" s="13"/>
      <c r="B179" s="71" t="s">
        <v>484</v>
      </c>
      <c r="C179" s="2" t="s">
        <v>70</v>
      </c>
      <c r="D179" s="1" t="s">
        <v>86</v>
      </c>
      <c r="E179" s="11" t="s">
        <v>133</v>
      </c>
      <c r="F179" s="95">
        <f t="shared" si="2"/>
        <v>8.8827433387272267E-2</v>
      </c>
      <c r="G179" s="69" t="s">
        <v>324</v>
      </c>
      <c r="H179" s="1">
        <f>INDEX(Data_base_case!$D$8:$FS$118,MATCH(Scenarios_definition!C179,Data_base_case!$D$8:$D$118,0),MATCH(Scenarios_definition!D179&amp;Scenarios_definition!G179,Data_base_case!$D$7:$FS$7,0))</f>
        <v>8.8827433387272267E-2</v>
      </c>
    </row>
    <row r="180" spans="1:8" x14ac:dyDescent="0.3">
      <c r="A180" s="13"/>
      <c r="B180" s="71" t="s">
        <v>484</v>
      </c>
      <c r="C180" s="2" t="s">
        <v>72</v>
      </c>
      <c r="D180" s="1" t="s">
        <v>86</v>
      </c>
      <c r="E180" s="11" t="s">
        <v>133</v>
      </c>
      <c r="F180" s="95">
        <f t="shared" si="2"/>
        <v>8.8827433387272267E-2</v>
      </c>
      <c r="G180" s="69" t="s">
        <v>324</v>
      </c>
      <c r="H180" s="1">
        <f>INDEX(Data_base_case!$D$8:$FS$118,MATCH(Scenarios_definition!C180,Data_base_case!$D$8:$D$118,0),MATCH(Scenarios_definition!D180&amp;Scenarios_definition!G180,Data_base_case!$D$7:$FS$7,0))</f>
        <v>8.8827433387272267E-2</v>
      </c>
    </row>
    <row r="181" spans="1:8" x14ac:dyDescent="0.3">
      <c r="A181" s="13"/>
      <c r="B181" s="71" t="s">
        <v>484</v>
      </c>
      <c r="C181" s="2" t="s">
        <v>165</v>
      </c>
      <c r="D181" s="1" t="s">
        <v>86</v>
      </c>
      <c r="E181" s="11" t="s">
        <v>133</v>
      </c>
      <c r="F181" s="95">
        <f t="shared" si="2"/>
        <v>8.8827433387272267E-2</v>
      </c>
      <c r="G181" s="69" t="s">
        <v>324</v>
      </c>
      <c r="H181" s="1">
        <f>INDEX(Data_base_case!$D$8:$FS$118,MATCH(Scenarios_definition!C181,Data_base_case!$D$8:$D$118,0),MATCH(Scenarios_definition!D181&amp;Scenarios_definition!G181,Data_base_case!$D$7:$FS$7,0))</f>
        <v>8.8827433387272267E-2</v>
      </c>
    </row>
    <row r="182" spans="1:8" x14ac:dyDescent="0.3">
      <c r="A182" s="13" t="s">
        <v>445</v>
      </c>
      <c r="B182" s="71" t="s">
        <v>485</v>
      </c>
      <c r="C182" s="2" t="s">
        <v>95</v>
      </c>
      <c r="D182" s="1" t="s">
        <v>86</v>
      </c>
      <c r="E182" s="11" t="s">
        <v>133</v>
      </c>
      <c r="F182" s="95">
        <f t="shared" si="2"/>
        <v>8.8495575221238937E-2</v>
      </c>
      <c r="G182" s="69" t="s">
        <v>324</v>
      </c>
      <c r="H182" s="1">
        <f>INDEX(Data_base_case!$D$8:$FS$118,MATCH(Scenarios_definition!C182,Data_base_case!$D$8:$D$118,0),MATCH(Scenarios_definition!D182&amp;Scenarios_definition!G182,Data_base_case!$D$7:$FS$7,0))</f>
        <v>8.8495575221238937E-2</v>
      </c>
    </row>
    <row r="183" spans="1:8" x14ac:dyDescent="0.3">
      <c r="A183" s="13"/>
      <c r="B183" s="71" t="s">
        <v>485</v>
      </c>
      <c r="C183" s="2" t="s">
        <v>232</v>
      </c>
      <c r="D183" s="1" t="s">
        <v>86</v>
      </c>
      <c r="E183" s="11" t="s">
        <v>133</v>
      </c>
      <c r="F183" s="95">
        <f t="shared" si="2"/>
        <v>8.8495575221238937E-2</v>
      </c>
      <c r="G183" s="69" t="s">
        <v>324</v>
      </c>
      <c r="H183" s="1">
        <f>INDEX(Data_base_case!$D$8:$FS$118,MATCH(Scenarios_definition!C183,Data_base_case!$D$8:$D$118,0),MATCH(Scenarios_definition!D183&amp;Scenarios_definition!G183,Data_base_case!$D$7:$FS$7,0))</f>
        <v>8.8495575221238937E-2</v>
      </c>
    </row>
    <row r="184" spans="1:8" x14ac:dyDescent="0.3">
      <c r="A184" s="13"/>
      <c r="B184" s="71" t="s">
        <v>485</v>
      </c>
      <c r="C184" s="2" t="s">
        <v>242</v>
      </c>
      <c r="D184" s="1" t="s">
        <v>86</v>
      </c>
      <c r="E184" s="11" t="s">
        <v>133</v>
      </c>
      <c r="F184" s="95">
        <f t="shared" si="2"/>
        <v>8.8495575221238937E-2</v>
      </c>
      <c r="G184" s="69" t="s">
        <v>324</v>
      </c>
      <c r="H184" s="1">
        <f>INDEX(Data_base_case!$D$8:$FS$118,MATCH(Scenarios_definition!C184,Data_base_case!$D$8:$D$118,0),MATCH(Scenarios_definition!D184&amp;Scenarios_definition!G184,Data_base_case!$D$7:$FS$7,0))</f>
        <v>8.8495575221238937E-2</v>
      </c>
    </row>
    <row r="185" spans="1:8" x14ac:dyDescent="0.3">
      <c r="A185" s="13"/>
      <c r="B185" s="71" t="s">
        <v>485</v>
      </c>
      <c r="C185" s="2" t="s">
        <v>241</v>
      </c>
      <c r="D185" s="1" t="s">
        <v>86</v>
      </c>
      <c r="E185" s="11" t="s">
        <v>133</v>
      </c>
      <c r="F185" s="95">
        <f t="shared" si="2"/>
        <v>8.8495575221238937E-2</v>
      </c>
      <c r="G185" s="69" t="s">
        <v>324</v>
      </c>
      <c r="H185" s="1">
        <f>INDEX(Data_base_case!$D$8:$FS$118,MATCH(Scenarios_definition!C185,Data_base_case!$D$8:$D$118,0),MATCH(Scenarios_definition!D185&amp;Scenarios_definition!G185,Data_base_case!$D$7:$FS$7,0))</f>
        <v>8.8495575221238937E-2</v>
      </c>
    </row>
    <row r="186" spans="1:8" x14ac:dyDescent="0.3">
      <c r="A186" s="13"/>
      <c r="B186" s="71" t="s">
        <v>485</v>
      </c>
      <c r="C186" s="2" t="s">
        <v>243</v>
      </c>
      <c r="D186" s="1" t="s">
        <v>86</v>
      </c>
      <c r="E186" s="11" t="s">
        <v>133</v>
      </c>
      <c r="F186" s="95">
        <f t="shared" si="2"/>
        <v>8.8495575221238937E-2</v>
      </c>
      <c r="G186" s="69" t="s">
        <v>324</v>
      </c>
      <c r="H186" s="1">
        <f>INDEX(Data_base_case!$D$8:$FS$118,MATCH(Scenarios_definition!C186,Data_base_case!$D$8:$D$118,0),MATCH(Scenarios_definition!D186&amp;Scenarios_definition!G186,Data_base_case!$D$7:$FS$7,0))</f>
        <v>8.8495575221238937E-2</v>
      </c>
    </row>
    <row r="187" spans="1:8" x14ac:dyDescent="0.3">
      <c r="A187" s="13"/>
      <c r="B187" s="71" t="s">
        <v>485</v>
      </c>
      <c r="C187" s="2" t="s">
        <v>244</v>
      </c>
      <c r="D187" s="1" t="s">
        <v>86</v>
      </c>
      <c r="E187" s="11" t="s">
        <v>133</v>
      </c>
      <c r="F187" s="95">
        <f t="shared" si="2"/>
        <v>8.8495575221238937E-2</v>
      </c>
      <c r="G187" s="69" t="s">
        <v>324</v>
      </c>
      <c r="H187" s="1">
        <f>INDEX(Data_base_case!$D$8:$FS$118,MATCH(Scenarios_definition!C187,Data_base_case!$D$8:$D$118,0),MATCH(Scenarios_definition!D187&amp;Scenarios_definition!G187,Data_base_case!$D$7:$FS$7,0))</f>
        <v>8.8495575221238937E-2</v>
      </c>
    </row>
    <row r="188" spans="1:8" x14ac:dyDescent="0.3">
      <c r="A188" s="13"/>
      <c r="B188" s="71" t="s">
        <v>485</v>
      </c>
      <c r="C188" s="6" t="s">
        <v>47</v>
      </c>
      <c r="D188" s="1" t="s">
        <v>86</v>
      </c>
      <c r="E188" s="11" t="s">
        <v>133</v>
      </c>
      <c r="F188" s="95">
        <f t="shared" si="2"/>
        <v>8.3860161500585326E-2</v>
      </c>
      <c r="G188" s="69" t="s">
        <v>324</v>
      </c>
      <c r="H188" s="1">
        <f>INDEX(Data_base_case!$D$8:$FS$118,MATCH(Scenarios_definition!C188,Data_base_case!$D$8:$D$118,0),MATCH(Scenarios_definition!D188&amp;Scenarios_definition!G188,Data_base_case!$D$7:$FS$7,0))</f>
        <v>8.3860161500585326E-2</v>
      </c>
    </row>
    <row r="189" spans="1:8" x14ac:dyDescent="0.3">
      <c r="A189" s="13"/>
      <c r="B189" s="71" t="s">
        <v>485</v>
      </c>
      <c r="C189" s="6" t="s">
        <v>49</v>
      </c>
      <c r="D189" s="1" t="s">
        <v>86</v>
      </c>
      <c r="E189" s="11" t="s">
        <v>133</v>
      </c>
      <c r="F189" s="95">
        <f t="shared" si="2"/>
        <v>8.3860161500585326E-2</v>
      </c>
      <c r="G189" s="69" t="s">
        <v>324</v>
      </c>
      <c r="H189" s="1">
        <f>INDEX(Data_base_case!$D$8:$FS$118,MATCH(Scenarios_definition!C189,Data_base_case!$D$8:$D$118,0),MATCH(Scenarios_definition!D189&amp;Scenarios_definition!G189,Data_base_case!$D$7:$FS$7,0))</f>
        <v>8.3860161500585326E-2</v>
      </c>
    </row>
    <row r="190" spans="1:8" x14ac:dyDescent="0.3">
      <c r="A190" s="13"/>
      <c r="B190" s="71" t="s">
        <v>485</v>
      </c>
      <c r="C190" s="2" t="s">
        <v>164</v>
      </c>
      <c r="D190" s="1" t="s">
        <v>86</v>
      </c>
      <c r="E190" s="11" t="s">
        <v>133</v>
      </c>
      <c r="F190" s="95">
        <f t="shared" si="2"/>
        <v>8.8827433387272267E-2</v>
      </c>
      <c r="G190" s="69" t="s">
        <v>324</v>
      </c>
      <c r="H190" s="1">
        <f>INDEX(Data_base_case!$D$8:$FS$118,MATCH(Scenarios_definition!C190,Data_base_case!$D$8:$D$118,0),MATCH(Scenarios_definition!D190&amp;Scenarios_definition!G190,Data_base_case!$D$7:$FS$7,0))</f>
        <v>8.8827433387272267E-2</v>
      </c>
    </row>
    <row r="191" spans="1:8" x14ac:dyDescent="0.3">
      <c r="A191" s="13"/>
      <c r="B191" s="71" t="s">
        <v>485</v>
      </c>
      <c r="C191" s="2" t="s">
        <v>54</v>
      </c>
      <c r="D191" s="1" t="s">
        <v>86</v>
      </c>
      <c r="E191" s="11" t="s">
        <v>133</v>
      </c>
      <c r="F191" s="95">
        <f t="shared" si="2"/>
        <v>8.8827433387272267E-2</v>
      </c>
      <c r="G191" s="69" t="s">
        <v>324</v>
      </c>
      <c r="H191" s="1">
        <f>INDEX(Data_base_case!$D$8:$FS$118,MATCH(Scenarios_definition!C191,Data_base_case!$D$8:$D$118,0),MATCH(Scenarios_definition!D191&amp;Scenarios_definition!G191,Data_base_case!$D$7:$FS$7,0))</f>
        <v>8.8827433387272267E-2</v>
      </c>
    </row>
    <row r="192" spans="1:8" x14ac:dyDescent="0.3">
      <c r="A192" s="13"/>
      <c r="B192" s="71" t="s">
        <v>485</v>
      </c>
      <c r="C192" s="2" t="s">
        <v>56</v>
      </c>
      <c r="D192" s="1" t="s">
        <v>86</v>
      </c>
      <c r="E192" s="11" t="s">
        <v>133</v>
      </c>
      <c r="F192" s="95">
        <f t="shared" si="2"/>
        <v>8.8827433387272267E-2</v>
      </c>
      <c r="G192" s="69" t="s">
        <v>324</v>
      </c>
      <c r="H192" s="1">
        <f>INDEX(Data_base_case!$D$8:$FS$118,MATCH(Scenarios_definition!C192,Data_base_case!$D$8:$D$118,0),MATCH(Scenarios_definition!D192&amp;Scenarios_definition!G192,Data_base_case!$D$7:$FS$7,0))</f>
        <v>8.8827433387272267E-2</v>
      </c>
    </row>
    <row r="193" spans="1:8" x14ac:dyDescent="0.3">
      <c r="A193" s="13"/>
      <c r="B193" s="71" t="s">
        <v>485</v>
      </c>
      <c r="C193" s="2" t="s">
        <v>58</v>
      </c>
      <c r="D193" s="1" t="s">
        <v>86</v>
      </c>
      <c r="E193" s="11" t="s">
        <v>133</v>
      </c>
      <c r="F193" s="95">
        <f t="shared" si="2"/>
        <v>8.8827433387272267E-2</v>
      </c>
      <c r="G193" s="69" t="s">
        <v>324</v>
      </c>
      <c r="H193" s="1">
        <f>INDEX(Data_base_case!$D$8:$FS$118,MATCH(Scenarios_definition!C193,Data_base_case!$D$8:$D$118,0),MATCH(Scenarios_definition!D193&amp;Scenarios_definition!G193,Data_base_case!$D$7:$FS$7,0))</f>
        <v>8.8827433387272267E-2</v>
      </c>
    </row>
    <row r="194" spans="1:8" x14ac:dyDescent="0.3">
      <c r="A194" s="13"/>
      <c r="B194" s="71" t="s">
        <v>485</v>
      </c>
      <c r="C194" s="2" t="s">
        <v>60</v>
      </c>
      <c r="D194" s="1" t="s">
        <v>86</v>
      </c>
      <c r="E194" s="11" t="s">
        <v>133</v>
      </c>
      <c r="F194" s="95">
        <f t="shared" si="2"/>
        <v>8.8827433387272267E-2</v>
      </c>
      <c r="G194" s="69" t="s">
        <v>324</v>
      </c>
      <c r="H194" s="1">
        <f>INDEX(Data_base_case!$D$8:$FS$118,MATCH(Scenarios_definition!C194,Data_base_case!$D$8:$D$118,0),MATCH(Scenarios_definition!D194&amp;Scenarios_definition!G194,Data_base_case!$D$7:$FS$7,0))</f>
        <v>8.8827433387272267E-2</v>
      </c>
    </row>
    <row r="195" spans="1:8" x14ac:dyDescent="0.3">
      <c r="A195" s="13"/>
      <c r="B195" s="71" t="s">
        <v>485</v>
      </c>
      <c r="C195" s="2" t="s">
        <v>62</v>
      </c>
      <c r="D195" s="1" t="s">
        <v>86</v>
      </c>
      <c r="E195" s="11" t="s">
        <v>133</v>
      </c>
      <c r="F195" s="95">
        <f t="shared" si="2"/>
        <v>8.8827433387272267E-2</v>
      </c>
      <c r="G195" s="69" t="s">
        <v>324</v>
      </c>
      <c r="H195" s="1">
        <f>INDEX(Data_base_case!$D$8:$FS$118,MATCH(Scenarios_definition!C195,Data_base_case!$D$8:$D$118,0),MATCH(Scenarios_definition!D195&amp;Scenarios_definition!G195,Data_base_case!$D$7:$FS$7,0))</f>
        <v>8.8827433387272267E-2</v>
      </c>
    </row>
    <row r="196" spans="1:8" x14ac:dyDescent="0.3">
      <c r="A196" s="13"/>
      <c r="B196" s="71" t="s">
        <v>485</v>
      </c>
      <c r="C196" s="2" t="s">
        <v>64</v>
      </c>
      <c r="D196" s="1" t="s">
        <v>86</v>
      </c>
      <c r="E196" s="11" t="s">
        <v>133</v>
      </c>
      <c r="F196" s="95">
        <f t="shared" si="2"/>
        <v>8.8827433387272267E-2</v>
      </c>
      <c r="G196" s="69" t="s">
        <v>324</v>
      </c>
      <c r="H196" s="1">
        <f>INDEX(Data_base_case!$D$8:$FS$118,MATCH(Scenarios_definition!C196,Data_base_case!$D$8:$D$118,0),MATCH(Scenarios_definition!D196&amp;Scenarios_definition!G196,Data_base_case!$D$7:$FS$7,0))</f>
        <v>8.8827433387272267E-2</v>
      </c>
    </row>
    <row r="197" spans="1:8" x14ac:dyDescent="0.3">
      <c r="A197" s="13"/>
      <c r="B197" s="71" t="s">
        <v>485</v>
      </c>
      <c r="C197" s="2" t="s">
        <v>66</v>
      </c>
      <c r="D197" s="1" t="s">
        <v>86</v>
      </c>
      <c r="E197" s="11" t="s">
        <v>133</v>
      </c>
      <c r="F197" s="95">
        <f t="shared" si="2"/>
        <v>8.8827433387272267E-2</v>
      </c>
      <c r="G197" s="69" t="s">
        <v>324</v>
      </c>
      <c r="H197" s="1">
        <f>INDEX(Data_base_case!$D$8:$FS$118,MATCH(Scenarios_definition!C197,Data_base_case!$D$8:$D$118,0),MATCH(Scenarios_definition!D197&amp;Scenarios_definition!G197,Data_base_case!$D$7:$FS$7,0))</f>
        <v>8.8827433387272267E-2</v>
      </c>
    </row>
    <row r="198" spans="1:8" x14ac:dyDescent="0.3">
      <c r="A198" s="13"/>
      <c r="B198" s="71" t="s">
        <v>485</v>
      </c>
      <c r="C198" s="2" t="s">
        <v>68</v>
      </c>
      <c r="D198" s="1" t="s">
        <v>86</v>
      </c>
      <c r="E198" s="11" t="s">
        <v>133</v>
      </c>
      <c r="F198" s="95">
        <f t="shared" si="2"/>
        <v>8.8827433387272267E-2</v>
      </c>
      <c r="G198" s="69" t="s">
        <v>324</v>
      </c>
      <c r="H198" s="1">
        <f>INDEX(Data_base_case!$D$8:$FS$118,MATCH(Scenarios_definition!C198,Data_base_case!$D$8:$D$118,0),MATCH(Scenarios_definition!D198&amp;Scenarios_definition!G198,Data_base_case!$D$7:$FS$7,0))</f>
        <v>8.8827433387272267E-2</v>
      </c>
    </row>
    <row r="199" spans="1:8" x14ac:dyDescent="0.3">
      <c r="A199" s="13"/>
      <c r="B199" s="71" t="s">
        <v>485</v>
      </c>
      <c r="C199" s="2" t="s">
        <v>70</v>
      </c>
      <c r="D199" s="1" t="s">
        <v>86</v>
      </c>
      <c r="E199" s="11" t="s">
        <v>133</v>
      </c>
      <c r="F199" s="95">
        <f t="shared" si="2"/>
        <v>8.8827433387272267E-2</v>
      </c>
      <c r="G199" s="69" t="s">
        <v>324</v>
      </c>
      <c r="H199" s="1">
        <f>INDEX(Data_base_case!$D$8:$FS$118,MATCH(Scenarios_definition!C199,Data_base_case!$D$8:$D$118,0),MATCH(Scenarios_definition!D199&amp;Scenarios_definition!G199,Data_base_case!$D$7:$FS$7,0))</f>
        <v>8.8827433387272267E-2</v>
      </c>
    </row>
    <row r="200" spans="1:8" x14ac:dyDescent="0.3">
      <c r="A200" s="13"/>
      <c r="B200" s="71" t="s">
        <v>485</v>
      </c>
      <c r="C200" s="2" t="s">
        <v>72</v>
      </c>
      <c r="D200" s="1" t="s">
        <v>86</v>
      </c>
      <c r="E200" s="11" t="s">
        <v>133</v>
      </c>
      <c r="F200" s="95">
        <f t="shared" si="2"/>
        <v>8.8827433387272267E-2</v>
      </c>
      <c r="G200" s="69" t="s">
        <v>324</v>
      </c>
      <c r="H200" s="1">
        <f>INDEX(Data_base_case!$D$8:$FS$118,MATCH(Scenarios_definition!C200,Data_base_case!$D$8:$D$118,0),MATCH(Scenarios_definition!D200&amp;Scenarios_definition!G200,Data_base_case!$D$7:$FS$7,0))</f>
        <v>8.8827433387272267E-2</v>
      </c>
    </row>
    <row r="201" spans="1:8" x14ac:dyDescent="0.3">
      <c r="A201" s="13"/>
      <c r="B201" s="71" t="s">
        <v>485</v>
      </c>
      <c r="C201" s="2" t="s">
        <v>165</v>
      </c>
      <c r="D201" s="1" t="s">
        <v>86</v>
      </c>
      <c r="E201" s="11" t="s">
        <v>133</v>
      </c>
      <c r="F201" s="95">
        <f t="shared" si="2"/>
        <v>8.8827433387272267E-2</v>
      </c>
      <c r="G201" s="69" t="s">
        <v>324</v>
      </c>
      <c r="H201" s="1">
        <f>INDEX(Data_base_case!$D$8:$FS$118,MATCH(Scenarios_definition!C201,Data_base_case!$D$8:$D$118,0),MATCH(Scenarios_definition!D201&amp;Scenarios_definition!G201,Data_base_case!$D$7:$FS$7,0))</f>
        <v>8.8827433387272267E-2</v>
      </c>
    </row>
  </sheetData>
  <phoneticPr fontId="15" type="noConversion"/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41"/>
  <sheetViews>
    <sheetView tabSelected="1" topLeftCell="A65" workbookViewId="0">
      <selection activeCell="B95" sqref="B95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7.2187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03" t="s">
        <v>156</v>
      </c>
      <c r="C2" s="104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05" t="s">
        <v>182</v>
      </c>
      <c r="I2" s="105" t="s">
        <v>181</v>
      </c>
      <c r="J2" s="13" t="s">
        <v>87</v>
      </c>
      <c r="K2" s="13" t="s">
        <v>167</v>
      </c>
      <c r="L2" s="13" t="s">
        <v>167</v>
      </c>
      <c r="M2" s="105" t="s">
        <v>255</v>
      </c>
      <c r="N2" s="106" t="s">
        <v>256</v>
      </c>
      <c r="O2" s="107" t="s">
        <v>258</v>
      </c>
      <c r="P2" s="105" t="s">
        <v>173</v>
      </c>
      <c r="Q2" s="105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03"/>
      <c r="C3" s="104"/>
      <c r="D3" s="13" t="s">
        <v>260</v>
      </c>
      <c r="E3" s="13" t="s">
        <v>120</v>
      </c>
      <c r="F3" s="13" t="s">
        <v>93</v>
      </c>
      <c r="G3" s="13">
        <v>2030</v>
      </c>
      <c r="H3" s="105"/>
      <c r="I3" s="105"/>
      <c r="J3" s="13" t="s">
        <v>104</v>
      </c>
      <c r="M3" s="105"/>
      <c r="N3" s="106"/>
      <c r="O3" s="107"/>
      <c r="P3" s="105"/>
      <c r="Q3" s="105"/>
      <c r="R3" s="13"/>
      <c r="S3" s="13"/>
      <c r="T3" s="13"/>
    </row>
    <row r="4" spans="1:35" x14ac:dyDescent="0.3">
      <c r="B4" s="103"/>
      <c r="C4" s="104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105"/>
      <c r="J4" s="13" t="s">
        <v>233</v>
      </c>
      <c r="K4" s="13"/>
      <c r="L4" s="13"/>
      <c r="M4" s="105"/>
      <c r="N4" s="106"/>
      <c r="O4" s="107"/>
      <c r="P4" s="105"/>
      <c r="Q4" s="105"/>
      <c r="R4" s="13"/>
      <c r="S4" s="13"/>
      <c r="T4" s="13"/>
    </row>
    <row r="5" spans="1:35" x14ac:dyDescent="0.3">
      <c r="B5" s="103"/>
      <c r="C5" s="104"/>
      <c r="D5" s="13" t="s">
        <v>231</v>
      </c>
      <c r="E5" s="13" t="s">
        <v>420</v>
      </c>
      <c r="F5" s="13" t="s">
        <v>133</v>
      </c>
      <c r="G5" s="13"/>
      <c r="H5" s="13"/>
      <c r="I5" s="40"/>
      <c r="J5" s="13"/>
      <c r="K5" s="13"/>
      <c r="L5" s="13"/>
      <c r="M5" s="105"/>
      <c r="N5" s="106"/>
      <c r="O5" s="107"/>
      <c r="P5" s="105"/>
      <c r="Q5" s="105"/>
      <c r="R5" s="13"/>
      <c r="S5" s="13"/>
      <c r="T5" s="13"/>
    </row>
    <row r="6" spans="1:35" x14ac:dyDescent="0.3">
      <c r="B6" s="103"/>
      <c r="C6" s="104"/>
      <c r="D6" s="13"/>
      <c r="E6" s="13" t="s">
        <v>421</v>
      </c>
      <c r="F6" s="13"/>
      <c r="G6" s="13"/>
      <c r="H6" s="13"/>
      <c r="I6" s="40"/>
      <c r="J6" s="13"/>
      <c r="K6" s="13"/>
      <c r="L6" s="13"/>
      <c r="M6" s="105"/>
      <c r="N6" s="106"/>
      <c r="O6" s="107"/>
      <c r="P6" s="105"/>
      <c r="Q6" s="105"/>
      <c r="R6" s="13"/>
      <c r="S6" s="13"/>
      <c r="T6" s="13"/>
    </row>
    <row r="7" spans="1:35" x14ac:dyDescent="0.3">
      <c r="B7" s="103"/>
      <c r="C7" s="104"/>
      <c r="E7" s="13" t="s">
        <v>422</v>
      </c>
      <c r="F7" s="13"/>
      <c r="G7" s="13"/>
      <c r="H7" s="13"/>
      <c r="I7" s="13"/>
      <c r="J7" s="13"/>
      <c r="K7" s="13"/>
      <c r="L7" s="13"/>
      <c r="M7" s="105"/>
      <c r="N7" s="106"/>
      <c r="O7" s="107"/>
      <c r="P7" s="105"/>
      <c r="Q7" s="105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02" t="s">
        <v>151</v>
      </c>
      <c r="AH7" s="99"/>
      <c r="AI7" s="99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432</v>
      </c>
      <c r="AE9" s="29" t="s">
        <v>433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87" si="0">ROW(A10)-ROW($A$9)</f>
        <v>1</v>
      </c>
      <c r="B10" s="70" t="s">
        <v>461</v>
      </c>
      <c r="C10" s="71" t="s">
        <v>444</v>
      </c>
      <c r="D10" s="72" t="s">
        <v>231</v>
      </c>
      <c r="E10" s="70" t="s">
        <v>120</v>
      </c>
      <c r="F10" s="73" t="s">
        <v>122</v>
      </c>
      <c r="G10" s="73" t="str">
        <f t="shared" ref="G10:G21" si="1">"2030 bench"</f>
        <v>2030 bench</v>
      </c>
      <c r="H10" s="73" t="s">
        <v>239</v>
      </c>
      <c r="I10" s="73">
        <v>2020</v>
      </c>
      <c r="J10" s="73" t="s">
        <v>87</v>
      </c>
      <c r="K10" s="73">
        <v>0</v>
      </c>
      <c r="L10" s="73">
        <v>0</v>
      </c>
      <c r="M10" s="73">
        <v>-1</v>
      </c>
      <c r="N10" s="73" t="s">
        <v>122</v>
      </c>
      <c r="O10" s="73">
        <v>0</v>
      </c>
      <c r="P10" s="73">
        <v>1</v>
      </c>
      <c r="Q10" s="73">
        <v>0</v>
      </c>
      <c r="R10" s="72" t="s">
        <v>221</v>
      </c>
      <c r="S10" s="72" t="s">
        <v>222</v>
      </c>
      <c r="T10" s="72" t="s">
        <v>423</v>
      </c>
      <c r="U10" s="74" t="b">
        <v>0</v>
      </c>
      <c r="V10" s="72" t="b">
        <v>1</v>
      </c>
      <c r="W10" s="72" t="b">
        <v>0</v>
      </c>
      <c r="X10" s="72" t="b">
        <v>0</v>
      </c>
      <c r="Y10" s="72" t="b">
        <v>1</v>
      </c>
      <c r="Z10" s="72" t="b">
        <v>0</v>
      </c>
      <c r="AA10" s="72" t="b">
        <v>0</v>
      </c>
      <c r="AB10" s="72" t="b">
        <v>0</v>
      </c>
      <c r="AC10" s="72" t="b">
        <v>0</v>
      </c>
      <c r="AD10" s="72" t="b">
        <v>1</v>
      </c>
      <c r="AE10" s="72" t="b">
        <v>1</v>
      </c>
      <c r="AF10" s="75" t="b">
        <v>0</v>
      </c>
      <c r="AG10" s="72" t="b">
        <v>0</v>
      </c>
      <c r="AH10" s="72" t="b">
        <v>0</v>
      </c>
      <c r="AI10" s="72" t="b">
        <v>1</v>
      </c>
    </row>
    <row r="11" spans="1:35" x14ac:dyDescent="0.3">
      <c r="A11" s="13">
        <f t="shared" si="0"/>
        <v>2</v>
      </c>
      <c r="B11" s="70" t="s">
        <v>461</v>
      </c>
      <c r="C11" s="71" t="s">
        <v>443</v>
      </c>
      <c r="D11" s="72" t="s">
        <v>231</v>
      </c>
      <c r="E11" s="70" t="s">
        <v>120</v>
      </c>
      <c r="F11" s="73" t="s">
        <v>122</v>
      </c>
      <c r="G11" s="73" t="str">
        <f t="shared" si="1"/>
        <v>2030 bench</v>
      </c>
      <c r="H11" s="73" t="s">
        <v>239</v>
      </c>
      <c r="I11" s="73">
        <v>2020</v>
      </c>
      <c r="J11" s="73" t="s">
        <v>104</v>
      </c>
      <c r="K11" s="73">
        <v>0</v>
      </c>
      <c r="L11" s="73">
        <v>0</v>
      </c>
      <c r="M11" s="73">
        <v>-1</v>
      </c>
      <c r="N11" s="73" t="s">
        <v>122</v>
      </c>
      <c r="O11" s="73">
        <v>0</v>
      </c>
      <c r="P11" s="73">
        <v>1</v>
      </c>
      <c r="Q11" s="73">
        <v>0</v>
      </c>
      <c r="R11" s="72" t="s">
        <v>221</v>
      </c>
      <c r="S11" s="72" t="s">
        <v>222</v>
      </c>
      <c r="T11" s="72" t="s">
        <v>423</v>
      </c>
      <c r="U11" s="74" t="b">
        <v>0</v>
      </c>
      <c r="V11" s="72" t="b">
        <v>1</v>
      </c>
      <c r="W11" s="72" t="b">
        <v>0</v>
      </c>
      <c r="X11" s="72" t="b">
        <v>0</v>
      </c>
      <c r="Y11" s="72" t="b">
        <v>1</v>
      </c>
      <c r="Z11" s="72" t="b">
        <v>0</v>
      </c>
      <c r="AA11" s="72" t="b">
        <v>0</v>
      </c>
      <c r="AB11" s="72" t="b">
        <v>0</v>
      </c>
      <c r="AC11" s="72" t="b">
        <v>0</v>
      </c>
      <c r="AD11" s="72" t="b">
        <v>1</v>
      </c>
      <c r="AE11" s="72" t="b">
        <v>1</v>
      </c>
      <c r="AF11" s="75" t="b">
        <v>0</v>
      </c>
      <c r="AG11" s="72" t="b">
        <v>0</v>
      </c>
      <c r="AH11" s="72" t="b">
        <v>0</v>
      </c>
      <c r="AI11" s="72" t="b">
        <v>1</v>
      </c>
    </row>
    <row r="12" spans="1:35" x14ac:dyDescent="0.3">
      <c r="A12" s="13">
        <f t="shared" si="0"/>
        <v>3</v>
      </c>
      <c r="B12" s="70" t="s">
        <v>461</v>
      </c>
      <c r="C12" s="71" t="s">
        <v>445</v>
      </c>
      <c r="D12" s="72" t="s">
        <v>231</v>
      </c>
      <c r="E12" s="70" t="s">
        <v>120</v>
      </c>
      <c r="F12" s="73" t="s">
        <v>122</v>
      </c>
      <c r="G12" s="73" t="str">
        <f t="shared" si="1"/>
        <v>2030 bench</v>
      </c>
      <c r="H12" s="73" t="s">
        <v>239</v>
      </c>
      <c r="I12" s="73">
        <v>2020</v>
      </c>
      <c r="J12" s="73" t="s">
        <v>233</v>
      </c>
      <c r="K12" s="73">
        <v>0</v>
      </c>
      <c r="L12" s="73">
        <v>0</v>
      </c>
      <c r="M12" s="73">
        <v>-1</v>
      </c>
      <c r="N12" s="73" t="s">
        <v>122</v>
      </c>
      <c r="O12" s="73">
        <v>0</v>
      </c>
      <c r="P12" s="73">
        <v>1</v>
      </c>
      <c r="Q12" s="73">
        <v>0</v>
      </c>
      <c r="R12" s="72" t="s">
        <v>221</v>
      </c>
      <c r="S12" s="72" t="s">
        <v>222</v>
      </c>
      <c r="T12" s="72" t="s">
        <v>423</v>
      </c>
      <c r="U12" s="74" t="b">
        <v>0</v>
      </c>
      <c r="V12" s="72" t="b">
        <v>1</v>
      </c>
      <c r="W12" s="72" t="b">
        <v>0</v>
      </c>
      <c r="X12" s="72" t="b">
        <v>0</v>
      </c>
      <c r="Y12" s="72" t="b">
        <v>1</v>
      </c>
      <c r="Z12" s="72" t="b">
        <v>0</v>
      </c>
      <c r="AA12" s="72" t="b">
        <v>0</v>
      </c>
      <c r="AB12" s="72" t="b">
        <v>0</v>
      </c>
      <c r="AC12" s="72" t="b">
        <v>0</v>
      </c>
      <c r="AD12" s="72" t="b">
        <v>1</v>
      </c>
      <c r="AE12" s="72" t="b">
        <v>1</v>
      </c>
      <c r="AF12" s="75" t="b">
        <v>0</v>
      </c>
      <c r="AG12" s="72" t="b">
        <v>0</v>
      </c>
      <c r="AH12" s="72" t="b">
        <v>0</v>
      </c>
      <c r="AI12" s="72" t="b">
        <v>1</v>
      </c>
    </row>
    <row r="13" spans="1:35" x14ac:dyDescent="0.3">
      <c r="A13" s="13">
        <f t="shared" si="0"/>
        <v>4</v>
      </c>
      <c r="B13" s="70" t="s">
        <v>216</v>
      </c>
      <c r="C13" s="71" t="s">
        <v>441</v>
      </c>
      <c r="D13" s="72" t="s">
        <v>231</v>
      </c>
      <c r="E13" s="70" t="s">
        <v>120</v>
      </c>
      <c r="F13" s="73" t="s">
        <v>122</v>
      </c>
      <c r="G13" s="73" t="str">
        <f t="shared" si="1"/>
        <v>2030 bench</v>
      </c>
      <c r="H13" s="73" t="s">
        <v>239</v>
      </c>
      <c r="I13" s="73">
        <v>2020</v>
      </c>
      <c r="J13" s="73" t="s">
        <v>87</v>
      </c>
      <c r="K13" s="73">
        <v>0</v>
      </c>
      <c r="L13" s="73">
        <v>0</v>
      </c>
      <c r="M13" s="73">
        <v>-1</v>
      </c>
      <c r="N13" s="73" t="s">
        <v>122</v>
      </c>
      <c r="O13" s="73">
        <v>0</v>
      </c>
      <c r="P13" s="73">
        <v>1</v>
      </c>
      <c r="Q13" s="73">
        <v>0</v>
      </c>
      <c r="R13" s="72" t="s">
        <v>221</v>
      </c>
      <c r="S13" s="72" t="s">
        <v>222</v>
      </c>
      <c r="T13" s="72" t="s">
        <v>423</v>
      </c>
      <c r="U13" s="74" t="b">
        <v>0</v>
      </c>
      <c r="V13" s="72" t="b">
        <v>1</v>
      </c>
      <c r="W13" s="72" t="b">
        <v>0</v>
      </c>
      <c r="X13" s="72" t="b">
        <v>0</v>
      </c>
      <c r="Y13" s="72" t="b">
        <v>1</v>
      </c>
      <c r="Z13" s="72" t="b">
        <v>0</v>
      </c>
      <c r="AA13" s="72" t="b">
        <v>0</v>
      </c>
      <c r="AB13" s="72" t="b">
        <v>0</v>
      </c>
      <c r="AC13" s="72" t="b">
        <v>0</v>
      </c>
      <c r="AD13" s="72" t="b">
        <v>1</v>
      </c>
      <c r="AE13" s="72" t="b">
        <v>1</v>
      </c>
      <c r="AF13" s="75" t="b">
        <v>0</v>
      </c>
      <c r="AG13" s="72" t="b">
        <v>0</v>
      </c>
      <c r="AH13" s="72" t="b">
        <v>0</v>
      </c>
      <c r="AI13" s="72" t="b">
        <v>1</v>
      </c>
    </row>
    <row r="14" spans="1:35" x14ac:dyDescent="0.3">
      <c r="A14" s="13">
        <f t="shared" si="0"/>
        <v>5</v>
      </c>
      <c r="B14" s="70" t="s">
        <v>216</v>
      </c>
      <c r="C14" s="71" t="s">
        <v>440</v>
      </c>
      <c r="D14" s="72" t="s">
        <v>231</v>
      </c>
      <c r="E14" s="70" t="s">
        <v>120</v>
      </c>
      <c r="F14" s="73" t="s">
        <v>122</v>
      </c>
      <c r="G14" s="73" t="str">
        <f t="shared" si="1"/>
        <v>2030 bench</v>
      </c>
      <c r="H14" s="73" t="s">
        <v>239</v>
      </c>
      <c r="I14" s="73">
        <v>2020</v>
      </c>
      <c r="J14" s="73" t="s">
        <v>104</v>
      </c>
      <c r="K14" s="73">
        <v>0</v>
      </c>
      <c r="L14" s="73">
        <v>0</v>
      </c>
      <c r="M14" s="73">
        <v>-1</v>
      </c>
      <c r="N14" s="73" t="s">
        <v>122</v>
      </c>
      <c r="O14" s="73">
        <v>0</v>
      </c>
      <c r="P14" s="73">
        <v>1</v>
      </c>
      <c r="Q14" s="73">
        <v>0</v>
      </c>
      <c r="R14" s="72" t="s">
        <v>221</v>
      </c>
      <c r="S14" s="72" t="s">
        <v>222</v>
      </c>
      <c r="T14" s="72" t="s">
        <v>423</v>
      </c>
      <c r="U14" s="74" t="b">
        <v>0</v>
      </c>
      <c r="V14" s="72" t="b">
        <v>1</v>
      </c>
      <c r="W14" s="72" t="b">
        <v>0</v>
      </c>
      <c r="X14" s="72" t="b">
        <v>0</v>
      </c>
      <c r="Y14" s="72" t="b">
        <v>1</v>
      </c>
      <c r="Z14" s="72" t="b">
        <v>0</v>
      </c>
      <c r="AA14" s="72" t="b">
        <v>0</v>
      </c>
      <c r="AB14" s="72" t="b">
        <v>0</v>
      </c>
      <c r="AC14" s="72" t="b">
        <v>0</v>
      </c>
      <c r="AD14" s="72" t="b">
        <v>1</v>
      </c>
      <c r="AE14" s="72" t="b">
        <v>1</v>
      </c>
      <c r="AF14" s="75" t="b">
        <v>0</v>
      </c>
      <c r="AG14" s="72" t="b">
        <v>0</v>
      </c>
      <c r="AH14" s="72" t="b">
        <v>0</v>
      </c>
      <c r="AI14" s="72" t="b">
        <v>1</v>
      </c>
    </row>
    <row r="15" spans="1:35" x14ac:dyDescent="0.3">
      <c r="A15" s="13">
        <f t="shared" si="0"/>
        <v>6</v>
      </c>
      <c r="B15" s="70" t="s">
        <v>216</v>
      </c>
      <c r="C15" s="71" t="s">
        <v>442</v>
      </c>
      <c r="D15" s="72" t="s">
        <v>231</v>
      </c>
      <c r="E15" s="70" t="s">
        <v>120</v>
      </c>
      <c r="F15" s="73" t="s">
        <v>122</v>
      </c>
      <c r="G15" s="73" t="str">
        <f t="shared" si="1"/>
        <v>2030 bench</v>
      </c>
      <c r="H15" s="73" t="s">
        <v>239</v>
      </c>
      <c r="I15" s="73">
        <v>2020</v>
      </c>
      <c r="J15" s="73" t="s">
        <v>233</v>
      </c>
      <c r="K15" s="73">
        <v>0</v>
      </c>
      <c r="L15" s="73">
        <v>0</v>
      </c>
      <c r="M15" s="73">
        <v>-1</v>
      </c>
      <c r="N15" s="73" t="s">
        <v>122</v>
      </c>
      <c r="O15" s="73">
        <v>0</v>
      </c>
      <c r="P15" s="73">
        <v>1</v>
      </c>
      <c r="Q15" s="73">
        <v>0</v>
      </c>
      <c r="R15" s="72" t="s">
        <v>221</v>
      </c>
      <c r="S15" s="72" t="s">
        <v>222</v>
      </c>
      <c r="T15" s="72" t="s">
        <v>423</v>
      </c>
      <c r="U15" s="74" t="b">
        <v>0</v>
      </c>
      <c r="V15" s="72" t="b">
        <v>1</v>
      </c>
      <c r="W15" s="72" t="b">
        <v>0</v>
      </c>
      <c r="X15" s="72" t="b">
        <v>0</v>
      </c>
      <c r="Y15" s="72" t="b">
        <v>1</v>
      </c>
      <c r="Z15" s="72" t="b">
        <v>0</v>
      </c>
      <c r="AA15" s="72" t="b">
        <v>0</v>
      </c>
      <c r="AB15" s="72" t="b">
        <v>0</v>
      </c>
      <c r="AC15" s="72" t="b">
        <v>0</v>
      </c>
      <c r="AD15" s="72" t="b">
        <v>1</v>
      </c>
      <c r="AE15" s="72" t="b">
        <v>1</v>
      </c>
      <c r="AF15" s="75" t="b">
        <v>0</v>
      </c>
      <c r="AG15" s="72" t="b">
        <v>0</v>
      </c>
      <c r="AH15" s="72" t="b">
        <v>0</v>
      </c>
      <c r="AI15" s="72" t="b">
        <v>1</v>
      </c>
    </row>
    <row r="16" spans="1:35" x14ac:dyDescent="0.3">
      <c r="A16" s="13">
        <f t="shared" si="0"/>
        <v>7</v>
      </c>
      <c r="B16" s="70" t="s">
        <v>462</v>
      </c>
      <c r="C16" s="71" t="s">
        <v>453</v>
      </c>
      <c r="D16" s="72" t="s">
        <v>231</v>
      </c>
      <c r="E16" s="70" t="s">
        <v>120</v>
      </c>
      <c r="F16" s="73" t="s">
        <v>122</v>
      </c>
      <c r="G16" s="73" t="str">
        <f t="shared" si="1"/>
        <v>2030 bench</v>
      </c>
      <c r="H16" s="73" t="s">
        <v>239</v>
      </c>
      <c r="I16" s="73">
        <v>2020</v>
      </c>
      <c r="J16" s="73" t="s">
        <v>87</v>
      </c>
      <c r="K16" s="73">
        <v>0</v>
      </c>
      <c r="L16" s="73">
        <v>0</v>
      </c>
      <c r="M16" s="73">
        <v>-1</v>
      </c>
      <c r="N16" s="73" t="s">
        <v>122</v>
      </c>
      <c r="O16" s="73">
        <v>0</v>
      </c>
      <c r="P16" s="73">
        <v>1</v>
      </c>
      <c r="Q16" s="73">
        <v>0</v>
      </c>
      <c r="R16" s="72" t="s">
        <v>221</v>
      </c>
      <c r="S16" s="72" t="s">
        <v>222</v>
      </c>
      <c r="T16" s="72" t="s">
        <v>423</v>
      </c>
      <c r="U16" s="74" t="b">
        <v>0</v>
      </c>
      <c r="V16" s="72" t="b">
        <v>1</v>
      </c>
      <c r="W16" s="72" t="b">
        <v>0</v>
      </c>
      <c r="X16" s="72" t="b">
        <v>0</v>
      </c>
      <c r="Y16" s="72" t="b">
        <v>1</v>
      </c>
      <c r="Z16" s="72" t="b">
        <v>0</v>
      </c>
      <c r="AA16" s="72" t="b">
        <v>0</v>
      </c>
      <c r="AB16" s="72" t="b">
        <v>0</v>
      </c>
      <c r="AC16" s="72" t="b">
        <v>0</v>
      </c>
      <c r="AD16" s="72" t="b">
        <v>1</v>
      </c>
      <c r="AE16" s="72" t="b">
        <v>1</v>
      </c>
      <c r="AF16" s="75" t="b">
        <v>0</v>
      </c>
      <c r="AG16" s="72" t="b">
        <v>0</v>
      </c>
      <c r="AH16" s="72" t="b">
        <v>0</v>
      </c>
      <c r="AI16" s="72" t="b">
        <v>1</v>
      </c>
    </row>
    <row r="17" spans="1:35" x14ac:dyDescent="0.3">
      <c r="A17" s="13">
        <f t="shared" si="0"/>
        <v>8</v>
      </c>
      <c r="B17" s="70" t="s">
        <v>462</v>
      </c>
      <c r="C17" s="71" t="s">
        <v>452</v>
      </c>
      <c r="D17" s="72" t="s">
        <v>231</v>
      </c>
      <c r="E17" s="70" t="s">
        <v>120</v>
      </c>
      <c r="F17" s="73" t="s">
        <v>122</v>
      </c>
      <c r="G17" s="73" t="str">
        <f t="shared" si="1"/>
        <v>2030 bench</v>
      </c>
      <c r="H17" s="73" t="s">
        <v>239</v>
      </c>
      <c r="I17" s="73">
        <v>2020</v>
      </c>
      <c r="J17" s="73" t="s">
        <v>104</v>
      </c>
      <c r="K17" s="73">
        <v>0</v>
      </c>
      <c r="L17" s="73">
        <v>0</v>
      </c>
      <c r="M17" s="73">
        <v>-1</v>
      </c>
      <c r="N17" s="73" t="s">
        <v>122</v>
      </c>
      <c r="O17" s="73">
        <v>0</v>
      </c>
      <c r="P17" s="73">
        <v>1</v>
      </c>
      <c r="Q17" s="73">
        <v>0</v>
      </c>
      <c r="R17" s="72" t="s">
        <v>221</v>
      </c>
      <c r="S17" s="72" t="s">
        <v>222</v>
      </c>
      <c r="T17" s="72" t="s">
        <v>423</v>
      </c>
      <c r="U17" s="74" t="b">
        <v>0</v>
      </c>
      <c r="V17" s="72" t="b">
        <v>1</v>
      </c>
      <c r="W17" s="72" t="b">
        <v>0</v>
      </c>
      <c r="X17" s="72" t="b">
        <v>0</v>
      </c>
      <c r="Y17" s="72" t="b">
        <v>1</v>
      </c>
      <c r="Z17" s="72" t="b">
        <v>0</v>
      </c>
      <c r="AA17" s="72" t="b">
        <v>0</v>
      </c>
      <c r="AB17" s="72" t="b">
        <v>0</v>
      </c>
      <c r="AC17" s="72" t="b">
        <v>0</v>
      </c>
      <c r="AD17" s="72" t="b">
        <v>1</v>
      </c>
      <c r="AE17" s="72" t="b">
        <v>1</v>
      </c>
      <c r="AF17" s="75" t="b">
        <v>0</v>
      </c>
      <c r="AG17" s="72" t="b">
        <v>0</v>
      </c>
      <c r="AH17" s="72" t="b">
        <v>0</v>
      </c>
      <c r="AI17" s="72" t="b">
        <v>1</v>
      </c>
    </row>
    <row r="18" spans="1:35" x14ac:dyDescent="0.3">
      <c r="A18" s="13">
        <f t="shared" si="0"/>
        <v>9</v>
      </c>
      <c r="B18" s="70" t="s">
        <v>462</v>
      </c>
      <c r="C18" s="71" t="s">
        <v>454</v>
      </c>
      <c r="D18" s="72" t="s">
        <v>231</v>
      </c>
      <c r="E18" s="70" t="s">
        <v>120</v>
      </c>
      <c r="F18" s="73" t="s">
        <v>122</v>
      </c>
      <c r="G18" s="73" t="str">
        <f t="shared" si="1"/>
        <v>2030 bench</v>
      </c>
      <c r="H18" s="73" t="s">
        <v>239</v>
      </c>
      <c r="I18" s="73">
        <v>2020</v>
      </c>
      <c r="J18" s="73" t="s">
        <v>233</v>
      </c>
      <c r="K18" s="73">
        <v>0</v>
      </c>
      <c r="L18" s="73">
        <v>0</v>
      </c>
      <c r="M18" s="73">
        <v>-1</v>
      </c>
      <c r="N18" s="73" t="s">
        <v>122</v>
      </c>
      <c r="O18" s="73">
        <v>0</v>
      </c>
      <c r="P18" s="73">
        <v>1</v>
      </c>
      <c r="Q18" s="73">
        <v>0</v>
      </c>
      <c r="R18" s="72" t="s">
        <v>221</v>
      </c>
      <c r="S18" s="72" t="s">
        <v>222</v>
      </c>
      <c r="T18" s="72" t="s">
        <v>423</v>
      </c>
      <c r="U18" s="74" t="b">
        <v>0</v>
      </c>
      <c r="V18" s="72" t="b">
        <v>1</v>
      </c>
      <c r="W18" s="72" t="b">
        <v>0</v>
      </c>
      <c r="X18" s="72" t="b">
        <v>0</v>
      </c>
      <c r="Y18" s="72" t="b">
        <v>1</v>
      </c>
      <c r="Z18" s="72" t="b">
        <v>0</v>
      </c>
      <c r="AA18" s="72" t="b">
        <v>0</v>
      </c>
      <c r="AB18" s="72" t="b">
        <v>0</v>
      </c>
      <c r="AC18" s="72" t="b">
        <v>0</v>
      </c>
      <c r="AD18" s="72" t="b">
        <v>1</v>
      </c>
      <c r="AE18" s="72" t="b">
        <v>1</v>
      </c>
      <c r="AF18" s="75" t="b">
        <v>0</v>
      </c>
      <c r="AG18" s="72" t="b">
        <v>0</v>
      </c>
      <c r="AH18" s="72" t="b">
        <v>0</v>
      </c>
      <c r="AI18" s="72" t="b">
        <v>1</v>
      </c>
    </row>
    <row r="19" spans="1:35" x14ac:dyDescent="0.3">
      <c r="A19" s="13">
        <f t="shared" si="0"/>
        <v>10</v>
      </c>
      <c r="B19" s="70" t="s">
        <v>463</v>
      </c>
      <c r="C19" s="71" t="s">
        <v>459</v>
      </c>
      <c r="D19" s="72" t="s">
        <v>231</v>
      </c>
      <c r="E19" s="70" t="s">
        <v>120</v>
      </c>
      <c r="F19" s="73" t="s">
        <v>122</v>
      </c>
      <c r="G19" s="73" t="str">
        <f t="shared" si="1"/>
        <v>2030 bench</v>
      </c>
      <c r="H19" s="73" t="s">
        <v>239</v>
      </c>
      <c r="I19" s="73">
        <v>2020</v>
      </c>
      <c r="J19" s="73" t="s">
        <v>87</v>
      </c>
      <c r="K19" s="73">
        <v>0</v>
      </c>
      <c r="L19" s="73">
        <v>0</v>
      </c>
      <c r="M19" s="73">
        <v>-1</v>
      </c>
      <c r="N19" s="73" t="s">
        <v>122</v>
      </c>
      <c r="O19" s="73">
        <v>0</v>
      </c>
      <c r="P19" s="73">
        <v>1</v>
      </c>
      <c r="Q19" s="73">
        <v>0</v>
      </c>
      <c r="R19" s="72" t="s">
        <v>221</v>
      </c>
      <c r="S19" s="72" t="s">
        <v>222</v>
      </c>
      <c r="T19" s="72" t="s">
        <v>423</v>
      </c>
      <c r="U19" s="74" t="b">
        <v>0</v>
      </c>
      <c r="V19" s="72" t="b">
        <v>1</v>
      </c>
      <c r="W19" s="72" t="b">
        <v>0</v>
      </c>
      <c r="X19" s="72" t="b">
        <v>0</v>
      </c>
      <c r="Y19" s="72" t="b">
        <v>1</v>
      </c>
      <c r="Z19" s="72" t="b">
        <v>0</v>
      </c>
      <c r="AA19" s="72" t="b">
        <v>0</v>
      </c>
      <c r="AB19" s="72" t="b">
        <v>0</v>
      </c>
      <c r="AC19" s="72" t="b">
        <v>0</v>
      </c>
      <c r="AD19" s="72" t="b">
        <v>1</v>
      </c>
      <c r="AE19" s="72" t="b">
        <v>1</v>
      </c>
      <c r="AF19" s="75" t="b">
        <v>0</v>
      </c>
      <c r="AG19" s="72" t="b">
        <v>0</v>
      </c>
      <c r="AH19" s="72" t="b">
        <v>0</v>
      </c>
      <c r="AI19" s="72" t="b">
        <v>1</v>
      </c>
    </row>
    <row r="20" spans="1:35" x14ac:dyDescent="0.3">
      <c r="A20" s="13">
        <f t="shared" si="0"/>
        <v>11</v>
      </c>
      <c r="B20" s="70" t="s">
        <v>463</v>
      </c>
      <c r="C20" s="71" t="s">
        <v>458</v>
      </c>
      <c r="D20" s="72" t="s">
        <v>231</v>
      </c>
      <c r="E20" s="70" t="s">
        <v>120</v>
      </c>
      <c r="F20" s="73" t="s">
        <v>122</v>
      </c>
      <c r="G20" s="73" t="str">
        <f t="shared" si="1"/>
        <v>2030 bench</v>
      </c>
      <c r="H20" s="73" t="s">
        <v>239</v>
      </c>
      <c r="I20" s="73">
        <v>2020</v>
      </c>
      <c r="J20" s="73" t="s">
        <v>104</v>
      </c>
      <c r="K20" s="73">
        <v>0</v>
      </c>
      <c r="L20" s="73">
        <v>0</v>
      </c>
      <c r="M20" s="73">
        <v>-1</v>
      </c>
      <c r="N20" s="73" t="s">
        <v>122</v>
      </c>
      <c r="O20" s="73">
        <v>0</v>
      </c>
      <c r="P20" s="73">
        <v>1</v>
      </c>
      <c r="Q20" s="73">
        <v>0</v>
      </c>
      <c r="R20" s="72" t="s">
        <v>221</v>
      </c>
      <c r="S20" s="72" t="s">
        <v>222</v>
      </c>
      <c r="T20" s="72" t="s">
        <v>423</v>
      </c>
      <c r="U20" s="74" t="b">
        <v>0</v>
      </c>
      <c r="V20" s="72" t="b">
        <v>1</v>
      </c>
      <c r="W20" s="72" t="b">
        <v>0</v>
      </c>
      <c r="X20" s="72" t="b">
        <v>0</v>
      </c>
      <c r="Y20" s="72" t="b">
        <v>1</v>
      </c>
      <c r="Z20" s="72" t="b">
        <v>0</v>
      </c>
      <c r="AA20" s="72" t="b">
        <v>0</v>
      </c>
      <c r="AB20" s="72" t="b">
        <v>0</v>
      </c>
      <c r="AC20" s="72" t="b">
        <v>0</v>
      </c>
      <c r="AD20" s="72" t="b">
        <v>1</v>
      </c>
      <c r="AE20" s="72" t="b">
        <v>1</v>
      </c>
      <c r="AF20" s="75" t="b">
        <v>0</v>
      </c>
      <c r="AG20" s="72" t="b">
        <v>0</v>
      </c>
      <c r="AH20" s="72" t="b">
        <v>0</v>
      </c>
      <c r="AI20" s="72" t="b">
        <v>1</v>
      </c>
    </row>
    <row r="21" spans="1:35" x14ac:dyDescent="0.3">
      <c r="A21" s="13">
        <f t="shared" si="0"/>
        <v>12</v>
      </c>
      <c r="B21" s="70" t="s">
        <v>463</v>
      </c>
      <c r="C21" s="71" t="s">
        <v>460</v>
      </c>
      <c r="D21" s="72" t="s">
        <v>231</v>
      </c>
      <c r="E21" s="70" t="s">
        <v>120</v>
      </c>
      <c r="F21" s="73" t="s">
        <v>122</v>
      </c>
      <c r="G21" s="73" t="str">
        <f t="shared" si="1"/>
        <v>2030 bench</v>
      </c>
      <c r="H21" s="73" t="s">
        <v>239</v>
      </c>
      <c r="I21" s="73">
        <v>2020</v>
      </c>
      <c r="J21" s="73" t="s">
        <v>233</v>
      </c>
      <c r="K21" s="73">
        <v>0</v>
      </c>
      <c r="L21" s="73">
        <v>0</v>
      </c>
      <c r="M21" s="73">
        <v>-1</v>
      </c>
      <c r="N21" s="73" t="s">
        <v>122</v>
      </c>
      <c r="O21" s="73">
        <v>0</v>
      </c>
      <c r="P21" s="73">
        <v>1</v>
      </c>
      <c r="Q21" s="73">
        <v>0</v>
      </c>
      <c r="R21" s="72" t="s">
        <v>221</v>
      </c>
      <c r="S21" s="72" t="s">
        <v>222</v>
      </c>
      <c r="T21" s="72" t="s">
        <v>423</v>
      </c>
      <c r="U21" s="74" t="b">
        <v>0</v>
      </c>
      <c r="V21" s="72" t="b">
        <v>1</v>
      </c>
      <c r="W21" s="72" t="b">
        <v>0</v>
      </c>
      <c r="X21" s="72" t="b">
        <v>0</v>
      </c>
      <c r="Y21" s="72" t="b">
        <v>1</v>
      </c>
      <c r="Z21" s="72" t="b">
        <v>0</v>
      </c>
      <c r="AA21" s="72" t="b">
        <v>0</v>
      </c>
      <c r="AB21" s="72" t="b">
        <v>0</v>
      </c>
      <c r="AC21" s="72" t="b">
        <v>0</v>
      </c>
      <c r="AD21" s="72" t="b">
        <v>1</v>
      </c>
      <c r="AE21" s="72" t="b">
        <v>1</v>
      </c>
      <c r="AF21" s="75" t="b">
        <v>0</v>
      </c>
      <c r="AG21" s="72" t="b">
        <v>0</v>
      </c>
      <c r="AH21" s="72" t="b">
        <v>0</v>
      </c>
      <c r="AI21" s="72" t="b">
        <v>1</v>
      </c>
    </row>
    <row r="22" spans="1:35" x14ac:dyDescent="0.3">
      <c r="A22" s="13">
        <f t="shared" si="0"/>
        <v>13</v>
      </c>
      <c r="B22" s="70" t="s">
        <v>464</v>
      </c>
      <c r="C22" s="71" t="s">
        <v>450</v>
      </c>
      <c r="D22" s="72" t="s">
        <v>231</v>
      </c>
      <c r="E22" s="70" t="s">
        <v>120</v>
      </c>
      <c r="F22" s="73" t="s">
        <v>122</v>
      </c>
      <c r="G22" s="73" t="s">
        <v>320</v>
      </c>
      <c r="H22" s="73" t="s">
        <v>239</v>
      </c>
      <c r="I22" s="73">
        <v>2020</v>
      </c>
      <c r="J22" s="73" t="s">
        <v>87</v>
      </c>
      <c r="K22" s="73">
        <v>0</v>
      </c>
      <c r="L22" s="73">
        <v>0</v>
      </c>
      <c r="M22" s="73">
        <v>-1</v>
      </c>
      <c r="N22" s="73" t="s">
        <v>122</v>
      </c>
      <c r="O22" s="73">
        <v>0</v>
      </c>
      <c r="P22" s="73">
        <v>1</v>
      </c>
      <c r="Q22" s="73">
        <v>0</v>
      </c>
      <c r="R22" s="72" t="s">
        <v>221</v>
      </c>
      <c r="S22" s="72" t="s">
        <v>222</v>
      </c>
      <c r="T22" s="72" t="s">
        <v>423</v>
      </c>
      <c r="U22" s="74" t="b">
        <v>0</v>
      </c>
      <c r="V22" s="72" t="b">
        <v>1</v>
      </c>
      <c r="W22" s="72" t="b">
        <v>0</v>
      </c>
      <c r="X22" s="72" t="b">
        <v>0</v>
      </c>
      <c r="Y22" s="72" t="b">
        <v>1</v>
      </c>
      <c r="Z22" s="72" t="b">
        <v>0</v>
      </c>
      <c r="AA22" s="72" t="b">
        <v>0</v>
      </c>
      <c r="AB22" s="72" t="b">
        <v>0</v>
      </c>
      <c r="AC22" s="72" t="b">
        <v>0</v>
      </c>
      <c r="AD22" s="72" t="b">
        <v>1</v>
      </c>
      <c r="AE22" s="72" t="b">
        <v>1</v>
      </c>
      <c r="AF22" s="75" t="b">
        <v>0</v>
      </c>
      <c r="AG22" s="72" t="b">
        <v>0</v>
      </c>
      <c r="AH22" s="72" t="b">
        <v>0</v>
      </c>
      <c r="AI22" s="72" t="b">
        <v>1</v>
      </c>
    </row>
    <row r="23" spans="1:35" x14ac:dyDescent="0.3">
      <c r="A23" s="13">
        <f t="shared" si="0"/>
        <v>14</v>
      </c>
      <c r="B23" s="70" t="s">
        <v>464</v>
      </c>
      <c r="C23" s="71" t="s">
        <v>449</v>
      </c>
      <c r="D23" s="72" t="s">
        <v>231</v>
      </c>
      <c r="E23" s="70" t="s">
        <v>120</v>
      </c>
      <c r="F23" s="73" t="s">
        <v>122</v>
      </c>
      <c r="G23" s="73" t="s">
        <v>320</v>
      </c>
      <c r="H23" s="73" t="s">
        <v>239</v>
      </c>
      <c r="I23" s="73">
        <v>2020</v>
      </c>
      <c r="J23" s="73" t="s">
        <v>104</v>
      </c>
      <c r="K23" s="73">
        <v>0</v>
      </c>
      <c r="L23" s="73">
        <v>0</v>
      </c>
      <c r="M23" s="73">
        <v>-1</v>
      </c>
      <c r="N23" s="73" t="s">
        <v>122</v>
      </c>
      <c r="O23" s="73">
        <v>0</v>
      </c>
      <c r="P23" s="73">
        <v>1</v>
      </c>
      <c r="Q23" s="73">
        <v>0</v>
      </c>
      <c r="R23" s="72" t="s">
        <v>221</v>
      </c>
      <c r="S23" s="72" t="s">
        <v>222</v>
      </c>
      <c r="T23" s="72" t="s">
        <v>423</v>
      </c>
      <c r="U23" s="74" t="b">
        <v>0</v>
      </c>
      <c r="V23" s="72" t="b">
        <v>1</v>
      </c>
      <c r="W23" s="72" t="b">
        <v>0</v>
      </c>
      <c r="X23" s="72" t="b">
        <v>0</v>
      </c>
      <c r="Y23" s="72" t="b">
        <v>1</v>
      </c>
      <c r="Z23" s="72" t="b">
        <v>0</v>
      </c>
      <c r="AA23" s="72" t="b">
        <v>0</v>
      </c>
      <c r="AB23" s="72" t="b">
        <v>0</v>
      </c>
      <c r="AC23" s="72" t="b">
        <v>0</v>
      </c>
      <c r="AD23" s="72" t="b">
        <v>1</v>
      </c>
      <c r="AE23" s="72" t="b">
        <v>1</v>
      </c>
      <c r="AF23" s="75" t="b">
        <v>0</v>
      </c>
      <c r="AG23" s="72" t="b">
        <v>0</v>
      </c>
      <c r="AH23" s="72" t="b">
        <v>0</v>
      </c>
      <c r="AI23" s="72" t="b">
        <v>1</v>
      </c>
    </row>
    <row r="24" spans="1:35" x14ac:dyDescent="0.3">
      <c r="A24" s="13">
        <f t="shared" si="0"/>
        <v>15</v>
      </c>
      <c r="B24" s="70" t="s">
        <v>464</v>
      </c>
      <c r="C24" s="71" t="s">
        <v>451</v>
      </c>
      <c r="D24" s="72" t="s">
        <v>231</v>
      </c>
      <c r="E24" s="70" t="s">
        <v>120</v>
      </c>
      <c r="F24" s="73" t="s">
        <v>122</v>
      </c>
      <c r="G24" s="73" t="s">
        <v>320</v>
      </c>
      <c r="H24" s="73" t="s">
        <v>239</v>
      </c>
      <c r="I24" s="73">
        <v>2020</v>
      </c>
      <c r="J24" s="73" t="s">
        <v>233</v>
      </c>
      <c r="K24" s="73">
        <v>0</v>
      </c>
      <c r="L24" s="73">
        <v>0</v>
      </c>
      <c r="M24" s="73">
        <v>-1</v>
      </c>
      <c r="N24" s="73" t="s">
        <v>122</v>
      </c>
      <c r="O24" s="73">
        <v>0</v>
      </c>
      <c r="P24" s="73">
        <v>1</v>
      </c>
      <c r="Q24" s="73">
        <v>0</v>
      </c>
      <c r="R24" s="72" t="s">
        <v>221</v>
      </c>
      <c r="S24" s="72" t="s">
        <v>222</v>
      </c>
      <c r="T24" s="72" t="s">
        <v>423</v>
      </c>
      <c r="U24" s="74" t="b">
        <v>0</v>
      </c>
      <c r="V24" s="72" t="b">
        <v>1</v>
      </c>
      <c r="W24" s="72" t="b">
        <v>0</v>
      </c>
      <c r="X24" s="72" t="b">
        <v>0</v>
      </c>
      <c r="Y24" s="72" t="b">
        <v>1</v>
      </c>
      <c r="Z24" s="72" t="b">
        <v>0</v>
      </c>
      <c r="AA24" s="72" t="b">
        <v>0</v>
      </c>
      <c r="AB24" s="72" t="b">
        <v>0</v>
      </c>
      <c r="AC24" s="72" t="b">
        <v>0</v>
      </c>
      <c r="AD24" s="72" t="b">
        <v>1</v>
      </c>
      <c r="AE24" s="72" t="b">
        <v>1</v>
      </c>
      <c r="AF24" s="75" t="b">
        <v>0</v>
      </c>
      <c r="AG24" s="72" t="b">
        <v>0</v>
      </c>
      <c r="AH24" s="72" t="b">
        <v>0</v>
      </c>
      <c r="AI24" s="72" t="b">
        <v>1</v>
      </c>
    </row>
    <row r="25" spans="1:35" x14ac:dyDescent="0.3">
      <c r="A25" s="13">
        <f t="shared" si="0"/>
        <v>16</v>
      </c>
      <c r="B25" s="70" t="s">
        <v>465</v>
      </c>
      <c r="C25" s="71" t="s">
        <v>456</v>
      </c>
      <c r="D25" s="72" t="s">
        <v>231</v>
      </c>
      <c r="E25" s="70" t="s">
        <v>120</v>
      </c>
      <c r="F25" s="73" t="s">
        <v>122</v>
      </c>
      <c r="G25" s="73" t="s">
        <v>285</v>
      </c>
      <c r="H25" s="73" t="s">
        <v>239</v>
      </c>
      <c r="I25" s="73">
        <v>2020</v>
      </c>
      <c r="J25" s="73" t="s">
        <v>87</v>
      </c>
      <c r="K25" s="73">
        <v>0</v>
      </c>
      <c r="L25" s="73">
        <v>0</v>
      </c>
      <c r="M25" s="73">
        <v>-1</v>
      </c>
      <c r="N25" s="73" t="s">
        <v>122</v>
      </c>
      <c r="O25" s="73">
        <v>0</v>
      </c>
      <c r="P25" s="73">
        <v>1</v>
      </c>
      <c r="Q25" s="73">
        <v>0</v>
      </c>
      <c r="R25" s="72" t="s">
        <v>221</v>
      </c>
      <c r="S25" s="72" t="s">
        <v>222</v>
      </c>
      <c r="T25" s="72" t="s">
        <v>423</v>
      </c>
      <c r="U25" s="74" t="b">
        <v>0</v>
      </c>
      <c r="V25" s="72" t="b">
        <v>1</v>
      </c>
      <c r="W25" s="72" t="b">
        <v>0</v>
      </c>
      <c r="X25" s="72" t="b">
        <v>0</v>
      </c>
      <c r="Y25" s="72" t="b">
        <v>1</v>
      </c>
      <c r="Z25" s="72" t="b">
        <v>0</v>
      </c>
      <c r="AA25" s="72" t="b">
        <v>0</v>
      </c>
      <c r="AB25" s="72" t="b">
        <v>0</v>
      </c>
      <c r="AC25" s="72" t="b">
        <v>0</v>
      </c>
      <c r="AD25" s="72" t="b">
        <v>1</v>
      </c>
      <c r="AE25" s="72" t="b">
        <v>1</v>
      </c>
      <c r="AF25" s="75" t="b">
        <v>0</v>
      </c>
      <c r="AG25" s="72" t="b">
        <v>0</v>
      </c>
      <c r="AH25" s="72" t="b">
        <v>0</v>
      </c>
      <c r="AI25" s="72" t="b">
        <v>1</v>
      </c>
    </row>
    <row r="26" spans="1:35" x14ac:dyDescent="0.3">
      <c r="A26" s="13">
        <f t="shared" si="0"/>
        <v>17</v>
      </c>
      <c r="B26" s="70" t="s">
        <v>465</v>
      </c>
      <c r="C26" s="71" t="s">
        <v>455</v>
      </c>
      <c r="D26" s="72" t="s">
        <v>231</v>
      </c>
      <c r="E26" s="70" t="s">
        <v>120</v>
      </c>
      <c r="F26" s="73" t="s">
        <v>122</v>
      </c>
      <c r="G26" s="73" t="s">
        <v>285</v>
      </c>
      <c r="H26" s="73" t="s">
        <v>239</v>
      </c>
      <c r="I26" s="73">
        <v>2020</v>
      </c>
      <c r="J26" s="73" t="s">
        <v>104</v>
      </c>
      <c r="K26" s="73">
        <v>0</v>
      </c>
      <c r="L26" s="73">
        <v>0</v>
      </c>
      <c r="M26" s="73">
        <v>-1</v>
      </c>
      <c r="N26" s="73" t="s">
        <v>122</v>
      </c>
      <c r="O26" s="73">
        <v>0</v>
      </c>
      <c r="P26" s="73">
        <v>1</v>
      </c>
      <c r="Q26" s="73">
        <v>0</v>
      </c>
      <c r="R26" s="72" t="s">
        <v>221</v>
      </c>
      <c r="S26" s="72" t="s">
        <v>222</v>
      </c>
      <c r="T26" s="72" t="s">
        <v>423</v>
      </c>
      <c r="U26" s="74" t="b">
        <v>0</v>
      </c>
      <c r="V26" s="72" t="b">
        <v>1</v>
      </c>
      <c r="W26" s="72" t="b">
        <v>0</v>
      </c>
      <c r="X26" s="72" t="b">
        <v>0</v>
      </c>
      <c r="Y26" s="72" t="b">
        <v>1</v>
      </c>
      <c r="Z26" s="72" t="b">
        <v>0</v>
      </c>
      <c r="AA26" s="72" t="b">
        <v>0</v>
      </c>
      <c r="AB26" s="72" t="b">
        <v>0</v>
      </c>
      <c r="AC26" s="72" t="b">
        <v>0</v>
      </c>
      <c r="AD26" s="72" t="b">
        <v>1</v>
      </c>
      <c r="AE26" s="72" t="b">
        <v>1</v>
      </c>
      <c r="AF26" s="75" t="b">
        <v>0</v>
      </c>
      <c r="AG26" s="72" t="b">
        <v>0</v>
      </c>
      <c r="AH26" s="72" t="b">
        <v>0</v>
      </c>
      <c r="AI26" s="72" t="b">
        <v>1</v>
      </c>
    </row>
    <row r="27" spans="1:35" x14ac:dyDescent="0.3">
      <c r="A27" s="13">
        <f t="shared" si="0"/>
        <v>18</v>
      </c>
      <c r="B27" s="70" t="s">
        <v>465</v>
      </c>
      <c r="C27" s="71" t="s">
        <v>457</v>
      </c>
      <c r="D27" s="72" t="s">
        <v>231</v>
      </c>
      <c r="E27" s="70" t="s">
        <v>120</v>
      </c>
      <c r="F27" s="73" t="s">
        <v>122</v>
      </c>
      <c r="G27" s="73" t="s">
        <v>285</v>
      </c>
      <c r="H27" s="73" t="s">
        <v>239</v>
      </c>
      <c r="I27" s="73">
        <v>2020</v>
      </c>
      <c r="J27" s="73" t="s">
        <v>233</v>
      </c>
      <c r="K27" s="73">
        <v>0</v>
      </c>
      <c r="L27" s="73">
        <v>0</v>
      </c>
      <c r="M27" s="73">
        <v>-1</v>
      </c>
      <c r="N27" s="73" t="s">
        <v>122</v>
      </c>
      <c r="O27" s="73">
        <v>0</v>
      </c>
      <c r="P27" s="73">
        <v>1</v>
      </c>
      <c r="Q27" s="73">
        <v>0</v>
      </c>
      <c r="R27" s="72" t="s">
        <v>221</v>
      </c>
      <c r="S27" s="72" t="s">
        <v>222</v>
      </c>
      <c r="T27" s="72" t="s">
        <v>423</v>
      </c>
      <c r="U27" s="74" t="b">
        <v>0</v>
      </c>
      <c r="V27" s="72" t="b">
        <v>1</v>
      </c>
      <c r="W27" s="72" t="b">
        <v>0</v>
      </c>
      <c r="X27" s="72" t="b">
        <v>0</v>
      </c>
      <c r="Y27" s="72" t="b">
        <v>1</v>
      </c>
      <c r="Z27" s="72" t="b">
        <v>0</v>
      </c>
      <c r="AA27" s="72" t="b">
        <v>0</v>
      </c>
      <c r="AB27" s="72" t="b">
        <v>0</v>
      </c>
      <c r="AC27" s="72" t="b">
        <v>0</v>
      </c>
      <c r="AD27" s="72" t="b">
        <v>1</v>
      </c>
      <c r="AE27" s="72" t="b">
        <v>1</v>
      </c>
      <c r="AF27" s="75" t="b">
        <v>0</v>
      </c>
      <c r="AG27" s="72" t="b">
        <v>0</v>
      </c>
      <c r="AH27" s="72" t="b">
        <v>0</v>
      </c>
      <c r="AI27" s="72" t="b">
        <v>1</v>
      </c>
    </row>
    <row r="28" spans="1:35" x14ac:dyDescent="0.3">
      <c r="A28" s="13">
        <f t="shared" si="0"/>
        <v>19</v>
      </c>
      <c r="B28" s="70" t="s">
        <v>42</v>
      </c>
      <c r="C28" s="71" t="s">
        <v>444</v>
      </c>
      <c r="D28" s="72" t="s">
        <v>231</v>
      </c>
      <c r="E28" s="70" t="s">
        <v>120</v>
      </c>
      <c r="F28" s="73" t="s">
        <v>122</v>
      </c>
      <c r="G28" s="73" t="str">
        <f t="shared" ref="G28:G66" si="2">"2030 bench"</f>
        <v>2030 bench</v>
      </c>
      <c r="H28" s="73" t="s">
        <v>239</v>
      </c>
      <c r="I28" s="73">
        <v>2020</v>
      </c>
      <c r="J28" s="73" t="s">
        <v>87</v>
      </c>
      <c r="K28" s="73">
        <v>0</v>
      </c>
      <c r="L28" s="73">
        <v>0</v>
      </c>
      <c r="M28" s="73">
        <v>-1</v>
      </c>
      <c r="N28" s="73" t="s">
        <v>122</v>
      </c>
      <c r="O28" s="73">
        <v>0</v>
      </c>
      <c r="P28" s="73">
        <v>1</v>
      </c>
      <c r="Q28" s="73">
        <v>0</v>
      </c>
      <c r="R28" s="72" t="s">
        <v>221</v>
      </c>
      <c r="S28" s="72" t="s">
        <v>222</v>
      </c>
      <c r="T28" s="72" t="s">
        <v>423</v>
      </c>
      <c r="U28" s="72" t="b">
        <v>0</v>
      </c>
      <c r="V28" s="72" t="b">
        <v>1</v>
      </c>
      <c r="W28" s="72" t="b">
        <v>0</v>
      </c>
      <c r="X28" s="72" t="b">
        <v>0</v>
      </c>
      <c r="Y28" s="72" t="b">
        <v>1</v>
      </c>
      <c r="Z28" s="72" t="b">
        <v>0</v>
      </c>
      <c r="AA28" s="72" t="b">
        <v>0</v>
      </c>
      <c r="AB28" s="72" t="b">
        <v>0</v>
      </c>
      <c r="AC28" s="72" t="b">
        <v>0</v>
      </c>
      <c r="AD28" s="72" t="b">
        <v>1</v>
      </c>
      <c r="AE28" s="72" t="b">
        <v>1</v>
      </c>
      <c r="AF28" s="72" t="b">
        <v>0</v>
      </c>
      <c r="AG28" s="72" t="b">
        <v>0</v>
      </c>
      <c r="AH28" s="72" t="b">
        <v>0</v>
      </c>
      <c r="AI28" s="72" t="b">
        <v>1</v>
      </c>
    </row>
    <row r="29" spans="1:35" x14ac:dyDescent="0.3">
      <c r="A29" s="13">
        <f t="shared" si="0"/>
        <v>20</v>
      </c>
      <c r="B29" s="70" t="s">
        <v>42</v>
      </c>
      <c r="C29" s="71" t="s">
        <v>443</v>
      </c>
      <c r="D29" s="72" t="s">
        <v>231</v>
      </c>
      <c r="E29" s="70" t="s">
        <v>120</v>
      </c>
      <c r="F29" s="73" t="s">
        <v>122</v>
      </c>
      <c r="G29" s="73" t="str">
        <f t="shared" si="2"/>
        <v>2030 bench</v>
      </c>
      <c r="H29" s="73" t="s">
        <v>239</v>
      </c>
      <c r="I29" s="73">
        <v>2020</v>
      </c>
      <c r="J29" s="73" t="s">
        <v>104</v>
      </c>
      <c r="K29" s="73">
        <v>0</v>
      </c>
      <c r="L29" s="73">
        <v>0</v>
      </c>
      <c r="M29" s="73">
        <v>-1</v>
      </c>
      <c r="N29" s="73" t="s">
        <v>122</v>
      </c>
      <c r="O29" s="73">
        <v>0</v>
      </c>
      <c r="P29" s="73">
        <v>1</v>
      </c>
      <c r="Q29" s="73">
        <v>0</v>
      </c>
      <c r="R29" s="72" t="s">
        <v>221</v>
      </c>
      <c r="S29" s="72" t="s">
        <v>222</v>
      </c>
      <c r="T29" s="72" t="s">
        <v>423</v>
      </c>
      <c r="U29" s="74" t="b">
        <v>0</v>
      </c>
      <c r="V29" s="72" t="b">
        <v>1</v>
      </c>
      <c r="W29" s="72" t="b">
        <v>0</v>
      </c>
      <c r="X29" s="72" t="b">
        <v>0</v>
      </c>
      <c r="Y29" s="72" t="b">
        <v>1</v>
      </c>
      <c r="Z29" s="72" t="b">
        <v>0</v>
      </c>
      <c r="AA29" s="72" t="b">
        <v>0</v>
      </c>
      <c r="AB29" s="72" t="b">
        <v>0</v>
      </c>
      <c r="AC29" s="72" t="b">
        <v>0</v>
      </c>
      <c r="AD29" s="72" t="b">
        <v>1</v>
      </c>
      <c r="AE29" s="72" t="b">
        <v>1</v>
      </c>
      <c r="AF29" s="75" t="b">
        <v>0</v>
      </c>
      <c r="AG29" s="72" t="b">
        <v>0</v>
      </c>
      <c r="AH29" s="72" t="b">
        <v>0</v>
      </c>
      <c r="AI29" s="72" t="b">
        <v>1</v>
      </c>
    </row>
    <row r="30" spans="1:35" x14ac:dyDescent="0.3">
      <c r="A30" s="13">
        <f t="shared" si="0"/>
        <v>21</v>
      </c>
      <c r="B30" s="70" t="s">
        <v>42</v>
      </c>
      <c r="C30" s="71" t="s">
        <v>445</v>
      </c>
      <c r="D30" s="72" t="s">
        <v>231</v>
      </c>
      <c r="E30" s="70" t="s">
        <v>120</v>
      </c>
      <c r="F30" s="73" t="s">
        <v>122</v>
      </c>
      <c r="G30" s="73" t="str">
        <f t="shared" si="2"/>
        <v>2030 bench</v>
      </c>
      <c r="H30" s="73" t="s">
        <v>239</v>
      </c>
      <c r="I30" s="73">
        <v>2020</v>
      </c>
      <c r="J30" s="73" t="s">
        <v>233</v>
      </c>
      <c r="K30" s="73">
        <v>0</v>
      </c>
      <c r="L30" s="73">
        <v>0</v>
      </c>
      <c r="M30" s="73">
        <v>-1</v>
      </c>
      <c r="N30" s="73" t="s">
        <v>122</v>
      </c>
      <c r="O30" s="73">
        <v>0</v>
      </c>
      <c r="P30" s="73">
        <v>1</v>
      </c>
      <c r="Q30" s="73">
        <v>0</v>
      </c>
      <c r="R30" s="72" t="s">
        <v>221</v>
      </c>
      <c r="S30" s="72" t="s">
        <v>222</v>
      </c>
      <c r="T30" s="72" t="s">
        <v>423</v>
      </c>
      <c r="U30" s="74" t="b">
        <v>0</v>
      </c>
      <c r="V30" s="72" t="b">
        <v>1</v>
      </c>
      <c r="W30" s="72" t="b">
        <v>0</v>
      </c>
      <c r="X30" s="72" t="b">
        <v>0</v>
      </c>
      <c r="Y30" s="72" t="b">
        <v>1</v>
      </c>
      <c r="Z30" s="72" t="b">
        <v>0</v>
      </c>
      <c r="AA30" s="72" t="b">
        <v>0</v>
      </c>
      <c r="AB30" s="72" t="b">
        <v>0</v>
      </c>
      <c r="AC30" s="72" t="b">
        <v>0</v>
      </c>
      <c r="AD30" s="72" t="b">
        <v>1</v>
      </c>
      <c r="AE30" s="72" t="b">
        <v>1</v>
      </c>
      <c r="AF30" s="75" t="b">
        <v>0</v>
      </c>
      <c r="AG30" s="72" t="b">
        <v>0</v>
      </c>
      <c r="AH30" s="72" t="b">
        <v>0</v>
      </c>
      <c r="AI30" s="72" t="b">
        <v>1</v>
      </c>
    </row>
    <row r="31" spans="1:35" x14ac:dyDescent="0.3">
      <c r="A31" s="13">
        <f t="shared" si="0"/>
        <v>22</v>
      </c>
      <c r="B31" s="70" t="s">
        <v>466</v>
      </c>
      <c r="C31" s="71" t="s">
        <v>444</v>
      </c>
      <c r="D31" s="72" t="s">
        <v>231</v>
      </c>
      <c r="E31" s="70" t="s">
        <v>120</v>
      </c>
      <c r="F31" s="73" t="s">
        <v>122</v>
      </c>
      <c r="G31" s="73" t="str">
        <f t="shared" si="2"/>
        <v>2030 bench</v>
      </c>
      <c r="H31" s="73" t="s">
        <v>239</v>
      </c>
      <c r="I31" s="73">
        <v>2020</v>
      </c>
      <c r="J31" s="73" t="s">
        <v>87</v>
      </c>
      <c r="K31" s="73">
        <v>0</v>
      </c>
      <c r="L31" s="73">
        <v>0</v>
      </c>
      <c r="M31" s="73">
        <v>-1</v>
      </c>
      <c r="N31" s="73" t="s">
        <v>122</v>
      </c>
      <c r="O31" s="73">
        <v>0</v>
      </c>
      <c r="P31" s="73">
        <v>1</v>
      </c>
      <c r="Q31" s="73">
        <v>0</v>
      </c>
      <c r="R31" s="72" t="s">
        <v>221</v>
      </c>
      <c r="S31" s="72" t="s">
        <v>222</v>
      </c>
      <c r="T31" s="72" t="s">
        <v>423</v>
      </c>
      <c r="U31" s="72" t="b">
        <v>0</v>
      </c>
      <c r="V31" s="72" t="b">
        <v>1</v>
      </c>
      <c r="W31" s="72" t="b">
        <v>0</v>
      </c>
      <c r="X31" s="72" t="b">
        <v>0</v>
      </c>
      <c r="Y31" s="72" t="b">
        <v>1</v>
      </c>
      <c r="Z31" s="72" t="b">
        <v>0</v>
      </c>
      <c r="AA31" s="72" t="b">
        <v>0</v>
      </c>
      <c r="AB31" s="72" t="b">
        <v>0</v>
      </c>
      <c r="AC31" s="72" t="b">
        <v>0</v>
      </c>
      <c r="AD31" s="72" t="b">
        <v>1</v>
      </c>
      <c r="AE31" s="72" t="b">
        <v>1</v>
      </c>
      <c r="AF31" s="72" t="b">
        <v>0</v>
      </c>
      <c r="AG31" s="72" t="b">
        <v>0</v>
      </c>
      <c r="AH31" s="72" t="b">
        <v>0</v>
      </c>
      <c r="AI31" s="72" t="b">
        <v>1</v>
      </c>
    </row>
    <row r="32" spans="1:35" x14ac:dyDescent="0.3">
      <c r="A32" s="13">
        <f t="shared" si="0"/>
        <v>23</v>
      </c>
      <c r="B32" s="70" t="s">
        <v>466</v>
      </c>
      <c r="C32" s="71" t="s">
        <v>443</v>
      </c>
      <c r="D32" s="72" t="s">
        <v>231</v>
      </c>
      <c r="E32" s="70" t="s">
        <v>120</v>
      </c>
      <c r="F32" s="73" t="s">
        <v>122</v>
      </c>
      <c r="G32" s="73" t="str">
        <f t="shared" si="2"/>
        <v>2030 bench</v>
      </c>
      <c r="H32" s="73" t="s">
        <v>239</v>
      </c>
      <c r="I32" s="73">
        <v>2020</v>
      </c>
      <c r="J32" s="73" t="s">
        <v>104</v>
      </c>
      <c r="K32" s="73">
        <v>0</v>
      </c>
      <c r="L32" s="73">
        <v>0</v>
      </c>
      <c r="M32" s="73">
        <v>-1</v>
      </c>
      <c r="N32" s="73" t="s">
        <v>122</v>
      </c>
      <c r="O32" s="73">
        <v>0</v>
      </c>
      <c r="P32" s="73">
        <v>1</v>
      </c>
      <c r="Q32" s="73">
        <v>0</v>
      </c>
      <c r="R32" s="72" t="s">
        <v>221</v>
      </c>
      <c r="S32" s="72" t="s">
        <v>222</v>
      </c>
      <c r="T32" s="72" t="s">
        <v>423</v>
      </c>
      <c r="U32" s="74" t="b">
        <v>0</v>
      </c>
      <c r="V32" s="72" t="b">
        <v>1</v>
      </c>
      <c r="W32" s="72" t="b">
        <v>0</v>
      </c>
      <c r="X32" s="72" t="b">
        <v>0</v>
      </c>
      <c r="Y32" s="72" t="b">
        <v>1</v>
      </c>
      <c r="Z32" s="72" t="b">
        <v>0</v>
      </c>
      <c r="AA32" s="72" t="b">
        <v>0</v>
      </c>
      <c r="AB32" s="72" t="b">
        <v>0</v>
      </c>
      <c r="AC32" s="72" t="b">
        <v>0</v>
      </c>
      <c r="AD32" s="72" t="b">
        <v>1</v>
      </c>
      <c r="AE32" s="72" t="b">
        <v>1</v>
      </c>
      <c r="AF32" s="75" t="b">
        <v>0</v>
      </c>
      <c r="AG32" s="72" t="b">
        <v>0</v>
      </c>
      <c r="AH32" s="72" t="b">
        <v>0</v>
      </c>
      <c r="AI32" s="72" t="b">
        <v>1</v>
      </c>
    </row>
    <row r="33" spans="1:35" x14ac:dyDescent="0.3">
      <c r="A33" s="13">
        <f t="shared" si="0"/>
        <v>24</v>
      </c>
      <c r="B33" s="70" t="s">
        <v>466</v>
      </c>
      <c r="C33" s="71" t="s">
        <v>445</v>
      </c>
      <c r="D33" s="72" t="s">
        <v>231</v>
      </c>
      <c r="E33" s="70" t="s">
        <v>120</v>
      </c>
      <c r="F33" s="73" t="s">
        <v>122</v>
      </c>
      <c r="G33" s="73" t="str">
        <f t="shared" si="2"/>
        <v>2030 bench</v>
      </c>
      <c r="H33" s="73" t="s">
        <v>239</v>
      </c>
      <c r="I33" s="73">
        <v>2020</v>
      </c>
      <c r="J33" s="73" t="s">
        <v>233</v>
      </c>
      <c r="K33" s="73">
        <v>0</v>
      </c>
      <c r="L33" s="73">
        <v>0</v>
      </c>
      <c r="M33" s="73">
        <v>-1</v>
      </c>
      <c r="N33" s="73" t="s">
        <v>122</v>
      </c>
      <c r="O33" s="73">
        <v>0</v>
      </c>
      <c r="P33" s="73">
        <v>1</v>
      </c>
      <c r="Q33" s="73">
        <v>0</v>
      </c>
      <c r="R33" s="72" t="s">
        <v>221</v>
      </c>
      <c r="S33" s="72" t="s">
        <v>222</v>
      </c>
      <c r="T33" s="72" t="s">
        <v>423</v>
      </c>
      <c r="U33" s="74" t="b">
        <v>0</v>
      </c>
      <c r="V33" s="72" t="b">
        <v>1</v>
      </c>
      <c r="W33" s="72" t="b">
        <v>0</v>
      </c>
      <c r="X33" s="72" t="b">
        <v>0</v>
      </c>
      <c r="Y33" s="72" t="b">
        <v>1</v>
      </c>
      <c r="Z33" s="72" t="b">
        <v>0</v>
      </c>
      <c r="AA33" s="72" t="b">
        <v>0</v>
      </c>
      <c r="AB33" s="72" t="b">
        <v>0</v>
      </c>
      <c r="AC33" s="72" t="b">
        <v>0</v>
      </c>
      <c r="AD33" s="72" t="b">
        <v>1</v>
      </c>
      <c r="AE33" s="72" t="b">
        <v>1</v>
      </c>
      <c r="AF33" s="75" t="b">
        <v>0</v>
      </c>
      <c r="AG33" s="72" t="b">
        <v>0</v>
      </c>
      <c r="AH33" s="72" t="b">
        <v>0</v>
      </c>
      <c r="AI33" s="72" t="b">
        <v>1</v>
      </c>
    </row>
    <row r="34" spans="1:35" x14ac:dyDescent="0.3">
      <c r="A34" s="13">
        <f t="shared" si="0"/>
        <v>25</v>
      </c>
      <c r="B34" s="70" t="s">
        <v>467</v>
      </c>
      <c r="C34" s="71" t="s">
        <v>444</v>
      </c>
      <c r="D34" s="72" t="s">
        <v>231</v>
      </c>
      <c r="E34" s="70" t="s">
        <v>120</v>
      </c>
      <c r="F34" s="73" t="s">
        <v>122</v>
      </c>
      <c r="G34" s="73" t="str">
        <f t="shared" si="2"/>
        <v>2030 bench</v>
      </c>
      <c r="H34" s="73" t="s">
        <v>239</v>
      </c>
      <c r="I34" s="73">
        <v>2020</v>
      </c>
      <c r="J34" s="73" t="s">
        <v>87</v>
      </c>
      <c r="K34" s="73">
        <v>0</v>
      </c>
      <c r="L34" s="73">
        <v>0</v>
      </c>
      <c r="M34" s="73">
        <v>-1</v>
      </c>
      <c r="N34" s="73" t="s">
        <v>122</v>
      </c>
      <c r="O34" s="73">
        <v>0</v>
      </c>
      <c r="P34" s="73">
        <v>1</v>
      </c>
      <c r="Q34" s="73">
        <v>0</v>
      </c>
      <c r="R34" s="72" t="s">
        <v>221</v>
      </c>
      <c r="S34" s="72" t="s">
        <v>222</v>
      </c>
      <c r="T34" s="72" t="s">
        <v>423</v>
      </c>
      <c r="U34" s="72" t="b">
        <v>0</v>
      </c>
      <c r="V34" s="72" t="b">
        <v>1</v>
      </c>
      <c r="W34" s="72" t="b">
        <v>0</v>
      </c>
      <c r="X34" s="72" t="b">
        <v>0</v>
      </c>
      <c r="Y34" s="72" t="b">
        <v>1</v>
      </c>
      <c r="Z34" s="72" t="b">
        <v>0</v>
      </c>
      <c r="AA34" s="72" t="b">
        <v>0</v>
      </c>
      <c r="AB34" s="72" t="b">
        <v>0</v>
      </c>
      <c r="AC34" s="72" t="b">
        <v>0</v>
      </c>
      <c r="AD34" s="72" t="b">
        <v>1</v>
      </c>
      <c r="AE34" s="72" t="b">
        <v>1</v>
      </c>
      <c r="AF34" s="72" t="b">
        <v>0</v>
      </c>
      <c r="AG34" s="72" t="b">
        <v>0</v>
      </c>
      <c r="AH34" s="72" t="b">
        <v>0</v>
      </c>
      <c r="AI34" s="72" t="b">
        <v>1</v>
      </c>
    </row>
    <row r="35" spans="1:35" x14ac:dyDescent="0.3">
      <c r="A35" s="13">
        <f t="shared" si="0"/>
        <v>26</v>
      </c>
      <c r="B35" s="70" t="s">
        <v>467</v>
      </c>
      <c r="C35" s="71" t="s">
        <v>443</v>
      </c>
      <c r="D35" s="72" t="s">
        <v>231</v>
      </c>
      <c r="E35" s="70" t="s">
        <v>120</v>
      </c>
      <c r="F35" s="73" t="s">
        <v>122</v>
      </c>
      <c r="G35" s="73" t="str">
        <f t="shared" si="2"/>
        <v>2030 bench</v>
      </c>
      <c r="H35" s="73" t="s">
        <v>239</v>
      </c>
      <c r="I35" s="73">
        <v>2020</v>
      </c>
      <c r="J35" s="73" t="s">
        <v>104</v>
      </c>
      <c r="K35" s="73">
        <v>0</v>
      </c>
      <c r="L35" s="73">
        <v>0</v>
      </c>
      <c r="M35" s="73">
        <v>-1</v>
      </c>
      <c r="N35" s="73" t="s">
        <v>122</v>
      </c>
      <c r="O35" s="73">
        <v>0</v>
      </c>
      <c r="P35" s="73">
        <v>1</v>
      </c>
      <c r="Q35" s="73">
        <v>0</v>
      </c>
      <c r="R35" s="72" t="s">
        <v>221</v>
      </c>
      <c r="S35" s="72" t="s">
        <v>222</v>
      </c>
      <c r="T35" s="72" t="s">
        <v>423</v>
      </c>
      <c r="U35" s="74" t="b">
        <v>0</v>
      </c>
      <c r="V35" s="72" t="b">
        <v>1</v>
      </c>
      <c r="W35" s="72" t="b">
        <v>0</v>
      </c>
      <c r="X35" s="72" t="b">
        <v>0</v>
      </c>
      <c r="Y35" s="72" t="b">
        <v>1</v>
      </c>
      <c r="Z35" s="72" t="b">
        <v>0</v>
      </c>
      <c r="AA35" s="72" t="b">
        <v>0</v>
      </c>
      <c r="AB35" s="72" t="b">
        <v>0</v>
      </c>
      <c r="AC35" s="72" t="b">
        <v>0</v>
      </c>
      <c r="AD35" s="72" t="b">
        <v>1</v>
      </c>
      <c r="AE35" s="72" t="b">
        <v>1</v>
      </c>
      <c r="AF35" s="75" t="b">
        <v>0</v>
      </c>
      <c r="AG35" s="72" t="b">
        <v>0</v>
      </c>
      <c r="AH35" s="72" t="b">
        <v>0</v>
      </c>
      <c r="AI35" s="72" t="b">
        <v>1</v>
      </c>
    </row>
    <row r="36" spans="1:35" x14ac:dyDescent="0.3">
      <c r="A36" s="13">
        <f t="shared" si="0"/>
        <v>27</v>
      </c>
      <c r="B36" s="70" t="s">
        <v>467</v>
      </c>
      <c r="C36" s="71" t="s">
        <v>445</v>
      </c>
      <c r="D36" s="72" t="s">
        <v>231</v>
      </c>
      <c r="E36" s="70" t="s">
        <v>120</v>
      </c>
      <c r="F36" s="73" t="s">
        <v>122</v>
      </c>
      <c r="G36" s="73" t="str">
        <f t="shared" si="2"/>
        <v>2030 bench</v>
      </c>
      <c r="H36" s="73" t="s">
        <v>239</v>
      </c>
      <c r="I36" s="73">
        <v>2020</v>
      </c>
      <c r="J36" s="73" t="s">
        <v>233</v>
      </c>
      <c r="K36" s="73">
        <v>0</v>
      </c>
      <c r="L36" s="73">
        <v>0</v>
      </c>
      <c r="M36" s="73">
        <v>-1</v>
      </c>
      <c r="N36" s="73" t="s">
        <v>122</v>
      </c>
      <c r="O36" s="73">
        <v>0</v>
      </c>
      <c r="P36" s="73">
        <v>1</v>
      </c>
      <c r="Q36" s="73">
        <v>0</v>
      </c>
      <c r="R36" s="72" t="s">
        <v>221</v>
      </c>
      <c r="S36" s="72" t="s">
        <v>222</v>
      </c>
      <c r="T36" s="72" t="s">
        <v>423</v>
      </c>
      <c r="U36" s="74" t="b">
        <v>0</v>
      </c>
      <c r="V36" s="72" t="b">
        <v>1</v>
      </c>
      <c r="W36" s="72" t="b">
        <v>0</v>
      </c>
      <c r="X36" s="72" t="b">
        <v>0</v>
      </c>
      <c r="Y36" s="72" t="b">
        <v>1</v>
      </c>
      <c r="Z36" s="72" t="b">
        <v>0</v>
      </c>
      <c r="AA36" s="72" t="b">
        <v>0</v>
      </c>
      <c r="AB36" s="72" t="b">
        <v>0</v>
      </c>
      <c r="AC36" s="72" t="b">
        <v>0</v>
      </c>
      <c r="AD36" s="72" t="b">
        <v>1</v>
      </c>
      <c r="AE36" s="72" t="b">
        <v>1</v>
      </c>
      <c r="AF36" s="75" t="b">
        <v>0</v>
      </c>
      <c r="AG36" s="72" t="b">
        <v>0</v>
      </c>
      <c r="AH36" s="72" t="b">
        <v>0</v>
      </c>
      <c r="AI36" s="72" t="b">
        <v>1</v>
      </c>
    </row>
    <row r="37" spans="1:35" x14ac:dyDescent="0.3">
      <c r="A37" s="13">
        <f t="shared" si="0"/>
        <v>28</v>
      </c>
      <c r="B37" s="70" t="s">
        <v>473</v>
      </c>
      <c r="C37" s="71" t="s">
        <v>469</v>
      </c>
      <c r="D37" s="92" t="s">
        <v>468</v>
      </c>
      <c r="E37" s="70" t="s">
        <v>120</v>
      </c>
      <c r="F37" s="73" t="s">
        <v>122</v>
      </c>
      <c r="G37" s="73" t="str">
        <f t="shared" si="2"/>
        <v>2030 bench</v>
      </c>
      <c r="H37" s="73" t="s">
        <v>239</v>
      </c>
      <c r="I37" s="93" t="s">
        <v>472</v>
      </c>
      <c r="J37" s="73" t="s">
        <v>87</v>
      </c>
      <c r="K37" s="73">
        <v>0</v>
      </c>
      <c r="L37" s="73">
        <v>0</v>
      </c>
      <c r="M37" s="73">
        <v>-1</v>
      </c>
      <c r="N37" s="73" t="s">
        <v>122</v>
      </c>
      <c r="O37" s="73">
        <v>0</v>
      </c>
      <c r="P37" s="73">
        <v>1</v>
      </c>
      <c r="Q37" s="73">
        <v>0</v>
      </c>
      <c r="R37" s="72" t="s">
        <v>221</v>
      </c>
      <c r="S37" s="72" t="s">
        <v>222</v>
      </c>
      <c r="T37" s="72" t="s">
        <v>423</v>
      </c>
      <c r="U37" s="74" t="b">
        <v>0</v>
      </c>
      <c r="V37" s="72" t="b">
        <v>1</v>
      </c>
      <c r="W37" s="72" t="b">
        <v>0</v>
      </c>
      <c r="X37" s="72" t="b">
        <v>0</v>
      </c>
      <c r="Y37" s="72" t="b">
        <v>1</v>
      </c>
      <c r="Z37" s="72" t="b">
        <v>0</v>
      </c>
      <c r="AA37" s="72" t="b">
        <v>0</v>
      </c>
      <c r="AB37" s="72" t="b">
        <v>0</v>
      </c>
      <c r="AC37" s="72" t="b">
        <v>0</v>
      </c>
      <c r="AD37" s="72" t="b">
        <v>1</v>
      </c>
      <c r="AE37" s="72" t="b">
        <v>1</v>
      </c>
      <c r="AF37" s="75" t="b">
        <v>0</v>
      </c>
      <c r="AG37" s="72" t="b">
        <v>0</v>
      </c>
      <c r="AH37" s="72" t="b">
        <v>0</v>
      </c>
      <c r="AI37" s="72" t="b">
        <v>1</v>
      </c>
    </row>
    <row r="38" spans="1:35" x14ac:dyDescent="0.3">
      <c r="A38" s="13">
        <f t="shared" si="0"/>
        <v>29</v>
      </c>
      <c r="B38" s="70" t="s">
        <v>473</v>
      </c>
      <c r="C38" s="71" t="s">
        <v>470</v>
      </c>
      <c r="D38" s="92" t="s">
        <v>468</v>
      </c>
      <c r="E38" s="70" t="s">
        <v>120</v>
      </c>
      <c r="F38" s="73" t="s">
        <v>122</v>
      </c>
      <c r="G38" s="73" t="str">
        <f t="shared" si="2"/>
        <v>2030 bench</v>
      </c>
      <c r="H38" s="73" t="s">
        <v>239</v>
      </c>
      <c r="I38" s="93" t="s">
        <v>472</v>
      </c>
      <c r="J38" s="73" t="s">
        <v>104</v>
      </c>
      <c r="K38" s="73">
        <v>0</v>
      </c>
      <c r="L38" s="73">
        <v>0</v>
      </c>
      <c r="M38" s="73">
        <v>-1</v>
      </c>
      <c r="N38" s="73" t="s">
        <v>122</v>
      </c>
      <c r="O38" s="73">
        <v>0</v>
      </c>
      <c r="P38" s="73">
        <v>1</v>
      </c>
      <c r="Q38" s="73">
        <v>0</v>
      </c>
      <c r="R38" s="72" t="s">
        <v>221</v>
      </c>
      <c r="S38" s="72" t="s">
        <v>222</v>
      </c>
      <c r="T38" s="72" t="s">
        <v>423</v>
      </c>
      <c r="U38" s="74" t="b">
        <v>0</v>
      </c>
      <c r="V38" s="72" t="b">
        <v>1</v>
      </c>
      <c r="W38" s="72" t="b">
        <v>0</v>
      </c>
      <c r="X38" s="72" t="b">
        <v>0</v>
      </c>
      <c r="Y38" s="72" t="b">
        <v>1</v>
      </c>
      <c r="Z38" s="72" t="b">
        <v>0</v>
      </c>
      <c r="AA38" s="72" t="b">
        <v>0</v>
      </c>
      <c r="AB38" s="72" t="b">
        <v>0</v>
      </c>
      <c r="AC38" s="72" t="b">
        <v>0</v>
      </c>
      <c r="AD38" s="72" t="b">
        <v>1</v>
      </c>
      <c r="AE38" s="72" t="b">
        <v>1</v>
      </c>
      <c r="AF38" s="75" t="b">
        <v>0</v>
      </c>
      <c r="AG38" s="72" t="b">
        <v>0</v>
      </c>
      <c r="AH38" s="72" t="b">
        <v>0</v>
      </c>
      <c r="AI38" s="72" t="b">
        <v>1</v>
      </c>
    </row>
    <row r="39" spans="1:35" x14ac:dyDescent="0.3">
      <c r="A39" s="13">
        <f t="shared" si="0"/>
        <v>30</v>
      </c>
      <c r="B39" s="70" t="s">
        <v>473</v>
      </c>
      <c r="C39" s="71" t="s">
        <v>471</v>
      </c>
      <c r="D39" s="92" t="s">
        <v>468</v>
      </c>
      <c r="E39" s="70" t="s">
        <v>120</v>
      </c>
      <c r="F39" s="73" t="s">
        <v>122</v>
      </c>
      <c r="G39" s="73" t="str">
        <f t="shared" si="2"/>
        <v>2030 bench</v>
      </c>
      <c r="H39" s="73" t="s">
        <v>239</v>
      </c>
      <c r="I39" s="93" t="s">
        <v>472</v>
      </c>
      <c r="J39" s="73" t="s">
        <v>233</v>
      </c>
      <c r="K39" s="73">
        <v>0</v>
      </c>
      <c r="L39" s="73">
        <v>0</v>
      </c>
      <c r="M39" s="73">
        <v>-1</v>
      </c>
      <c r="N39" s="73" t="s">
        <v>122</v>
      </c>
      <c r="O39" s="73">
        <v>0</v>
      </c>
      <c r="P39" s="73">
        <v>1</v>
      </c>
      <c r="Q39" s="73">
        <v>0</v>
      </c>
      <c r="R39" s="72" t="s">
        <v>221</v>
      </c>
      <c r="S39" s="72" t="s">
        <v>222</v>
      </c>
      <c r="T39" s="72" t="s">
        <v>423</v>
      </c>
      <c r="U39" s="74" t="b">
        <v>0</v>
      </c>
      <c r="V39" s="72" t="b">
        <v>1</v>
      </c>
      <c r="W39" s="72" t="b">
        <v>0</v>
      </c>
      <c r="X39" s="72" t="b">
        <v>0</v>
      </c>
      <c r="Y39" s="72" t="b">
        <v>1</v>
      </c>
      <c r="Z39" s="72" t="b">
        <v>0</v>
      </c>
      <c r="AA39" s="72" t="b">
        <v>0</v>
      </c>
      <c r="AB39" s="72" t="b">
        <v>0</v>
      </c>
      <c r="AC39" s="72" t="b">
        <v>0</v>
      </c>
      <c r="AD39" s="72" t="b">
        <v>1</v>
      </c>
      <c r="AE39" s="72" t="b">
        <v>1</v>
      </c>
      <c r="AF39" s="75" t="b">
        <v>0</v>
      </c>
      <c r="AG39" s="72" t="b">
        <v>0</v>
      </c>
      <c r="AH39" s="72" t="b">
        <v>0</v>
      </c>
      <c r="AI39" s="72" t="b">
        <v>1</v>
      </c>
    </row>
    <row r="40" spans="1:35" x14ac:dyDescent="0.3">
      <c r="A40" s="13">
        <f t="shared" si="0"/>
        <v>31</v>
      </c>
      <c r="B40" s="70" t="s">
        <v>474</v>
      </c>
      <c r="C40" s="71" t="s">
        <v>469</v>
      </c>
      <c r="D40" s="92" t="s">
        <v>468</v>
      </c>
      <c r="E40" s="70" t="s">
        <v>120</v>
      </c>
      <c r="F40" s="73" t="s">
        <v>133</v>
      </c>
      <c r="G40" s="73" t="str">
        <f t="shared" si="2"/>
        <v>2030 bench</v>
      </c>
      <c r="H40" s="73" t="s">
        <v>239</v>
      </c>
      <c r="I40" s="93" t="s">
        <v>472</v>
      </c>
      <c r="J40" s="73" t="s">
        <v>87</v>
      </c>
      <c r="K40" s="73">
        <v>0</v>
      </c>
      <c r="L40" s="73">
        <v>0</v>
      </c>
      <c r="M40" s="73">
        <v>-1</v>
      </c>
      <c r="N40" s="73" t="s">
        <v>122</v>
      </c>
      <c r="O40" s="73">
        <v>0</v>
      </c>
      <c r="P40" s="73">
        <v>1</v>
      </c>
      <c r="Q40" s="73">
        <v>0</v>
      </c>
      <c r="R40" s="72" t="s">
        <v>221</v>
      </c>
      <c r="S40" s="72" t="s">
        <v>222</v>
      </c>
      <c r="T40" s="72" t="s">
        <v>423</v>
      </c>
      <c r="U40" s="74" t="b">
        <v>0</v>
      </c>
      <c r="V40" s="72" t="b">
        <v>1</v>
      </c>
      <c r="W40" s="72" t="b">
        <v>0</v>
      </c>
      <c r="X40" s="72" t="b">
        <v>0</v>
      </c>
      <c r="Y40" s="72" t="b">
        <v>1</v>
      </c>
      <c r="Z40" s="72" t="b">
        <v>0</v>
      </c>
      <c r="AA40" s="72" t="b">
        <v>0</v>
      </c>
      <c r="AB40" s="72" t="b">
        <v>0</v>
      </c>
      <c r="AC40" s="72" t="b">
        <v>0</v>
      </c>
      <c r="AD40" s="72" t="b">
        <v>1</v>
      </c>
      <c r="AE40" s="72" t="b">
        <v>1</v>
      </c>
      <c r="AF40" s="75" t="b">
        <v>0</v>
      </c>
      <c r="AG40" s="72" t="b">
        <v>0</v>
      </c>
      <c r="AH40" s="72" t="b">
        <v>0</v>
      </c>
      <c r="AI40" s="72" t="b">
        <v>1</v>
      </c>
    </row>
    <row r="41" spans="1:35" x14ac:dyDescent="0.3">
      <c r="A41" s="13">
        <f t="shared" si="0"/>
        <v>32</v>
      </c>
      <c r="B41" s="70" t="s">
        <v>474</v>
      </c>
      <c r="C41" s="71" t="s">
        <v>470</v>
      </c>
      <c r="D41" s="92" t="s">
        <v>468</v>
      </c>
      <c r="E41" s="70" t="s">
        <v>120</v>
      </c>
      <c r="F41" s="73" t="s">
        <v>133</v>
      </c>
      <c r="G41" s="73" t="str">
        <f t="shared" si="2"/>
        <v>2030 bench</v>
      </c>
      <c r="H41" s="73" t="s">
        <v>239</v>
      </c>
      <c r="I41" s="93" t="s">
        <v>472</v>
      </c>
      <c r="J41" s="73" t="s">
        <v>104</v>
      </c>
      <c r="K41" s="73">
        <v>0</v>
      </c>
      <c r="L41" s="73">
        <v>0</v>
      </c>
      <c r="M41" s="73">
        <v>-1</v>
      </c>
      <c r="N41" s="73" t="s">
        <v>122</v>
      </c>
      <c r="O41" s="73">
        <v>0</v>
      </c>
      <c r="P41" s="73">
        <v>1</v>
      </c>
      <c r="Q41" s="73">
        <v>0</v>
      </c>
      <c r="R41" s="72" t="s">
        <v>221</v>
      </c>
      <c r="S41" s="72" t="s">
        <v>222</v>
      </c>
      <c r="T41" s="72" t="s">
        <v>423</v>
      </c>
      <c r="U41" s="74" t="b">
        <v>0</v>
      </c>
      <c r="V41" s="72" t="b">
        <v>1</v>
      </c>
      <c r="W41" s="72" t="b">
        <v>0</v>
      </c>
      <c r="X41" s="72" t="b">
        <v>0</v>
      </c>
      <c r="Y41" s="72" t="b">
        <v>1</v>
      </c>
      <c r="Z41" s="72" t="b">
        <v>0</v>
      </c>
      <c r="AA41" s="72" t="b">
        <v>0</v>
      </c>
      <c r="AB41" s="72" t="b">
        <v>0</v>
      </c>
      <c r="AC41" s="72" t="b">
        <v>0</v>
      </c>
      <c r="AD41" s="72" t="b">
        <v>1</v>
      </c>
      <c r="AE41" s="72" t="b">
        <v>1</v>
      </c>
      <c r="AF41" s="75" t="b">
        <v>0</v>
      </c>
      <c r="AG41" s="72" t="b">
        <v>0</v>
      </c>
      <c r="AH41" s="72" t="b">
        <v>0</v>
      </c>
      <c r="AI41" s="72" t="b">
        <v>1</v>
      </c>
    </row>
    <row r="42" spans="1:35" x14ac:dyDescent="0.3">
      <c r="A42" s="13">
        <f t="shared" si="0"/>
        <v>33</v>
      </c>
      <c r="B42" s="70" t="s">
        <v>474</v>
      </c>
      <c r="C42" s="71" t="s">
        <v>471</v>
      </c>
      <c r="D42" s="72" t="s">
        <v>468</v>
      </c>
      <c r="E42" s="70" t="s">
        <v>120</v>
      </c>
      <c r="F42" s="73" t="s">
        <v>133</v>
      </c>
      <c r="G42" s="73" t="str">
        <f t="shared" si="2"/>
        <v>2030 bench</v>
      </c>
      <c r="H42" s="73" t="s">
        <v>239</v>
      </c>
      <c r="I42" s="93" t="s">
        <v>472</v>
      </c>
      <c r="J42" s="73" t="s">
        <v>233</v>
      </c>
      <c r="K42" s="73">
        <v>0</v>
      </c>
      <c r="L42" s="73">
        <v>0</v>
      </c>
      <c r="M42" s="73">
        <v>-1</v>
      </c>
      <c r="N42" s="73" t="s">
        <v>122</v>
      </c>
      <c r="O42" s="73">
        <v>0</v>
      </c>
      <c r="P42" s="73">
        <v>1</v>
      </c>
      <c r="Q42" s="73">
        <v>0</v>
      </c>
      <c r="R42" s="72" t="s">
        <v>221</v>
      </c>
      <c r="S42" s="72" t="s">
        <v>222</v>
      </c>
      <c r="T42" s="72" t="s">
        <v>423</v>
      </c>
      <c r="U42" s="74" t="b">
        <v>0</v>
      </c>
      <c r="V42" s="72" t="b">
        <v>1</v>
      </c>
      <c r="W42" s="72" t="b">
        <v>0</v>
      </c>
      <c r="X42" s="72" t="b">
        <v>0</v>
      </c>
      <c r="Y42" s="72" t="b">
        <v>1</v>
      </c>
      <c r="Z42" s="72" t="b">
        <v>0</v>
      </c>
      <c r="AA42" s="72" t="b">
        <v>0</v>
      </c>
      <c r="AB42" s="72" t="b">
        <v>0</v>
      </c>
      <c r="AC42" s="72" t="b">
        <v>0</v>
      </c>
      <c r="AD42" s="72" t="b">
        <v>1</v>
      </c>
      <c r="AE42" s="72" t="b">
        <v>1</v>
      </c>
      <c r="AF42" s="75" t="b">
        <v>0</v>
      </c>
      <c r="AG42" s="72" t="b">
        <v>0</v>
      </c>
      <c r="AH42" s="72" t="b">
        <v>0</v>
      </c>
      <c r="AI42" s="72" t="b">
        <v>1</v>
      </c>
    </row>
    <row r="43" spans="1:35" x14ac:dyDescent="0.3">
      <c r="A43" s="13">
        <f t="shared" si="0"/>
        <v>34</v>
      </c>
      <c r="B43" s="70" t="s">
        <v>477</v>
      </c>
      <c r="C43" s="71" t="s">
        <v>480</v>
      </c>
      <c r="D43" s="72" t="s">
        <v>240</v>
      </c>
      <c r="E43" s="70" t="s">
        <v>120</v>
      </c>
      <c r="F43" s="73" t="s">
        <v>122</v>
      </c>
      <c r="G43" s="73" t="str">
        <f t="shared" si="2"/>
        <v>2030 bench</v>
      </c>
      <c r="H43" s="73" t="s">
        <v>239</v>
      </c>
      <c r="I43" s="93" t="s">
        <v>472</v>
      </c>
      <c r="J43" s="73" t="s">
        <v>87</v>
      </c>
      <c r="K43" s="73">
        <v>0</v>
      </c>
      <c r="L43" s="73">
        <v>0</v>
      </c>
      <c r="M43" s="73">
        <v>-1</v>
      </c>
      <c r="N43" s="73" t="s">
        <v>122</v>
      </c>
      <c r="O43" s="73">
        <v>0</v>
      </c>
      <c r="P43" s="73">
        <v>1</v>
      </c>
      <c r="Q43" s="73">
        <v>0</v>
      </c>
      <c r="R43" s="72" t="s">
        <v>221</v>
      </c>
      <c r="S43" s="72" t="s">
        <v>222</v>
      </c>
      <c r="T43" s="72" t="s">
        <v>423</v>
      </c>
      <c r="U43" s="74" t="b">
        <v>0</v>
      </c>
      <c r="V43" s="72" t="b">
        <v>1</v>
      </c>
      <c r="W43" s="72" t="b">
        <v>0</v>
      </c>
      <c r="X43" s="72" t="b">
        <v>0</v>
      </c>
      <c r="Y43" s="72" t="b">
        <v>1</v>
      </c>
      <c r="Z43" s="72" t="b">
        <v>0</v>
      </c>
      <c r="AA43" s="72" t="b">
        <v>0</v>
      </c>
      <c r="AB43" s="72" t="b">
        <v>0</v>
      </c>
      <c r="AC43" s="72" t="b">
        <v>0</v>
      </c>
      <c r="AD43" s="72" t="b">
        <v>1</v>
      </c>
      <c r="AE43" s="72" t="b">
        <v>1</v>
      </c>
      <c r="AF43" s="75" t="b">
        <v>0</v>
      </c>
      <c r="AG43" s="72" t="b">
        <v>0</v>
      </c>
      <c r="AH43" s="72" t="b">
        <v>0</v>
      </c>
      <c r="AI43" s="72" t="b">
        <v>1</v>
      </c>
    </row>
    <row r="44" spans="1:35" x14ac:dyDescent="0.3">
      <c r="A44" s="13">
        <f t="shared" si="0"/>
        <v>35</v>
      </c>
      <c r="B44" s="70" t="s">
        <v>477</v>
      </c>
      <c r="C44" s="71" t="s">
        <v>481</v>
      </c>
      <c r="D44" s="72" t="s">
        <v>240</v>
      </c>
      <c r="E44" s="70" t="s">
        <v>120</v>
      </c>
      <c r="F44" s="73" t="s">
        <v>122</v>
      </c>
      <c r="G44" s="73" t="str">
        <f t="shared" si="2"/>
        <v>2030 bench</v>
      </c>
      <c r="H44" s="73" t="s">
        <v>239</v>
      </c>
      <c r="I44" s="93" t="s">
        <v>472</v>
      </c>
      <c r="J44" s="73" t="s">
        <v>104</v>
      </c>
      <c r="K44" s="73">
        <v>0</v>
      </c>
      <c r="L44" s="73">
        <v>0</v>
      </c>
      <c r="M44" s="73">
        <v>-1</v>
      </c>
      <c r="N44" s="73" t="s">
        <v>122</v>
      </c>
      <c r="O44" s="73">
        <v>0</v>
      </c>
      <c r="P44" s="73">
        <v>1</v>
      </c>
      <c r="Q44" s="73">
        <v>0</v>
      </c>
      <c r="R44" s="72" t="s">
        <v>221</v>
      </c>
      <c r="S44" s="72" t="s">
        <v>222</v>
      </c>
      <c r="T44" s="72" t="s">
        <v>423</v>
      </c>
      <c r="U44" s="74" t="b">
        <v>0</v>
      </c>
      <c r="V44" s="72" t="b">
        <v>1</v>
      </c>
      <c r="W44" s="72" t="b">
        <v>0</v>
      </c>
      <c r="X44" s="72" t="b">
        <v>0</v>
      </c>
      <c r="Y44" s="72" t="b">
        <v>1</v>
      </c>
      <c r="Z44" s="72" t="b">
        <v>0</v>
      </c>
      <c r="AA44" s="72" t="b">
        <v>0</v>
      </c>
      <c r="AB44" s="72" t="b">
        <v>0</v>
      </c>
      <c r="AC44" s="72" t="b">
        <v>0</v>
      </c>
      <c r="AD44" s="72" t="b">
        <v>1</v>
      </c>
      <c r="AE44" s="72" t="b">
        <v>1</v>
      </c>
      <c r="AF44" s="75" t="b">
        <v>0</v>
      </c>
      <c r="AG44" s="72" t="b">
        <v>0</v>
      </c>
      <c r="AH44" s="72" t="b">
        <v>0</v>
      </c>
      <c r="AI44" s="72" t="b">
        <v>1</v>
      </c>
    </row>
    <row r="45" spans="1:35" x14ac:dyDescent="0.3">
      <c r="A45" s="13">
        <f t="shared" si="0"/>
        <v>36</v>
      </c>
      <c r="B45" s="70" t="s">
        <v>477</v>
      </c>
      <c r="C45" s="71" t="s">
        <v>482</v>
      </c>
      <c r="D45" s="72" t="s">
        <v>240</v>
      </c>
      <c r="E45" s="70" t="s">
        <v>120</v>
      </c>
      <c r="F45" s="73" t="s">
        <v>122</v>
      </c>
      <c r="G45" s="73" t="str">
        <f t="shared" si="2"/>
        <v>2030 bench</v>
      </c>
      <c r="H45" s="73" t="s">
        <v>239</v>
      </c>
      <c r="I45" s="93" t="s">
        <v>472</v>
      </c>
      <c r="J45" s="73" t="s">
        <v>233</v>
      </c>
      <c r="K45" s="73">
        <v>0</v>
      </c>
      <c r="L45" s="73">
        <v>0</v>
      </c>
      <c r="M45" s="73">
        <v>-1</v>
      </c>
      <c r="N45" s="73" t="s">
        <v>122</v>
      </c>
      <c r="O45" s="73">
        <v>0</v>
      </c>
      <c r="P45" s="73">
        <v>1</v>
      </c>
      <c r="Q45" s="73">
        <v>0</v>
      </c>
      <c r="R45" s="72" t="s">
        <v>221</v>
      </c>
      <c r="S45" s="72" t="s">
        <v>222</v>
      </c>
      <c r="T45" s="72" t="s">
        <v>423</v>
      </c>
      <c r="U45" s="74" t="b">
        <v>0</v>
      </c>
      <c r="V45" s="72" t="b">
        <v>1</v>
      </c>
      <c r="W45" s="72" t="b">
        <v>0</v>
      </c>
      <c r="X45" s="72" t="b">
        <v>0</v>
      </c>
      <c r="Y45" s="72" t="b">
        <v>1</v>
      </c>
      <c r="Z45" s="72" t="b">
        <v>0</v>
      </c>
      <c r="AA45" s="72" t="b">
        <v>0</v>
      </c>
      <c r="AB45" s="72" t="b">
        <v>0</v>
      </c>
      <c r="AC45" s="72" t="b">
        <v>0</v>
      </c>
      <c r="AD45" s="72" t="b">
        <v>1</v>
      </c>
      <c r="AE45" s="72" t="b">
        <v>1</v>
      </c>
      <c r="AF45" s="75" t="b">
        <v>0</v>
      </c>
      <c r="AG45" s="72" t="b">
        <v>0</v>
      </c>
      <c r="AH45" s="72" t="b">
        <v>0</v>
      </c>
      <c r="AI45" s="72" t="b">
        <v>1</v>
      </c>
    </row>
    <row r="46" spans="1:35" x14ac:dyDescent="0.3">
      <c r="A46" s="13">
        <f t="shared" si="0"/>
        <v>37</v>
      </c>
      <c r="B46" s="70" t="s">
        <v>476</v>
      </c>
      <c r="C46" s="71" t="s">
        <v>480</v>
      </c>
      <c r="D46" s="72" t="s">
        <v>240</v>
      </c>
      <c r="E46" s="70" t="s">
        <v>120</v>
      </c>
      <c r="F46" s="73" t="s">
        <v>133</v>
      </c>
      <c r="G46" s="73" t="str">
        <f t="shared" si="2"/>
        <v>2030 bench</v>
      </c>
      <c r="H46" s="73" t="s">
        <v>239</v>
      </c>
      <c r="I46" s="93" t="s">
        <v>472</v>
      </c>
      <c r="J46" s="73" t="s">
        <v>87</v>
      </c>
      <c r="K46" s="73">
        <v>0</v>
      </c>
      <c r="L46" s="73">
        <v>0</v>
      </c>
      <c r="M46" s="73">
        <v>-1</v>
      </c>
      <c r="N46" s="73" t="s">
        <v>122</v>
      </c>
      <c r="O46" s="73">
        <v>0</v>
      </c>
      <c r="P46" s="73">
        <v>1</v>
      </c>
      <c r="Q46" s="73">
        <v>0</v>
      </c>
      <c r="R46" s="72" t="s">
        <v>221</v>
      </c>
      <c r="S46" s="72" t="s">
        <v>222</v>
      </c>
      <c r="T46" s="72" t="s">
        <v>423</v>
      </c>
      <c r="U46" s="74" t="b">
        <v>0</v>
      </c>
      <c r="V46" s="72" t="b">
        <v>1</v>
      </c>
      <c r="W46" s="72" t="b">
        <v>0</v>
      </c>
      <c r="X46" s="72" t="b">
        <v>0</v>
      </c>
      <c r="Y46" s="72" t="b">
        <v>1</v>
      </c>
      <c r="Z46" s="72" t="b">
        <v>0</v>
      </c>
      <c r="AA46" s="72" t="b">
        <v>0</v>
      </c>
      <c r="AB46" s="72" t="b">
        <v>0</v>
      </c>
      <c r="AC46" s="72" t="b">
        <v>0</v>
      </c>
      <c r="AD46" s="72" t="b">
        <v>1</v>
      </c>
      <c r="AE46" s="72" t="b">
        <v>1</v>
      </c>
      <c r="AF46" s="75" t="b">
        <v>0</v>
      </c>
      <c r="AG46" s="72" t="b">
        <v>0</v>
      </c>
      <c r="AH46" s="72" t="b">
        <v>0</v>
      </c>
      <c r="AI46" s="72" t="b">
        <v>1</v>
      </c>
    </row>
    <row r="47" spans="1:35" x14ac:dyDescent="0.3">
      <c r="A47" s="13">
        <f t="shared" si="0"/>
        <v>38</v>
      </c>
      <c r="B47" s="70" t="s">
        <v>476</v>
      </c>
      <c r="C47" s="71" t="s">
        <v>481</v>
      </c>
      <c r="D47" s="72" t="s">
        <v>240</v>
      </c>
      <c r="E47" s="70" t="s">
        <v>120</v>
      </c>
      <c r="F47" s="73" t="s">
        <v>133</v>
      </c>
      <c r="G47" s="73" t="str">
        <f t="shared" si="2"/>
        <v>2030 bench</v>
      </c>
      <c r="H47" s="73" t="s">
        <v>239</v>
      </c>
      <c r="I47" s="93" t="s">
        <v>472</v>
      </c>
      <c r="J47" s="73" t="s">
        <v>104</v>
      </c>
      <c r="K47" s="73">
        <v>0</v>
      </c>
      <c r="L47" s="73">
        <v>0</v>
      </c>
      <c r="M47" s="73">
        <v>-1</v>
      </c>
      <c r="N47" s="73" t="s">
        <v>122</v>
      </c>
      <c r="O47" s="73">
        <v>0</v>
      </c>
      <c r="P47" s="73">
        <v>1</v>
      </c>
      <c r="Q47" s="73">
        <v>0</v>
      </c>
      <c r="R47" s="72" t="s">
        <v>221</v>
      </c>
      <c r="S47" s="72" t="s">
        <v>222</v>
      </c>
      <c r="T47" s="72" t="s">
        <v>423</v>
      </c>
      <c r="U47" s="74" t="b">
        <v>0</v>
      </c>
      <c r="V47" s="72" t="b">
        <v>1</v>
      </c>
      <c r="W47" s="72" t="b">
        <v>0</v>
      </c>
      <c r="X47" s="72" t="b">
        <v>0</v>
      </c>
      <c r="Y47" s="72" t="b">
        <v>1</v>
      </c>
      <c r="Z47" s="72" t="b">
        <v>0</v>
      </c>
      <c r="AA47" s="72" t="b">
        <v>0</v>
      </c>
      <c r="AB47" s="72" t="b">
        <v>0</v>
      </c>
      <c r="AC47" s="72" t="b">
        <v>0</v>
      </c>
      <c r="AD47" s="72" t="b">
        <v>1</v>
      </c>
      <c r="AE47" s="72" t="b">
        <v>1</v>
      </c>
      <c r="AF47" s="75" t="b">
        <v>0</v>
      </c>
      <c r="AG47" s="72" t="b">
        <v>0</v>
      </c>
      <c r="AH47" s="72" t="b">
        <v>0</v>
      </c>
      <c r="AI47" s="72" t="b">
        <v>1</v>
      </c>
    </row>
    <row r="48" spans="1:35" x14ac:dyDescent="0.3">
      <c r="A48" s="13">
        <f t="shared" si="0"/>
        <v>39</v>
      </c>
      <c r="B48" s="70" t="s">
        <v>476</v>
      </c>
      <c r="C48" s="71" t="s">
        <v>482</v>
      </c>
      <c r="D48" s="72" t="s">
        <v>240</v>
      </c>
      <c r="E48" s="70" t="s">
        <v>120</v>
      </c>
      <c r="F48" s="73" t="s">
        <v>133</v>
      </c>
      <c r="G48" s="73" t="str">
        <f t="shared" si="2"/>
        <v>2030 bench</v>
      </c>
      <c r="H48" s="73" t="s">
        <v>239</v>
      </c>
      <c r="I48" s="93" t="s">
        <v>472</v>
      </c>
      <c r="J48" s="73" t="s">
        <v>233</v>
      </c>
      <c r="K48" s="73">
        <v>0</v>
      </c>
      <c r="L48" s="73">
        <v>0</v>
      </c>
      <c r="M48" s="73">
        <v>-1</v>
      </c>
      <c r="N48" s="73" t="s">
        <v>122</v>
      </c>
      <c r="O48" s="73">
        <v>0</v>
      </c>
      <c r="P48" s="73">
        <v>1</v>
      </c>
      <c r="Q48" s="73">
        <v>0</v>
      </c>
      <c r="R48" s="72" t="s">
        <v>221</v>
      </c>
      <c r="S48" s="72" t="s">
        <v>222</v>
      </c>
      <c r="T48" s="72" t="s">
        <v>423</v>
      </c>
      <c r="U48" s="74" t="b">
        <v>0</v>
      </c>
      <c r="V48" s="72" t="b">
        <v>1</v>
      </c>
      <c r="W48" s="72" t="b">
        <v>0</v>
      </c>
      <c r="X48" s="72" t="b">
        <v>0</v>
      </c>
      <c r="Y48" s="72" t="b">
        <v>1</v>
      </c>
      <c r="Z48" s="72" t="b">
        <v>0</v>
      </c>
      <c r="AA48" s="72" t="b">
        <v>0</v>
      </c>
      <c r="AB48" s="72" t="b">
        <v>0</v>
      </c>
      <c r="AC48" s="72" t="b">
        <v>0</v>
      </c>
      <c r="AD48" s="72" t="b">
        <v>1</v>
      </c>
      <c r="AE48" s="72" t="b">
        <v>1</v>
      </c>
      <c r="AF48" s="75" t="b">
        <v>0</v>
      </c>
      <c r="AG48" s="72" t="b">
        <v>0</v>
      </c>
      <c r="AH48" s="72" t="b">
        <v>0</v>
      </c>
      <c r="AI48" s="72" t="b">
        <v>1</v>
      </c>
    </row>
    <row r="49" spans="1:35" x14ac:dyDescent="0.3">
      <c r="A49" s="13">
        <f t="shared" si="0"/>
        <v>40</v>
      </c>
      <c r="B49" s="70" t="s">
        <v>478</v>
      </c>
      <c r="C49" s="71" t="s">
        <v>483</v>
      </c>
      <c r="D49" s="72" t="s">
        <v>260</v>
      </c>
      <c r="E49" s="70" t="s">
        <v>120</v>
      </c>
      <c r="F49" s="73" t="s">
        <v>122</v>
      </c>
      <c r="G49" s="73" t="str">
        <f t="shared" si="2"/>
        <v>2030 bench</v>
      </c>
      <c r="H49" s="73" t="s">
        <v>239</v>
      </c>
      <c r="I49" s="93" t="s">
        <v>472</v>
      </c>
      <c r="J49" s="73" t="s">
        <v>87</v>
      </c>
      <c r="K49" s="73">
        <v>0</v>
      </c>
      <c r="L49" s="73">
        <v>0</v>
      </c>
      <c r="M49" s="73">
        <v>-1</v>
      </c>
      <c r="N49" s="73" t="s">
        <v>122</v>
      </c>
      <c r="O49" s="73">
        <v>0</v>
      </c>
      <c r="P49" s="73">
        <v>1</v>
      </c>
      <c r="Q49" s="73">
        <v>0</v>
      </c>
      <c r="R49" s="72" t="s">
        <v>221</v>
      </c>
      <c r="S49" s="72" t="s">
        <v>222</v>
      </c>
      <c r="T49" s="72" t="s">
        <v>423</v>
      </c>
      <c r="U49" s="74" t="b">
        <v>0</v>
      </c>
      <c r="V49" s="72" t="b">
        <v>1</v>
      </c>
      <c r="W49" s="72" t="b">
        <v>0</v>
      </c>
      <c r="X49" s="72" t="b">
        <v>0</v>
      </c>
      <c r="Y49" s="72" t="b">
        <v>1</v>
      </c>
      <c r="Z49" s="72" t="b">
        <v>0</v>
      </c>
      <c r="AA49" s="72" t="b">
        <v>0</v>
      </c>
      <c r="AB49" s="72" t="b">
        <v>0</v>
      </c>
      <c r="AC49" s="72" t="b">
        <v>0</v>
      </c>
      <c r="AD49" s="72" t="b">
        <v>1</v>
      </c>
      <c r="AE49" s="72" t="b">
        <v>1</v>
      </c>
      <c r="AF49" s="75" t="b">
        <v>0</v>
      </c>
      <c r="AG49" s="72" t="b">
        <v>0</v>
      </c>
      <c r="AH49" s="72" t="b">
        <v>0</v>
      </c>
      <c r="AI49" s="72" t="b">
        <v>1</v>
      </c>
    </row>
    <row r="50" spans="1:35" x14ac:dyDescent="0.3">
      <c r="A50" s="13">
        <f t="shared" si="0"/>
        <v>41</v>
      </c>
      <c r="B50" s="70" t="s">
        <v>478</v>
      </c>
      <c r="C50" s="71" t="s">
        <v>484</v>
      </c>
      <c r="D50" s="72" t="s">
        <v>260</v>
      </c>
      <c r="E50" s="70" t="s">
        <v>120</v>
      </c>
      <c r="F50" s="73" t="s">
        <v>122</v>
      </c>
      <c r="G50" s="73" t="str">
        <f t="shared" si="2"/>
        <v>2030 bench</v>
      </c>
      <c r="H50" s="73" t="s">
        <v>239</v>
      </c>
      <c r="I50" s="93" t="s">
        <v>472</v>
      </c>
      <c r="J50" s="73" t="s">
        <v>104</v>
      </c>
      <c r="K50" s="73">
        <v>0</v>
      </c>
      <c r="L50" s="73">
        <v>0</v>
      </c>
      <c r="M50" s="73">
        <v>-1</v>
      </c>
      <c r="N50" s="73" t="s">
        <v>122</v>
      </c>
      <c r="O50" s="73">
        <v>0</v>
      </c>
      <c r="P50" s="73">
        <v>1</v>
      </c>
      <c r="Q50" s="73">
        <v>0</v>
      </c>
      <c r="R50" s="72" t="s">
        <v>221</v>
      </c>
      <c r="S50" s="72" t="s">
        <v>222</v>
      </c>
      <c r="T50" s="72" t="s">
        <v>423</v>
      </c>
      <c r="U50" s="74" t="b">
        <v>0</v>
      </c>
      <c r="V50" s="72" t="b">
        <v>1</v>
      </c>
      <c r="W50" s="72" t="b">
        <v>0</v>
      </c>
      <c r="X50" s="72" t="b">
        <v>0</v>
      </c>
      <c r="Y50" s="72" t="b">
        <v>1</v>
      </c>
      <c r="Z50" s="72" t="b">
        <v>0</v>
      </c>
      <c r="AA50" s="72" t="b">
        <v>0</v>
      </c>
      <c r="AB50" s="72" t="b">
        <v>0</v>
      </c>
      <c r="AC50" s="72" t="b">
        <v>0</v>
      </c>
      <c r="AD50" s="72" t="b">
        <v>1</v>
      </c>
      <c r="AE50" s="72" t="b">
        <v>1</v>
      </c>
      <c r="AF50" s="75" t="b">
        <v>0</v>
      </c>
      <c r="AG50" s="72" t="b">
        <v>0</v>
      </c>
      <c r="AH50" s="72" t="b">
        <v>0</v>
      </c>
      <c r="AI50" s="72" t="b">
        <v>1</v>
      </c>
    </row>
    <row r="51" spans="1:35" x14ac:dyDescent="0.3">
      <c r="A51" s="13">
        <f t="shared" si="0"/>
        <v>42</v>
      </c>
      <c r="B51" s="70" t="s">
        <v>478</v>
      </c>
      <c r="C51" s="71" t="s">
        <v>485</v>
      </c>
      <c r="D51" s="72" t="s">
        <v>260</v>
      </c>
      <c r="E51" s="70" t="s">
        <v>120</v>
      </c>
      <c r="F51" s="73" t="s">
        <v>122</v>
      </c>
      <c r="G51" s="73" t="str">
        <f t="shared" si="2"/>
        <v>2030 bench</v>
      </c>
      <c r="H51" s="73" t="s">
        <v>239</v>
      </c>
      <c r="I51" s="93" t="s">
        <v>472</v>
      </c>
      <c r="J51" s="73" t="s">
        <v>233</v>
      </c>
      <c r="K51" s="73">
        <v>0</v>
      </c>
      <c r="L51" s="73">
        <v>0</v>
      </c>
      <c r="M51" s="73">
        <v>-1</v>
      </c>
      <c r="N51" s="73" t="s">
        <v>122</v>
      </c>
      <c r="O51" s="73">
        <v>0</v>
      </c>
      <c r="P51" s="73">
        <v>1</v>
      </c>
      <c r="Q51" s="73">
        <v>0</v>
      </c>
      <c r="R51" s="72" t="s">
        <v>221</v>
      </c>
      <c r="S51" s="72" t="s">
        <v>222</v>
      </c>
      <c r="T51" s="72" t="s">
        <v>423</v>
      </c>
      <c r="U51" s="74" t="b">
        <v>0</v>
      </c>
      <c r="V51" s="72" t="b">
        <v>1</v>
      </c>
      <c r="W51" s="72" t="b">
        <v>0</v>
      </c>
      <c r="X51" s="72" t="b">
        <v>0</v>
      </c>
      <c r="Y51" s="72" t="b">
        <v>1</v>
      </c>
      <c r="Z51" s="72" t="b">
        <v>0</v>
      </c>
      <c r="AA51" s="72" t="b">
        <v>0</v>
      </c>
      <c r="AB51" s="72" t="b">
        <v>0</v>
      </c>
      <c r="AC51" s="72" t="b">
        <v>0</v>
      </c>
      <c r="AD51" s="72" t="b">
        <v>1</v>
      </c>
      <c r="AE51" s="72" t="b">
        <v>1</v>
      </c>
      <c r="AF51" s="75" t="b">
        <v>0</v>
      </c>
      <c r="AG51" s="72" t="b">
        <v>0</v>
      </c>
      <c r="AH51" s="72" t="b">
        <v>0</v>
      </c>
      <c r="AI51" s="72" t="b">
        <v>1</v>
      </c>
    </row>
    <row r="52" spans="1:35" x14ac:dyDescent="0.3">
      <c r="A52" s="13">
        <f t="shared" si="0"/>
        <v>43</v>
      </c>
      <c r="B52" s="70" t="s">
        <v>475</v>
      </c>
      <c r="C52" s="71" t="s">
        <v>483</v>
      </c>
      <c r="D52" s="72" t="s">
        <v>260</v>
      </c>
      <c r="E52" s="70" t="s">
        <v>120</v>
      </c>
      <c r="F52" s="73" t="s">
        <v>133</v>
      </c>
      <c r="G52" s="73" t="str">
        <f t="shared" si="2"/>
        <v>2030 bench</v>
      </c>
      <c r="H52" s="73" t="s">
        <v>239</v>
      </c>
      <c r="I52" s="93" t="s">
        <v>472</v>
      </c>
      <c r="J52" s="73" t="s">
        <v>87</v>
      </c>
      <c r="K52" s="73">
        <v>0</v>
      </c>
      <c r="L52" s="73">
        <v>0</v>
      </c>
      <c r="M52" s="73">
        <v>-1</v>
      </c>
      <c r="N52" s="73" t="s">
        <v>122</v>
      </c>
      <c r="O52" s="73">
        <v>0</v>
      </c>
      <c r="P52" s="73">
        <v>1</v>
      </c>
      <c r="Q52" s="73">
        <v>0</v>
      </c>
      <c r="R52" s="72" t="s">
        <v>221</v>
      </c>
      <c r="S52" s="72" t="s">
        <v>222</v>
      </c>
      <c r="T52" s="72" t="s">
        <v>423</v>
      </c>
      <c r="U52" s="74" t="b">
        <v>0</v>
      </c>
      <c r="V52" s="72" t="b">
        <v>1</v>
      </c>
      <c r="W52" s="72" t="b">
        <v>0</v>
      </c>
      <c r="X52" s="72" t="b">
        <v>0</v>
      </c>
      <c r="Y52" s="72" t="b">
        <v>1</v>
      </c>
      <c r="Z52" s="72" t="b">
        <v>0</v>
      </c>
      <c r="AA52" s="72" t="b">
        <v>0</v>
      </c>
      <c r="AB52" s="72" t="b">
        <v>0</v>
      </c>
      <c r="AC52" s="72" t="b">
        <v>0</v>
      </c>
      <c r="AD52" s="72" t="b">
        <v>1</v>
      </c>
      <c r="AE52" s="72" t="b">
        <v>1</v>
      </c>
      <c r="AF52" s="75" t="b">
        <v>0</v>
      </c>
      <c r="AG52" s="72" t="b">
        <v>0</v>
      </c>
      <c r="AH52" s="72" t="b">
        <v>0</v>
      </c>
      <c r="AI52" s="72" t="b">
        <v>1</v>
      </c>
    </row>
    <row r="53" spans="1:35" x14ac:dyDescent="0.3">
      <c r="A53" s="13">
        <f t="shared" si="0"/>
        <v>44</v>
      </c>
      <c r="B53" s="70" t="s">
        <v>475</v>
      </c>
      <c r="C53" s="71" t="s">
        <v>484</v>
      </c>
      <c r="D53" s="72" t="s">
        <v>260</v>
      </c>
      <c r="E53" s="70" t="s">
        <v>120</v>
      </c>
      <c r="F53" s="73" t="s">
        <v>133</v>
      </c>
      <c r="G53" s="73" t="str">
        <f t="shared" si="2"/>
        <v>2030 bench</v>
      </c>
      <c r="H53" s="73" t="s">
        <v>239</v>
      </c>
      <c r="I53" s="93" t="s">
        <v>472</v>
      </c>
      <c r="J53" s="73" t="s">
        <v>104</v>
      </c>
      <c r="K53" s="73">
        <v>0</v>
      </c>
      <c r="L53" s="73">
        <v>0</v>
      </c>
      <c r="M53" s="73">
        <v>-1</v>
      </c>
      <c r="N53" s="73" t="s">
        <v>122</v>
      </c>
      <c r="O53" s="73">
        <v>0</v>
      </c>
      <c r="P53" s="73">
        <v>1</v>
      </c>
      <c r="Q53" s="73">
        <v>0</v>
      </c>
      <c r="R53" s="72" t="s">
        <v>221</v>
      </c>
      <c r="S53" s="72" t="s">
        <v>222</v>
      </c>
      <c r="T53" s="72" t="s">
        <v>423</v>
      </c>
      <c r="U53" s="74" t="b">
        <v>0</v>
      </c>
      <c r="V53" s="72" t="b">
        <v>1</v>
      </c>
      <c r="W53" s="72" t="b">
        <v>0</v>
      </c>
      <c r="X53" s="72" t="b">
        <v>0</v>
      </c>
      <c r="Y53" s="72" t="b">
        <v>1</v>
      </c>
      <c r="Z53" s="72" t="b">
        <v>0</v>
      </c>
      <c r="AA53" s="72" t="b">
        <v>0</v>
      </c>
      <c r="AB53" s="72" t="b">
        <v>0</v>
      </c>
      <c r="AC53" s="72" t="b">
        <v>0</v>
      </c>
      <c r="AD53" s="72" t="b">
        <v>1</v>
      </c>
      <c r="AE53" s="72" t="b">
        <v>1</v>
      </c>
      <c r="AF53" s="75" t="b">
        <v>0</v>
      </c>
      <c r="AG53" s="72" t="b">
        <v>0</v>
      </c>
      <c r="AH53" s="72" t="b">
        <v>0</v>
      </c>
      <c r="AI53" s="72" t="b">
        <v>1</v>
      </c>
    </row>
    <row r="54" spans="1:35" x14ac:dyDescent="0.3">
      <c r="A54" s="13">
        <f t="shared" si="0"/>
        <v>45</v>
      </c>
      <c r="B54" s="70" t="s">
        <v>475</v>
      </c>
      <c r="C54" s="71" t="s">
        <v>485</v>
      </c>
      <c r="D54" s="72" t="s">
        <v>260</v>
      </c>
      <c r="E54" s="70" t="s">
        <v>120</v>
      </c>
      <c r="F54" s="73" t="s">
        <v>133</v>
      </c>
      <c r="G54" s="73" t="str">
        <f t="shared" si="2"/>
        <v>2030 bench</v>
      </c>
      <c r="H54" s="73" t="s">
        <v>239</v>
      </c>
      <c r="I54" s="93" t="s">
        <v>472</v>
      </c>
      <c r="J54" s="73" t="s">
        <v>233</v>
      </c>
      <c r="K54" s="73">
        <v>0</v>
      </c>
      <c r="L54" s="73">
        <v>0</v>
      </c>
      <c r="M54" s="73">
        <v>-1</v>
      </c>
      <c r="N54" s="73" t="s">
        <v>122</v>
      </c>
      <c r="O54" s="73">
        <v>0</v>
      </c>
      <c r="P54" s="73">
        <v>1</v>
      </c>
      <c r="Q54" s="73">
        <v>0</v>
      </c>
      <c r="R54" s="72" t="s">
        <v>221</v>
      </c>
      <c r="S54" s="72" t="s">
        <v>222</v>
      </c>
      <c r="T54" s="72" t="s">
        <v>423</v>
      </c>
      <c r="U54" s="74" t="b">
        <v>0</v>
      </c>
      <c r="V54" s="72" t="b">
        <v>1</v>
      </c>
      <c r="W54" s="72" t="b">
        <v>0</v>
      </c>
      <c r="X54" s="72" t="b">
        <v>0</v>
      </c>
      <c r="Y54" s="72" t="b">
        <v>1</v>
      </c>
      <c r="Z54" s="72" t="b">
        <v>0</v>
      </c>
      <c r="AA54" s="72" t="b">
        <v>0</v>
      </c>
      <c r="AB54" s="72" t="b">
        <v>0</v>
      </c>
      <c r="AC54" s="72" t="b">
        <v>0</v>
      </c>
      <c r="AD54" s="72" t="b">
        <v>1</v>
      </c>
      <c r="AE54" s="72" t="b">
        <v>1</v>
      </c>
      <c r="AF54" s="75" t="b">
        <v>0</v>
      </c>
      <c r="AG54" s="72" t="b">
        <v>0</v>
      </c>
      <c r="AH54" s="72" t="b">
        <v>0</v>
      </c>
      <c r="AI54" s="72" t="b">
        <v>1</v>
      </c>
    </row>
    <row r="55" spans="1:35" x14ac:dyDescent="0.3">
      <c r="A55" s="13">
        <f t="shared" si="0"/>
        <v>46</v>
      </c>
      <c r="B55" s="70" t="s">
        <v>479</v>
      </c>
      <c r="C55" s="71" t="s">
        <v>444</v>
      </c>
      <c r="D55" s="72" t="s">
        <v>259</v>
      </c>
      <c r="E55" s="70" t="s">
        <v>120</v>
      </c>
      <c r="F55" s="73" t="s">
        <v>122</v>
      </c>
      <c r="G55" s="73" t="str">
        <f t="shared" si="2"/>
        <v>2030 bench</v>
      </c>
      <c r="H55" s="73" t="s">
        <v>239</v>
      </c>
      <c r="I55" s="93" t="s">
        <v>472</v>
      </c>
      <c r="J55" s="73" t="s">
        <v>87</v>
      </c>
      <c r="K55" s="73">
        <v>0</v>
      </c>
      <c r="L55" s="73">
        <v>0</v>
      </c>
      <c r="M55" s="73">
        <v>-1</v>
      </c>
      <c r="N55" s="73" t="s">
        <v>122</v>
      </c>
      <c r="O55" s="73">
        <v>0</v>
      </c>
      <c r="P55" s="73">
        <v>1</v>
      </c>
      <c r="Q55" s="73">
        <v>0</v>
      </c>
      <c r="R55" s="72" t="s">
        <v>221</v>
      </c>
      <c r="S55" s="72" t="s">
        <v>222</v>
      </c>
      <c r="T55" s="72" t="s">
        <v>423</v>
      </c>
      <c r="U55" s="74" t="b">
        <v>0</v>
      </c>
      <c r="V55" s="72" t="b">
        <v>1</v>
      </c>
      <c r="W55" s="72" t="b">
        <v>0</v>
      </c>
      <c r="X55" s="72" t="b">
        <v>0</v>
      </c>
      <c r="Y55" s="72" t="b">
        <v>1</v>
      </c>
      <c r="Z55" s="72" t="b">
        <v>0</v>
      </c>
      <c r="AA55" s="72" t="b">
        <v>0</v>
      </c>
      <c r="AB55" s="72" t="b">
        <v>0</v>
      </c>
      <c r="AC55" s="72" t="b">
        <v>0</v>
      </c>
      <c r="AD55" s="72" t="b">
        <v>1</v>
      </c>
      <c r="AE55" s="72" t="b">
        <v>1</v>
      </c>
      <c r="AF55" s="75" t="b">
        <v>0</v>
      </c>
      <c r="AG55" s="72" t="b">
        <v>0</v>
      </c>
      <c r="AH55" s="72" t="b">
        <v>0</v>
      </c>
      <c r="AI55" s="72" t="b">
        <v>1</v>
      </c>
    </row>
    <row r="56" spans="1:35" x14ac:dyDescent="0.3">
      <c r="A56" s="13">
        <f t="shared" si="0"/>
        <v>47</v>
      </c>
      <c r="B56" s="70" t="s">
        <v>479</v>
      </c>
      <c r="C56" s="71" t="s">
        <v>443</v>
      </c>
      <c r="D56" s="72" t="s">
        <v>259</v>
      </c>
      <c r="E56" s="70" t="s">
        <v>120</v>
      </c>
      <c r="F56" s="73" t="s">
        <v>122</v>
      </c>
      <c r="G56" s="73" t="str">
        <f t="shared" si="2"/>
        <v>2030 bench</v>
      </c>
      <c r="H56" s="73" t="s">
        <v>239</v>
      </c>
      <c r="I56" s="93" t="s">
        <v>472</v>
      </c>
      <c r="J56" s="73" t="s">
        <v>104</v>
      </c>
      <c r="K56" s="73">
        <v>0</v>
      </c>
      <c r="L56" s="73">
        <v>0</v>
      </c>
      <c r="M56" s="73">
        <v>-1</v>
      </c>
      <c r="N56" s="73" t="s">
        <v>122</v>
      </c>
      <c r="O56" s="73">
        <v>0</v>
      </c>
      <c r="P56" s="73">
        <v>1</v>
      </c>
      <c r="Q56" s="73">
        <v>0</v>
      </c>
      <c r="R56" s="72" t="s">
        <v>221</v>
      </c>
      <c r="S56" s="72" t="s">
        <v>222</v>
      </c>
      <c r="T56" s="72" t="s">
        <v>423</v>
      </c>
      <c r="U56" s="74" t="b">
        <v>0</v>
      </c>
      <c r="V56" s="72" t="b">
        <v>1</v>
      </c>
      <c r="W56" s="72" t="b">
        <v>0</v>
      </c>
      <c r="X56" s="72" t="b">
        <v>0</v>
      </c>
      <c r="Y56" s="72" t="b">
        <v>1</v>
      </c>
      <c r="Z56" s="72" t="b">
        <v>0</v>
      </c>
      <c r="AA56" s="72" t="b">
        <v>0</v>
      </c>
      <c r="AB56" s="72" t="b">
        <v>0</v>
      </c>
      <c r="AC56" s="72" t="b">
        <v>0</v>
      </c>
      <c r="AD56" s="72" t="b">
        <v>1</v>
      </c>
      <c r="AE56" s="72" t="b">
        <v>1</v>
      </c>
      <c r="AF56" s="75" t="b">
        <v>0</v>
      </c>
      <c r="AG56" s="72" t="b">
        <v>0</v>
      </c>
      <c r="AH56" s="72" t="b">
        <v>0</v>
      </c>
      <c r="AI56" s="72" t="b">
        <v>1</v>
      </c>
    </row>
    <row r="57" spans="1:35" x14ac:dyDescent="0.3">
      <c r="A57" s="13">
        <f t="shared" si="0"/>
        <v>48</v>
      </c>
      <c r="B57" s="70" t="s">
        <v>479</v>
      </c>
      <c r="C57" s="71" t="s">
        <v>445</v>
      </c>
      <c r="D57" s="72" t="s">
        <v>259</v>
      </c>
      <c r="E57" s="70" t="s">
        <v>120</v>
      </c>
      <c r="F57" s="73" t="s">
        <v>122</v>
      </c>
      <c r="G57" s="73" t="str">
        <f t="shared" si="2"/>
        <v>2030 bench</v>
      </c>
      <c r="H57" s="73" t="s">
        <v>239</v>
      </c>
      <c r="I57" s="93" t="s">
        <v>472</v>
      </c>
      <c r="J57" s="73" t="s">
        <v>233</v>
      </c>
      <c r="K57" s="73">
        <v>0</v>
      </c>
      <c r="L57" s="73">
        <v>0</v>
      </c>
      <c r="M57" s="73">
        <v>-1</v>
      </c>
      <c r="N57" s="73" t="s">
        <v>122</v>
      </c>
      <c r="O57" s="73">
        <v>0</v>
      </c>
      <c r="P57" s="73">
        <v>1</v>
      </c>
      <c r="Q57" s="73">
        <v>0</v>
      </c>
      <c r="R57" s="72" t="s">
        <v>221</v>
      </c>
      <c r="S57" s="72" t="s">
        <v>222</v>
      </c>
      <c r="T57" s="72" t="s">
        <v>423</v>
      </c>
      <c r="U57" s="74" t="b">
        <v>0</v>
      </c>
      <c r="V57" s="72" t="b">
        <v>1</v>
      </c>
      <c r="W57" s="72" t="b">
        <v>0</v>
      </c>
      <c r="X57" s="72" t="b">
        <v>0</v>
      </c>
      <c r="Y57" s="72" t="b">
        <v>1</v>
      </c>
      <c r="Z57" s="72" t="b">
        <v>0</v>
      </c>
      <c r="AA57" s="72" t="b">
        <v>0</v>
      </c>
      <c r="AB57" s="72" t="b">
        <v>0</v>
      </c>
      <c r="AC57" s="72" t="b">
        <v>0</v>
      </c>
      <c r="AD57" s="72" t="b">
        <v>1</v>
      </c>
      <c r="AE57" s="72" t="b">
        <v>1</v>
      </c>
      <c r="AF57" s="75" t="b">
        <v>0</v>
      </c>
      <c r="AG57" s="72" t="b">
        <v>0</v>
      </c>
      <c r="AH57" s="72" t="b">
        <v>0</v>
      </c>
      <c r="AI57" s="72" t="b">
        <v>1</v>
      </c>
    </row>
    <row r="58" spans="1:35" x14ac:dyDescent="0.3">
      <c r="A58" s="13">
        <f t="shared" si="0"/>
        <v>49</v>
      </c>
      <c r="B58" s="70" t="s">
        <v>486</v>
      </c>
      <c r="C58" s="71" t="s">
        <v>453</v>
      </c>
      <c r="D58" s="72" t="s">
        <v>231</v>
      </c>
      <c r="E58" s="70" t="s">
        <v>120</v>
      </c>
      <c r="F58" s="73" t="s">
        <v>122</v>
      </c>
      <c r="G58" s="73" t="str">
        <f t="shared" si="2"/>
        <v>2030 bench</v>
      </c>
      <c r="H58" s="73" t="s">
        <v>239</v>
      </c>
      <c r="I58" s="73">
        <v>2020</v>
      </c>
      <c r="J58" s="73" t="s">
        <v>87</v>
      </c>
      <c r="K58" s="73">
        <v>0</v>
      </c>
      <c r="L58" s="73">
        <v>0</v>
      </c>
      <c r="M58" s="73">
        <v>-1</v>
      </c>
      <c r="N58" s="73" t="s">
        <v>122</v>
      </c>
      <c r="O58" s="73">
        <v>0</v>
      </c>
      <c r="P58" s="73">
        <v>1</v>
      </c>
      <c r="Q58" s="73">
        <v>0</v>
      </c>
      <c r="R58" s="72" t="s">
        <v>221</v>
      </c>
      <c r="S58" s="72" t="s">
        <v>222</v>
      </c>
      <c r="T58" s="72" t="s">
        <v>423</v>
      </c>
      <c r="U58" s="72" t="b">
        <v>0</v>
      </c>
      <c r="V58" s="72" t="b">
        <v>1</v>
      </c>
      <c r="W58" s="72" t="b">
        <v>0</v>
      </c>
      <c r="X58" s="72" t="b">
        <v>0</v>
      </c>
      <c r="Y58" s="72" t="b">
        <v>1</v>
      </c>
      <c r="Z58" s="72" t="b">
        <v>0</v>
      </c>
      <c r="AA58" s="72" t="b">
        <v>0</v>
      </c>
      <c r="AB58" s="72" t="b">
        <v>0</v>
      </c>
      <c r="AC58" s="72" t="b">
        <v>0</v>
      </c>
      <c r="AD58" s="72" t="b">
        <v>1</v>
      </c>
      <c r="AE58" s="72" t="b">
        <v>1</v>
      </c>
      <c r="AF58" s="72" t="b">
        <v>0</v>
      </c>
      <c r="AG58" s="72" t="b">
        <v>0</v>
      </c>
      <c r="AH58" s="72" t="b">
        <v>0</v>
      </c>
      <c r="AI58" s="72" t="b">
        <v>1</v>
      </c>
    </row>
    <row r="59" spans="1:35" x14ac:dyDescent="0.3">
      <c r="A59" s="13">
        <f t="shared" si="0"/>
        <v>50</v>
      </c>
      <c r="B59" s="70" t="s">
        <v>486</v>
      </c>
      <c r="C59" s="71" t="s">
        <v>452</v>
      </c>
      <c r="D59" s="72" t="s">
        <v>231</v>
      </c>
      <c r="E59" s="70" t="s">
        <v>120</v>
      </c>
      <c r="F59" s="73" t="s">
        <v>122</v>
      </c>
      <c r="G59" s="73" t="str">
        <f t="shared" si="2"/>
        <v>2030 bench</v>
      </c>
      <c r="H59" s="73" t="s">
        <v>239</v>
      </c>
      <c r="I59" s="73">
        <v>2020</v>
      </c>
      <c r="J59" s="73" t="s">
        <v>104</v>
      </c>
      <c r="K59" s="73">
        <v>0</v>
      </c>
      <c r="L59" s="73">
        <v>0</v>
      </c>
      <c r="M59" s="73">
        <v>-1</v>
      </c>
      <c r="N59" s="73" t="s">
        <v>122</v>
      </c>
      <c r="O59" s="73">
        <v>0</v>
      </c>
      <c r="P59" s="73">
        <v>1</v>
      </c>
      <c r="Q59" s="73">
        <v>0</v>
      </c>
      <c r="R59" s="72" t="s">
        <v>221</v>
      </c>
      <c r="S59" s="72" t="s">
        <v>222</v>
      </c>
      <c r="T59" s="72" t="s">
        <v>423</v>
      </c>
      <c r="U59" s="74" t="b">
        <v>0</v>
      </c>
      <c r="V59" s="72" t="b">
        <v>1</v>
      </c>
      <c r="W59" s="72" t="b">
        <v>0</v>
      </c>
      <c r="X59" s="72" t="b">
        <v>0</v>
      </c>
      <c r="Y59" s="72" t="b">
        <v>1</v>
      </c>
      <c r="Z59" s="72" t="b">
        <v>0</v>
      </c>
      <c r="AA59" s="72" t="b">
        <v>0</v>
      </c>
      <c r="AB59" s="72" t="b">
        <v>0</v>
      </c>
      <c r="AC59" s="72" t="b">
        <v>0</v>
      </c>
      <c r="AD59" s="72" t="b">
        <v>1</v>
      </c>
      <c r="AE59" s="72" t="b">
        <v>1</v>
      </c>
      <c r="AF59" s="75" t="b">
        <v>0</v>
      </c>
      <c r="AG59" s="72" t="b">
        <v>0</v>
      </c>
      <c r="AH59" s="72" t="b">
        <v>0</v>
      </c>
      <c r="AI59" s="72" t="b">
        <v>1</v>
      </c>
    </row>
    <row r="60" spans="1:35" x14ac:dyDescent="0.3">
      <c r="A60" s="13">
        <f t="shared" si="0"/>
        <v>51</v>
      </c>
      <c r="B60" s="70" t="s">
        <v>486</v>
      </c>
      <c r="C60" s="71" t="s">
        <v>454</v>
      </c>
      <c r="D60" s="72" t="s">
        <v>231</v>
      </c>
      <c r="E60" s="70" t="s">
        <v>120</v>
      </c>
      <c r="F60" s="73" t="s">
        <v>122</v>
      </c>
      <c r="G60" s="73" t="str">
        <f t="shared" si="2"/>
        <v>2030 bench</v>
      </c>
      <c r="H60" s="73" t="s">
        <v>239</v>
      </c>
      <c r="I60" s="73">
        <v>2020</v>
      </c>
      <c r="J60" s="73" t="s">
        <v>233</v>
      </c>
      <c r="K60" s="73">
        <v>0</v>
      </c>
      <c r="L60" s="73">
        <v>0</v>
      </c>
      <c r="M60" s="73">
        <v>-1</v>
      </c>
      <c r="N60" s="73" t="s">
        <v>122</v>
      </c>
      <c r="O60" s="73">
        <v>0</v>
      </c>
      <c r="P60" s="73">
        <v>1</v>
      </c>
      <c r="Q60" s="73">
        <v>0</v>
      </c>
      <c r="R60" s="72" t="s">
        <v>221</v>
      </c>
      <c r="S60" s="72" t="s">
        <v>222</v>
      </c>
      <c r="T60" s="72" t="s">
        <v>423</v>
      </c>
      <c r="U60" s="74" t="b">
        <v>0</v>
      </c>
      <c r="V60" s="72" t="b">
        <v>1</v>
      </c>
      <c r="W60" s="72" t="b">
        <v>0</v>
      </c>
      <c r="X60" s="72" t="b">
        <v>0</v>
      </c>
      <c r="Y60" s="72" t="b">
        <v>1</v>
      </c>
      <c r="Z60" s="72" t="b">
        <v>0</v>
      </c>
      <c r="AA60" s="72" t="b">
        <v>0</v>
      </c>
      <c r="AB60" s="72" t="b">
        <v>0</v>
      </c>
      <c r="AC60" s="72" t="b">
        <v>0</v>
      </c>
      <c r="AD60" s="72" t="b">
        <v>1</v>
      </c>
      <c r="AE60" s="72" t="b">
        <v>1</v>
      </c>
      <c r="AF60" s="75" t="b">
        <v>0</v>
      </c>
      <c r="AG60" s="72" t="b">
        <v>0</v>
      </c>
      <c r="AH60" s="72" t="b">
        <v>0</v>
      </c>
      <c r="AI60" s="72" t="b">
        <v>1</v>
      </c>
    </row>
    <row r="61" spans="1:35" x14ac:dyDescent="0.3">
      <c r="A61" s="13">
        <f t="shared" si="0"/>
        <v>52</v>
      </c>
      <c r="B61" s="70" t="s">
        <v>490</v>
      </c>
      <c r="C61" s="71" t="s">
        <v>441</v>
      </c>
      <c r="D61" s="72" t="s">
        <v>231</v>
      </c>
      <c r="E61" s="70" t="s">
        <v>120</v>
      </c>
      <c r="F61" s="73" t="s">
        <v>122</v>
      </c>
      <c r="G61" s="73" t="str">
        <f t="shared" si="2"/>
        <v>2030 bench</v>
      </c>
      <c r="H61" s="73" t="s">
        <v>239</v>
      </c>
      <c r="I61" s="93" t="s">
        <v>488</v>
      </c>
      <c r="J61" s="73" t="s">
        <v>87</v>
      </c>
      <c r="K61" s="73">
        <v>0</v>
      </c>
      <c r="L61" s="73">
        <v>0</v>
      </c>
      <c r="M61" s="73">
        <v>-1</v>
      </c>
      <c r="N61" s="73" t="s">
        <v>122</v>
      </c>
      <c r="O61" s="73">
        <v>0</v>
      </c>
      <c r="P61" s="73">
        <v>1</v>
      </c>
      <c r="Q61" s="73">
        <v>0</v>
      </c>
      <c r="R61" s="72" t="s">
        <v>221</v>
      </c>
      <c r="S61" s="72" t="s">
        <v>222</v>
      </c>
      <c r="T61" s="72" t="s">
        <v>423</v>
      </c>
      <c r="U61" s="74" t="b">
        <v>0</v>
      </c>
      <c r="V61" s="72" t="b">
        <v>1</v>
      </c>
      <c r="W61" s="72" t="b">
        <v>0</v>
      </c>
      <c r="X61" s="72" t="b">
        <v>0</v>
      </c>
      <c r="Y61" s="72" t="b">
        <v>1</v>
      </c>
      <c r="Z61" s="72" t="b">
        <v>0</v>
      </c>
      <c r="AA61" s="72" t="b">
        <v>0</v>
      </c>
      <c r="AB61" s="72" t="b">
        <v>0</v>
      </c>
      <c r="AC61" s="72" t="b">
        <v>0</v>
      </c>
      <c r="AD61" s="72" t="b">
        <v>1</v>
      </c>
      <c r="AE61" s="72" t="b">
        <v>1</v>
      </c>
      <c r="AF61" s="75" t="b">
        <v>0</v>
      </c>
      <c r="AG61" s="72" t="b">
        <v>0</v>
      </c>
      <c r="AH61" s="72" t="b">
        <v>0</v>
      </c>
      <c r="AI61" s="72" t="b">
        <v>1</v>
      </c>
    </row>
    <row r="62" spans="1:35" x14ac:dyDescent="0.3">
      <c r="A62" s="13">
        <f t="shared" si="0"/>
        <v>53</v>
      </c>
      <c r="B62" s="70" t="s">
        <v>490</v>
      </c>
      <c r="C62" s="71" t="s">
        <v>440</v>
      </c>
      <c r="D62" s="72" t="s">
        <v>231</v>
      </c>
      <c r="E62" s="70" t="s">
        <v>120</v>
      </c>
      <c r="F62" s="73" t="s">
        <v>122</v>
      </c>
      <c r="G62" s="73" t="str">
        <f t="shared" si="2"/>
        <v>2030 bench</v>
      </c>
      <c r="H62" s="73" t="s">
        <v>239</v>
      </c>
      <c r="I62" s="93" t="s">
        <v>488</v>
      </c>
      <c r="J62" s="73" t="s">
        <v>104</v>
      </c>
      <c r="K62" s="73">
        <v>0</v>
      </c>
      <c r="L62" s="73">
        <v>0</v>
      </c>
      <c r="M62" s="73">
        <v>-1</v>
      </c>
      <c r="N62" s="73" t="s">
        <v>122</v>
      </c>
      <c r="O62" s="73">
        <v>0</v>
      </c>
      <c r="P62" s="73">
        <v>1</v>
      </c>
      <c r="Q62" s="73">
        <v>0</v>
      </c>
      <c r="R62" s="72" t="s">
        <v>221</v>
      </c>
      <c r="S62" s="72" t="s">
        <v>222</v>
      </c>
      <c r="T62" s="72" t="s">
        <v>423</v>
      </c>
      <c r="U62" s="74" t="b">
        <v>0</v>
      </c>
      <c r="V62" s="72" t="b">
        <v>1</v>
      </c>
      <c r="W62" s="72" t="b">
        <v>0</v>
      </c>
      <c r="X62" s="72" t="b">
        <v>0</v>
      </c>
      <c r="Y62" s="72" t="b">
        <v>1</v>
      </c>
      <c r="Z62" s="72" t="b">
        <v>0</v>
      </c>
      <c r="AA62" s="72" t="b">
        <v>0</v>
      </c>
      <c r="AB62" s="72" t="b">
        <v>0</v>
      </c>
      <c r="AC62" s="72" t="b">
        <v>0</v>
      </c>
      <c r="AD62" s="72" t="b">
        <v>1</v>
      </c>
      <c r="AE62" s="72" t="b">
        <v>1</v>
      </c>
      <c r="AF62" s="75" t="b">
        <v>0</v>
      </c>
      <c r="AG62" s="72" t="b">
        <v>0</v>
      </c>
      <c r="AH62" s="72" t="b">
        <v>0</v>
      </c>
      <c r="AI62" s="72" t="b">
        <v>1</v>
      </c>
    </row>
    <row r="63" spans="1:35" x14ac:dyDescent="0.3">
      <c r="A63" s="13">
        <f t="shared" si="0"/>
        <v>54</v>
      </c>
      <c r="B63" s="70" t="s">
        <v>490</v>
      </c>
      <c r="C63" s="71" t="s">
        <v>442</v>
      </c>
      <c r="D63" s="72" t="s">
        <v>231</v>
      </c>
      <c r="E63" s="70" t="s">
        <v>120</v>
      </c>
      <c r="F63" s="73" t="s">
        <v>122</v>
      </c>
      <c r="G63" s="73" t="str">
        <f t="shared" si="2"/>
        <v>2030 bench</v>
      </c>
      <c r="H63" s="73" t="s">
        <v>239</v>
      </c>
      <c r="I63" s="93" t="s">
        <v>488</v>
      </c>
      <c r="J63" s="73" t="s">
        <v>233</v>
      </c>
      <c r="K63" s="73">
        <v>0</v>
      </c>
      <c r="L63" s="73">
        <v>0</v>
      </c>
      <c r="M63" s="73">
        <v>-1</v>
      </c>
      <c r="N63" s="73" t="s">
        <v>122</v>
      </c>
      <c r="O63" s="73">
        <v>0</v>
      </c>
      <c r="P63" s="73">
        <v>1</v>
      </c>
      <c r="Q63" s="73">
        <v>0</v>
      </c>
      <c r="R63" s="72" t="s">
        <v>221</v>
      </c>
      <c r="S63" s="72" t="s">
        <v>222</v>
      </c>
      <c r="T63" s="72" t="s">
        <v>423</v>
      </c>
      <c r="U63" s="74" t="b">
        <v>0</v>
      </c>
      <c r="V63" s="72" t="b">
        <v>1</v>
      </c>
      <c r="W63" s="72" t="b">
        <v>0</v>
      </c>
      <c r="X63" s="72" t="b">
        <v>0</v>
      </c>
      <c r="Y63" s="72" t="b">
        <v>1</v>
      </c>
      <c r="Z63" s="72" t="b">
        <v>0</v>
      </c>
      <c r="AA63" s="72" t="b">
        <v>0</v>
      </c>
      <c r="AB63" s="72" t="b">
        <v>0</v>
      </c>
      <c r="AC63" s="72" t="b">
        <v>0</v>
      </c>
      <c r="AD63" s="72" t="b">
        <v>1</v>
      </c>
      <c r="AE63" s="72" t="b">
        <v>1</v>
      </c>
      <c r="AF63" s="75" t="b">
        <v>0</v>
      </c>
      <c r="AG63" s="72" t="b">
        <v>0</v>
      </c>
      <c r="AH63" s="72" t="b">
        <v>0</v>
      </c>
      <c r="AI63" s="72" t="b">
        <v>1</v>
      </c>
    </row>
    <row r="64" spans="1:35" x14ac:dyDescent="0.3">
      <c r="A64" s="13">
        <f t="shared" si="0"/>
        <v>55</v>
      </c>
      <c r="B64" s="70" t="s">
        <v>491</v>
      </c>
      <c r="C64" s="71" t="s">
        <v>441</v>
      </c>
      <c r="D64" s="72" t="s">
        <v>231</v>
      </c>
      <c r="E64" s="70" t="s">
        <v>120</v>
      </c>
      <c r="F64" s="73" t="s">
        <v>122</v>
      </c>
      <c r="G64" s="73" t="str">
        <f t="shared" si="2"/>
        <v>2030 bench</v>
      </c>
      <c r="H64" s="73" t="s">
        <v>239</v>
      </c>
      <c r="I64" s="93" t="s">
        <v>489</v>
      </c>
      <c r="J64" s="73" t="s">
        <v>87</v>
      </c>
      <c r="K64" s="73">
        <v>0</v>
      </c>
      <c r="L64" s="73">
        <v>0</v>
      </c>
      <c r="M64" s="73">
        <v>-1</v>
      </c>
      <c r="N64" s="73" t="s">
        <v>122</v>
      </c>
      <c r="O64" s="73">
        <v>0</v>
      </c>
      <c r="P64" s="73">
        <v>1</v>
      </c>
      <c r="Q64" s="73">
        <v>0</v>
      </c>
      <c r="R64" s="72" t="s">
        <v>221</v>
      </c>
      <c r="S64" s="72" t="s">
        <v>222</v>
      </c>
      <c r="T64" s="72" t="s">
        <v>423</v>
      </c>
      <c r="U64" s="74" t="b">
        <v>0</v>
      </c>
      <c r="V64" s="72" t="b">
        <v>1</v>
      </c>
      <c r="W64" s="72" t="b">
        <v>0</v>
      </c>
      <c r="X64" s="72" t="b">
        <v>0</v>
      </c>
      <c r="Y64" s="72" t="b">
        <v>1</v>
      </c>
      <c r="Z64" s="72" t="b">
        <v>0</v>
      </c>
      <c r="AA64" s="72" t="b">
        <v>0</v>
      </c>
      <c r="AB64" s="72" t="b">
        <v>0</v>
      </c>
      <c r="AC64" s="72" t="b">
        <v>0</v>
      </c>
      <c r="AD64" s="72" t="b">
        <v>1</v>
      </c>
      <c r="AE64" s="72" t="b">
        <v>1</v>
      </c>
      <c r="AF64" s="75" t="b">
        <v>0</v>
      </c>
      <c r="AG64" s="72" t="b">
        <v>0</v>
      </c>
      <c r="AH64" s="72" t="b">
        <v>0</v>
      </c>
      <c r="AI64" s="72" t="b">
        <v>1</v>
      </c>
    </row>
    <row r="65" spans="1:35" x14ac:dyDescent="0.3">
      <c r="A65" s="13">
        <f t="shared" si="0"/>
        <v>56</v>
      </c>
      <c r="B65" s="70" t="s">
        <v>491</v>
      </c>
      <c r="C65" s="71" t="s">
        <v>440</v>
      </c>
      <c r="D65" s="72" t="s">
        <v>231</v>
      </c>
      <c r="E65" s="70" t="s">
        <v>120</v>
      </c>
      <c r="F65" s="73" t="s">
        <v>122</v>
      </c>
      <c r="G65" s="73" t="str">
        <f t="shared" si="2"/>
        <v>2030 bench</v>
      </c>
      <c r="H65" s="73" t="s">
        <v>239</v>
      </c>
      <c r="I65" s="93" t="s">
        <v>489</v>
      </c>
      <c r="J65" s="73" t="s">
        <v>104</v>
      </c>
      <c r="K65" s="73">
        <v>0</v>
      </c>
      <c r="L65" s="73">
        <v>0</v>
      </c>
      <c r="M65" s="73">
        <v>-1</v>
      </c>
      <c r="N65" s="73" t="s">
        <v>122</v>
      </c>
      <c r="O65" s="73">
        <v>0</v>
      </c>
      <c r="P65" s="73">
        <v>1</v>
      </c>
      <c r="Q65" s="73">
        <v>0</v>
      </c>
      <c r="R65" s="72" t="s">
        <v>221</v>
      </c>
      <c r="S65" s="72" t="s">
        <v>222</v>
      </c>
      <c r="T65" s="72" t="s">
        <v>423</v>
      </c>
      <c r="U65" s="74" t="b">
        <v>0</v>
      </c>
      <c r="V65" s="72" t="b">
        <v>1</v>
      </c>
      <c r="W65" s="72" t="b">
        <v>0</v>
      </c>
      <c r="X65" s="72" t="b">
        <v>0</v>
      </c>
      <c r="Y65" s="72" t="b">
        <v>1</v>
      </c>
      <c r="Z65" s="72" t="b">
        <v>0</v>
      </c>
      <c r="AA65" s="72" t="b">
        <v>0</v>
      </c>
      <c r="AB65" s="72" t="b">
        <v>0</v>
      </c>
      <c r="AC65" s="72" t="b">
        <v>0</v>
      </c>
      <c r="AD65" s="72" t="b">
        <v>1</v>
      </c>
      <c r="AE65" s="72" t="b">
        <v>1</v>
      </c>
      <c r="AF65" s="75" t="b">
        <v>0</v>
      </c>
      <c r="AG65" s="72" t="b">
        <v>0</v>
      </c>
      <c r="AH65" s="72" t="b">
        <v>0</v>
      </c>
      <c r="AI65" s="72" t="b">
        <v>1</v>
      </c>
    </row>
    <row r="66" spans="1:35" x14ac:dyDescent="0.3">
      <c r="A66" s="13">
        <f t="shared" si="0"/>
        <v>57</v>
      </c>
      <c r="B66" s="70" t="s">
        <v>491</v>
      </c>
      <c r="C66" s="71" t="s">
        <v>442</v>
      </c>
      <c r="D66" s="72" t="s">
        <v>231</v>
      </c>
      <c r="E66" s="70" t="s">
        <v>120</v>
      </c>
      <c r="F66" s="73" t="s">
        <v>122</v>
      </c>
      <c r="G66" s="73" t="str">
        <f t="shared" si="2"/>
        <v>2030 bench</v>
      </c>
      <c r="H66" s="73" t="s">
        <v>239</v>
      </c>
      <c r="I66" s="93" t="s">
        <v>489</v>
      </c>
      <c r="J66" s="73" t="s">
        <v>233</v>
      </c>
      <c r="K66" s="73">
        <v>0</v>
      </c>
      <c r="L66" s="73">
        <v>0</v>
      </c>
      <c r="M66" s="73">
        <v>-1</v>
      </c>
      <c r="N66" s="73" t="s">
        <v>122</v>
      </c>
      <c r="O66" s="73">
        <v>0</v>
      </c>
      <c r="P66" s="73">
        <v>1</v>
      </c>
      <c r="Q66" s="73">
        <v>0</v>
      </c>
      <c r="R66" s="72" t="s">
        <v>221</v>
      </c>
      <c r="S66" s="72" t="s">
        <v>222</v>
      </c>
      <c r="T66" s="72" t="s">
        <v>423</v>
      </c>
      <c r="U66" s="74" t="b">
        <v>0</v>
      </c>
      <c r="V66" s="72" t="b">
        <v>1</v>
      </c>
      <c r="W66" s="72" t="b">
        <v>0</v>
      </c>
      <c r="X66" s="72" t="b">
        <v>0</v>
      </c>
      <c r="Y66" s="72" t="b">
        <v>1</v>
      </c>
      <c r="Z66" s="72" t="b">
        <v>0</v>
      </c>
      <c r="AA66" s="72" t="b">
        <v>0</v>
      </c>
      <c r="AB66" s="72" t="b">
        <v>0</v>
      </c>
      <c r="AC66" s="72" t="b">
        <v>0</v>
      </c>
      <c r="AD66" s="72" t="b">
        <v>1</v>
      </c>
      <c r="AE66" s="72" t="b">
        <v>1</v>
      </c>
      <c r="AF66" s="75" t="b">
        <v>0</v>
      </c>
      <c r="AG66" s="72" t="b">
        <v>0</v>
      </c>
      <c r="AH66" s="72" t="b">
        <v>0</v>
      </c>
      <c r="AI66" s="72" t="b">
        <v>1</v>
      </c>
    </row>
    <row r="67" spans="1:35" s="91" customFormat="1" x14ac:dyDescent="0.3">
      <c r="A67" s="84">
        <f t="shared" si="0"/>
        <v>58</v>
      </c>
      <c r="B67" s="85" t="s">
        <v>446</v>
      </c>
      <c r="C67" s="86" t="s">
        <v>444</v>
      </c>
      <c r="D67" s="87" t="s">
        <v>231</v>
      </c>
      <c r="E67" s="85" t="s">
        <v>120</v>
      </c>
      <c r="F67" s="88" t="s">
        <v>122</v>
      </c>
      <c r="G67" s="88" t="str">
        <f t="shared" ref="G67:G87" si="3">"2030 bench"</f>
        <v>2030 bench</v>
      </c>
      <c r="H67" s="88" t="s">
        <v>239</v>
      </c>
      <c r="I67" s="88">
        <v>2015</v>
      </c>
      <c r="J67" s="88" t="s">
        <v>87</v>
      </c>
      <c r="K67" s="88">
        <v>0</v>
      </c>
      <c r="L67" s="88">
        <v>0</v>
      </c>
      <c r="M67" s="88">
        <v>-1</v>
      </c>
      <c r="N67" s="88" t="s">
        <v>122</v>
      </c>
      <c r="O67" s="88">
        <v>0</v>
      </c>
      <c r="P67" s="88">
        <v>1</v>
      </c>
      <c r="Q67" s="88">
        <v>0</v>
      </c>
      <c r="R67" s="87" t="s">
        <v>221</v>
      </c>
      <c r="S67" s="87" t="s">
        <v>222</v>
      </c>
      <c r="T67" s="87" t="s">
        <v>423</v>
      </c>
      <c r="U67" s="89" t="b">
        <v>0</v>
      </c>
      <c r="V67" s="87" t="b">
        <v>1</v>
      </c>
      <c r="W67" s="87" t="b">
        <v>0</v>
      </c>
      <c r="X67" s="87" t="b">
        <v>0</v>
      </c>
      <c r="Y67" s="87" t="b">
        <v>1</v>
      </c>
      <c r="Z67" s="87" t="b">
        <v>0</v>
      </c>
      <c r="AA67" s="87" t="b">
        <v>0</v>
      </c>
      <c r="AB67" s="72" t="b">
        <v>0</v>
      </c>
      <c r="AC67" s="87" t="b">
        <v>0</v>
      </c>
      <c r="AD67" s="87" t="b">
        <v>1</v>
      </c>
      <c r="AE67" s="87" t="b">
        <v>1</v>
      </c>
      <c r="AF67" s="90" t="b">
        <v>0</v>
      </c>
      <c r="AG67" s="87" t="b">
        <v>0</v>
      </c>
      <c r="AH67" s="87" t="b">
        <v>0</v>
      </c>
      <c r="AI67" s="87" t="b">
        <v>1</v>
      </c>
    </row>
    <row r="68" spans="1:35" x14ac:dyDescent="0.3">
      <c r="A68" s="13">
        <f t="shared" si="0"/>
        <v>59</v>
      </c>
      <c r="B68" s="70" t="s">
        <v>448</v>
      </c>
      <c r="C68" s="71" t="s">
        <v>443</v>
      </c>
      <c r="D68" s="72" t="s">
        <v>231</v>
      </c>
      <c r="E68" s="70" t="s">
        <v>120</v>
      </c>
      <c r="F68" s="73" t="s">
        <v>122</v>
      </c>
      <c r="G68" s="73" t="str">
        <f t="shared" si="3"/>
        <v>2030 bench</v>
      </c>
      <c r="H68" s="73" t="s">
        <v>239</v>
      </c>
      <c r="I68" s="73">
        <v>2015</v>
      </c>
      <c r="J68" s="73" t="s">
        <v>104</v>
      </c>
      <c r="K68" s="73">
        <v>0</v>
      </c>
      <c r="L68" s="73">
        <v>0</v>
      </c>
      <c r="M68" s="73">
        <v>-1</v>
      </c>
      <c r="N68" s="73" t="s">
        <v>122</v>
      </c>
      <c r="O68" s="73">
        <v>0</v>
      </c>
      <c r="P68" s="73">
        <v>1</v>
      </c>
      <c r="Q68" s="73">
        <v>0</v>
      </c>
      <c r="R68" s="72" t="s">
        <v>221</v>
      </c>
      <c r="S68" s="72" t="s">
        <v>222</v>
      </c>
      <c r="T68" s="72" t="s">
        <v>423</v>
      </c>
      <c r="U68" s="74" t="b">
        <v>0</v>
      </c>
      <c r="V68" s="72" t="b">
        <v>1</v>
      </c>
      <c r="W68" s="72" t="b">
        <v>0</v>
      </c>
      <c r="X68" s="72" t="b">
        <v>0</v>
      </c>
      <c r="Y68" s="72" t="b">
        <v>1</v>
      </c>
      <c r="Z68" s="72" t="b">
        <v>0</v>
      </c>
      <c r="AA68" s="72" t="b">
        <v>0</v>
      </c>
      <c r="AB68" s="72" t="b">
        <v>0</v>
      </c>
      <c r="AC68" s="72" t="b">
        <v>0</v>
      </c>
      <c r="AD68" s="72" t="b">
        <v>1</v>
      </c>
      <c r="AE68" s="72" t="b">
        <v>1</v>
      </c>
      <c r="AF68" s="75" t="b">
        <v>0</v>
      </c>
      <c r="AG68" s="72" t="b">
        <v>0</v>
      </c>
      <c r="AH68" s="72" t="b">
        <v>0</v>
      </c>
      <c r="AI68" s="72" t="b">
        <v>1</v>
      </c>
    </row>
    <row r="69" spans="1:35" x14ac:dyDescent="0.3">
      <c r="A69" s="13">
        <f t="shared" si="0"/>
        <v>60</v>
      </c>
      <c r="B69" s="70" t="s">
        <v>447</v>
      </c>
      <c r="C69" s="71" t="s">
        <v>445</v>
      </c>
      <c r="D69" s="72" t="s">
        <v>231</v>
      </c>
      <c r="E69" s="70" t="s">
        <v>120</v>
      </c>
      <c r="F69" s="73" t="s">
        <v>122</v>
      </c>
      <c r="G69" s="73" t="str">
        <f t="shared" si="3"/>
        <v>2030 bench</v>
      </c>
      <c r="H69" s="73" t="s">
        <v>239</v>
      </c>
      <c r="I69" s="73">
        <v>2015</v>
      </c>
      <c r="J69" s="73" t="s">
        <v>233</v>
      </c>
      <c r="K69" s="73">
        <v>0</v>
      </c>
      <c r="L69" s="73">
        <v>0</v>
      </c>
      <c r="M69" s="73">
        <v>-1</v>
      </c>
      <c r="N69" s="73" t="s">
        <v>122</v>
      </c>
      <c r="O69" s="73">
        <v>0</v>
      </c>
      <c r="P69" s="73">
        <v>1</v>
      </c>
      <c r="Q69" s="73">
        <v>0</v>
      </c>
      <c r="R69" s="72" t="s">
        <v>221</v>
      </c>
      <c r="S69" s="72" t="s">
        <v>222</v>
      </c>
      <c r="T69" s="72" t="s">
        <v>423</v>
      </c>
      <c r="U69" s="74" t="b">
        <v>0</v>
      </c>
      <c r="V69" s="72" t="b">
        <v>1</v>
      </c>
      <c r="W69" s="72" t="b">
        <v>0</v>
      </c>
      <c r="X69" s="72" t="b">
        <v>0</v>
      </c>
      <c r="Y69" s="72" t="b">
        <v>1</v>
      </c>
      <c r="Z69" s="72" t="b">
        <v>0</v>
      </c>
      <c r="AA69" s="72" t="b">
        <v>0</v>
      </c>
      <c r="AB69" s="72" t="b">
        <v>0</v>
      </c>
      <c r="AC69" s="72" t="b">
        <v>0</v>
      </c>
      <c r="AD69" s="72" t="b">
        <v>1</v>
      </c>
      <c r="AE69" s="72" t="b">
        <v>1</v>
      </c>
      <c r="AF69" s="75" t="b">
        <v>0</v>
      </c>
      <c r="AG69" s="72" t="b">
        <v>0</v>
      </c>
      <c r="AH69" s="72" t="b">
        <v>0</v>
      </c>
      <c r="AI69" s="72" t="b">
        <v>1</v>
      </c>
    </row>
    <row r="70" spans="1:35" x14ac:dyDescent="0.3">
      <c r="A70" s="13">
        <f t="shared" si="0"/>
        <v>61</v>
      </c>
      <c r="B70" s="70" t="s">
        <v>446</v>
      </c>
      <c r="C70" s="71" t="s">
        <v>444</v>
      </c>
      <c r="D70" s="72" t="s">
        <v>231</v>
      </c>
      <c r="E70" s="70" t="s">
        <v>120</v>
      </c>
      <c r="F70" s="73" t="s">
        <v>122</v>
      </c>
      <c r="G70" s="73" t="str">
        <f t="shared" si="3"/>
        <v>2030 bench</v>
      </c>
      <c r="H70" s="73" t="s">
        <v>239</v>
      </c>
      <c r="I70" s="73">
        <v>2016</v>
      </c>
      <c r="J70" s="73" t="s">
        <v>87</v>
      </c>
      <c r="K70" s="73">
        <v>0</v>
      </c>
      <c r="L70" s="73">
        <v>0</v>
      </c>
      <c r="M70" s="73">
        <v>-1</v>
      </c>
      <c r="N70" s="73" t="s">
        <v>122</v>
      </c>
      <c r="O70" s="73">
        <v>0</v>
      </c>
      <c r="P70" s="73">
        <v>1</v>
      </c>
      <c r="Q70" s="73">
        <v>0</v>
      </c>
      <c r="R70" s="72" t="s">
        <v>221</v>
      </c>
      <c r="S70" s="72" t="s">
        <v>222</v>
      </c>
      <c r="T70" s="72" t="s">
        <v>423</v>
      </c>
      <c r="U70" s="74" t="b">
        <v>0</v>
      </c>
      <c r="V70" s="72" t="b">
        <v>1</v>
      </c>
      <c r="W70" s="72" t="b">
        <v>0</v>
      </c>
      <c r="X70" s="72" t="b">
        <v>0</v>
      </c>
      <c r="Y70" s="72" t="b">
        <v>1</v>
      </c>
      <c r="Z70" s="72" t="b">
        <v>0</v>
      </c>
      <c r="AA70" s="72" t="b">
        <v>0</v>
      </c>
      <c r="AB70" s="72" t="b">
        <v>0</v>
      </c>
      <c r="AC70" s="72" t="b">
        <v>0</v>
      </c>
      <c r="AD70" s="72" t="b">
        <v>1</v>
      </c>
      <c r="AE70" s="72" t="b">
        <v>1</v>
      </c>
      <c r="AF70" s="75" t="b">
        <v>0</v>
      </c>
      <c r="AG70" s="72" t="b">
        <v>0</v>
      </c>
      <c r="AH70" s="72" t="b">
        <v>0</v>
      </c>
      <c r="AI70" s="72" t="b">
        <v>1</v>
      </c>
    </row>
    <row r="71" spans="1:35" x14ac:dyDescent="0.3">
      <c r="A71" s="13">
        <f t="shared" si="0"/>
        <v>62</v>
      </c>
      <c r="B71" s="70" t="s">
        <v>448</v>
      </c>
      <c r="C71" s="71" t="s">
        <v>443</v>
      </c>
      <c r="D71" s="72" t="s">
        <v>231</v>
      </c>
      <c r="E71" s="70" t="s">
        <v>120</v>
      </c>
      <c r="F71" s="73" t="s">
        <v>122</v>
      </c>
      <c r="G71" s="73" t="str">
        <f t="shared" si="3"/>
        <v>2030 bench</v>
      </c>
      <c r="H71" s="73" t="s">
        <v>239</v>
      </c>
      <c r="I71" s="73">
        <v>2016</v>
      </c>
      <c r="J71" s="73" t="s">
        <v>104</v>
      </c>
      <c r="K71" s="73">
        <v>0</v>
      </c>
      <c r="L71" s="73">
        <v>0</v>
      </c>
      <c r="M71" s="73">
        <v>-1</v>
      </c>
      <c r="N71" s="73" t="s">
        <v>122</v>
      </c>
      <c r="O71" s="73">
        <v>0</v>
      </c>
      <c r="P71" s="73">
        <v>1</v>
      </c>
      <c r="Q71" s="73">
        <v>0</v>
      </c>
      <c r="R71" s="72" t="s">
        <v>221</v>
      </c>
      <c r="S71" s="72" t="s">
        <v>222</v>
      </c>
      <c r="T71" s="72" t="s">
        <v>423</v>
      </c>
      <c r="U71" s="74" t="b">
        <v>0</v>
      </c>
      <c r="V71" s="72" t="b">
        <v>1</v>
      </c>
      <c r="W71" s="72" t="b">
        <v>0</v>
      </c>
      <c r="X71" s="72" t="b">
        <v>0</v>
      </c>
      <c r="Y71" s="72" t="b">
        <v>1</v>
      </c>
      <c r="Z71" s="72" t="b">
        <v>0</v>
      </c>
      <c r="AA71" s="72" t="b">
        <v>0</v>
      </c>
      <c r="AB71" s="72" t="b">
        <v>0</v>
      </c>
      <c r="AC71" s="72" t="b">
        <v>0</v>
      </c>
      <c r="AD71" s="72" t="b">
        <v>1</v>
      </c>
      <c r="AE71" s="72" t="b">
        <v>1</v>
      </c>
      <c r="AF71" s="75" t="b">
        <v>0</v>
      </c>
      <c r="AG71" s="72" t="b">
        <v>0</v>
      </c>
      <c r="AH71" s="72" t="b">
        <v>0</v>
      </c>
      <c r="AI71" s="72" t="b">
        <v>1</v>
      </c>
    </row>
    <row r="72" spans="1:35" x14ac:dyDescent="0.3">
      <c r="A72" s="13">
        <f t="shared" si="0"/>
        <v>63</v>
      </c>
      <c r="B72" s="70" t="s">
        <v>447</v>
      </c>
      <c r="C72" s="71" t="s">
        <v>445</v>
      </c>
      <c r="D72" s="72" t="s">
        <v>231</v>
      </c>
      <c r="E72" s="70" t="s">
        <v>120</v>
      </c>
      <c r="F72" s="73" t="s">
        <v>122</v>
      </c>
      <c r="G72" s="73" t="str">
        <f t="shared" si="3"/>
        <v>2030 bench</v>
      </c>
      <c r="H72" s="73" t="s">
        <v>239</v>
      </c>
      <c r="I72" s="73">
        <v>2016</v>
      </c>
      <c r="J72" s="73" t="s">
        <v>233</v>
      </c>
      <c r="K72" s="73">
        <v>0</v>
      </c>
      <c r="L72" s="73">
        <v>0</v>
      </c>
      <c r="M72" s="73">
        <v>-1</v>
      </c>
      <c r="N72" s="73" t="s">
        <v>122</v>
      </c>
      <c r="O72" s="73">
        <v>0</v>
      </c>
      <c r="P72" s="73">
        <v>1</v>
      </c>
      <c r="Q72" s="73">
        <v>0</v>
      </c>
      <c r="R72" s="72" t="s">
        <v>221</v>
      </c>
      <c r="S72" s="72" t="s">
        <v>222</v>
      </c>
      <c r="T72" s="72" t="s">
        <v>423</v>
      </c>
      <c r="U72" s="74" t="b">
        <v>0</v>
      </c>
      <c r="V72" s="72" t="b">
        <v>1</v>
      </c>
      <c r="W72" s="72" t="b">
        <v>0</v>
      </c>
      <c r="X72" s="72" t="b">
        <v>0</v>
      </c>
      <c r="Y72" s="72" t="b">
        <v>1</v>
      </c>
      <c r="Z72" s="72" t="b">
        <v>0</v>
      </c>
      <c r="AA72" s="72" t="b">
        <v>0</v>
      </c>
      <c r="AB72" s="72" t="b">
        <v>0</v>
      </c>
      <c r="AC72" s="72" t="b">
        <v>0</v>
      </c>
      <c r="AD72" s="72" t="b">
        <v>1</v>
      </c>
      <c r="AE72" s="72" t="b">
        <v>1</v>
      </c>
      <c r="AF72" s="75" t="b">
        <v>0</v>
      </c>
      <c r="AG72" s="72" t="b">
        <v>0</v>
      </c>
      <c r="AH72" s="72" t="b">
        <v>0</v>
      </c>
      <c r="AI72" s="72" t="b">
        <v>1</v>
      </c>
    </row>
    <row r="73" spans="1:35" x14ac:dyDescent="0.3">
      <c r="A73" s="13">
        <f t="shared" si="0"/>
        <v>64</v>
      </c>
      <c r="B73" s="70" t="s">
        <v>446</v>
      </c>
      <c r="C73" s="71" t="s">
        <v>444</v>
      </c>
      <c r="D73" s="72" t="s">
        <v>231</v>
      </c>
      <c r="E73" s="70" t="s">
        <v>120</v>
      </c>
      <c r="F73" s="73" t="s">
        <v>122</v>
      </c>
      <c r="G73" s="73" t="str">
        <f t="shared" si="3"/>
        <v>2030 bench</v>
      </c>
      <c r="H73" s="73" t="s">
        <v>239</v>
      </c>
      <c r="I73" s="73">
        <v>2017</v>
      </c>
      <c r="J73" s="73" t="s">
        <v>87</v>
      </c>
      <c r="K73" s="73">
        <v>0</v>
      </c>
      <c r="L73" s="73">
        <v>0</v>
      </c>
      <c r="M73" s="73">
        <v>-1</v>
      </c>
      <c r="N73" s="73" t="s">
        <v>122</v>
      </c>
      <c r="O73" s="73">
        <v>0</v>
      </c>
      <c r="P73" s="73">
        <v>1</v>
      </c>
      <c r="Q73" s="73">
        <v>0</v>
      </c>
      <c r="R73" s="72" t="s">
        <v>221</v>
      </c>
      <c r="S73" s="72" t="s">
        <v>222</v>
      </c>
      <c r="T73" s="72" t="s">
        <v>423</v>
      </c>
      <c r="U73" s="74" t="b">
        <v>0</v>
      </c>
      <c r="V73" s="72" t="b">
        <v>1</v>
      </c>
      <c r="W73" s="72" t="b">
        <v>0</v>
      </c>
      <c r="X73" s="72" t="b">
        <v>0</v>
      </c>
      <c r="Y73" s="72" t="b">
        <v>1</v>
      </c>
      <c r="Z73" s="72" t="b">
        <v>0</v>
      </c>
      <c r="AA73" s="72" t="b">
        <v>0</v>
      </c>
      <c r="AB73" s="72" t="b">
        <v>0</v>
      </c>
      <c r="AC73" s="72" t="b">
        <v>0</v>
      </c>
      <c r="AD73" s="72" t="b">
        <v>1</v>
      </c>
      <c r="AE73" s="72" t="b">
        <v>1</v>
      </c>
      <c r="AF73" s="75" t="b">
        <v>0</v>
      </c>
      <c r="AG73" s="72" t="b">
        <v>0</v>
      </c>
      <c r="AH73" s="72" t="b">
        <v>0</v>
      </c>
      <c r="AI73" s="72" t="b">
        <v>1</v>
      </c>
    </row>
    <row r="74" spans="1:35" x14ac:dyDescent="0.3">
      <c r="A74" s="13">
        <f t="shared" si="0"/>
        <v>65</v>
      </c>
      <c r="B74" s="70" t="s">
        <v>448</v>
      </c>
      <c r="C74" s="71" t="s">
        <v>443</v>
      </c>
      <c r="D74" s="72" t="s">
        <v>231</v>
      </c>
      <c r="E74" s="70" t="s">
        <v>120</v>
      </c>
      <c r="F74" s="73" t="s">
        <v>122</v>
      </c>
      <c r="G74" s="73" t="str">
        <f t="shared" si="3"/>
        <v>2030 bench</v>
      </c>
      <c r="H74" s="73" t="s">
        <v>239</v>
      </c>
      <c r="I74" s="73">
        <v>2017</v>
      </c>
      <c r="J74" s="73" t="s">
        <v>104</v>
      </c>
      <c r="K74" s="73">
        <v>0</v>
      </c>
      <c r="L74" s="73">
        <v>0</v>
      </c>
      <c r="M74" s="73">
        <v>-1</v>
      </c>
      <c r="N74" s="73" t="s">
        <v>122</v>
      </c>
      <c r="O74" s="73">
        <v>0</v>
      </c>
      <c r="P74" s="73">
        <v>1</v>
      </c>
      <c r="Q74" s="73">
        <v>0</v>
      </c>
      <c r="R74" s="72" t="s">
        <v>221</v>
      </c>
      <c r="S74" s="72" t="s">
        <v>222</v>
      </c>
      <c r="T74" s="72" t="s">
        <v>423</v>
      </c>
      <c r="U74" s="74" t="b">
        <v>0</v>
      </c>
      <c r="V74" s="72" t="b">
        <v>1</v>
      </c>
      <c r="W74" s="72" t="b">
        <v>0</v>
      </c>
      <c r="X74" s="72" t="b">
        <v>0</v>
      </c>
      <c r="Y74" s="72" t="b">
        <v>1</v>
      </c>
      <c r="Z74" s="72" t="b">
        <v>0</v>
      </c>
      <c r="AA74" s="72" t="b">
        <v>0</v>
      </c>
      <c r="AB74" s="72" t="b">
        <v>0</v>
      </c>
      <c r="AC74" s="72" t="b">
        <v>0</v>
      </c>
      <c r="AD74" s="72" t="b">
        <v>1</v>
      </c>
      <c r="AE74" s="72" t="b">
        <v>1</v>
      </c>
      <c r="AF74" s="75" t="b">
        <v>0</v>
      </c>
      <c r="AG74" s="72" t="b">
        <v>0</v>
      </c>
      <c r="AH74" s="72" t="b">
        <v>0</v>
      </c>
      <c r="AI74" s="72" t="b">
        <v>1</v>
      </c>
    </row>
    <row r="75" spans="1:35" x14ac:dyDescent="0.3">
      <c r="A75" s="13">
        <f t="shared" si="0"/>
        <v>66</v>
      </c>
      <c r="B75" s="70" t="s">
        <v>447</v>
      </c>
      <c r="C75" s="71" t="s">
        <v>445</v>
      </c>
      <c r="D75" s="72" t="s">
        <v>231</v>
      </c>
      <c r="E75" s="70" t="s">
        <v>120</v>
      </c>
      <c r="F75" s="73" t="s">
        <v>122</v>
      </c>
      <c r="G75" s="73" t="str">
        <f t="shared" si="3"/>
        <v>2030 bench</v>
      </c>
      <c r="H75" s="73" t="s">
        <v>239</v>
      </c>
      <c r="I75" s="73">
        <v>2017</v>
      </c>
      <c r="J75" s="73" t="s">
        <v>233</v>
      </c>
      <c r="K75" s="73">
        <v>0</v>
      </c>
      <c r="L75" s="73">
        <v>0</v>
      </c>
      <c r="M75" s="73">
        <v>-1</v>
      </c>
      <c r="N75" s="73" t="s">
        <v>122</v>
      </c>
      <c r="O75" s="73">
        <v>0</v>
      </c>
      <c r="P75" s="73">
        <v>1</v>
      </c>
      <c r="Q75" s="73">
        <v>0</v>
      </c>
      <c r="R75" s="72" t="s">
        <v>221</v>
      </c>
      <c r="S75" s="72" t="s">
        <v>222</v>
      </c>
      <c r="T75" s="72" t="s">
        <v>423</v>
      </c>
      <c r="U75" s="74" t="b">
        <v>0</v>
      </c>
      <c r="V75" s="72" t="b">
        <v>1</v>
      </c>
      <c r="W75" s="72" t="b">
        <v>0</v>
      </c>
      <c r="X75" s="72" t="b">
        <v>0</v>
      </c>
      <c r="Y75" s="72" t="b">
        <v>1</v>
      </c>
      <c r="Z75" s="72" t="b">
        <v>0</v>
      </c>
      <c r="AA75" s="72" t="b">
        <v>0</v>
      </c>
      <c r="AB75" s="72" t="b">
        <v>0</v>
      </c>
      <c r="AC75" s="72" t="b">
        <v>0</v>
      </c>
      <c r="AD75" s="72" t="b">
        <v>1</v>
      </c>
      <c r="AE75" s="72" t="b">
        <v>1</v>
      </c>
      <c r="AF75" s="75" t="b">
        <v>0</v>
      </c>
      <c r="AG75" s="72" t="b">
        <v>0</v>
      </c>
      <c r="AH75" s="72" t="b">
        <v>0</v>
      </c>
      <c r="AI75" s="72" t="b">
        <v>1</v>
      </c>
    </row>
    <row r="76" spans="1:35" x14ac:dyDescent="0.3">
      <c r="A76" s="13">
        <f t="shared" si="0"/>
        <v>67</v>
      </c>
      <c r="B76" s="70" t="s">
        <v>446</v>
      </c>
      <c r="C76" s="71" t="s">
        <v>444</v>
      </c>
      <c r="D76" s="72" t="s">
        <v>231</v>
      </c>
      <c r="E76" s="70" t="s">
        <v>120</v>
      </c>
      <c r="F76" s="73" t="s">
        <v>122</v>
      </c>
      <c r="G76" s="73" t="str">
        <f t="shared" si="3"/>
        <v>2030 bench</v>
      </c>
      <c r="H76" s="73" t="s">
        <v>239</v>
      </c>
      <c r="I76" s="73">
        <v>2018</v>
      </c>
      <c r="J76" s="73" t="s">
        <v>87</v>
      </c>
      <c r="K76" s="73">
        <v>0</v>
      </c>
      <c r="L76" s="73">
        <v>0</v>
      </c>
      <c r="M76" s="73">
        <v>-1</v>
      </c>
      <c r="N76" s="73" t="s">
        <v>122</v>
      </c>
      <c r="O76" s="73">
        <v>0</v>
      </c>
      <c r="P76" s="73">
        <v>1</v>
      </c>
      <c r="Q76" s="73">
        <v>0</v>
      </c>
      <c r="R76" s="72" t="s">
        <v>221</v>
      </c>
      <c r="S76" s="72" t="s">
        <v>222</v>
      </c>
      <c r="T76" s="72" t="s">
        <v>423</v>
      </c>
      <c r="U76" s="74" t="b">
        <v>0</v>
      </c>
      <c r="V76" s="72" t="b">
        <v>1</v>
      </c>
      <c r="W76" s="72" t="b">
        <v>0</v>
      </c>
      <c r="X76" s="72" t="b">
        <v>0</v>
      </c>
      <c r="Y76" s="72" t="b">
        <v>1</v>
      </c>
      <c r="Z76" s="72" t="b">
        <v>0</v>
      </c>
      <c r="AA76" s="72" t="b">
        <v>0</v>
      </c>
      <c r="AB76" s="72" t="b">
        <v>0</v>
      </c>
      <c r="AC76" s="72" t="b">
        <v>0</v>
      </c>
      <c r="AD76" s="72" t="b">
        <v>1</v>
      </c>
      <c r="AE76" s="72" t="b">
        <v>1</v>
      </c>
      <c r="AF76" s="75" t="b">
        <v>0</v>
      </c>
      <c r="AG76" s="72" t="b">
        <v>0</v>
      </c>
      <c r="AH76" s="72" t="b">
        <v>0</v>
      </c>
      <c r="AI76" s="72" t="b">
        <v>1</v>
      </c>
    </row>
    <row r="77" spans="1:35" x14ac:dyDescent="0.3">
      <c r="A77" s="13">
        <f t="shared" si="0"/>
        <v>68</v>
      </c>
      <c r="B77" s="70" t="s">
        <v>448</v>
      </c>
      <c r="C77" s="71" t="s">
        <v>443</v>
      </c>
      <c r="D77" s="72" t="s">
        <v>231</v>
      </c>
      <c r="E77" s="70" t="s">
        <v>120</v>
      </c>
      <c r="F77" s="73" t="s">
        <v>122</v>
      </c>
      <c r="G77" s="73" t="str">
        <f t="shared" si="3"/>
        <v>2030 bench</v>
      </c>
      <c r="H77" s="73" t="s">
        <v>239</v>
      </c>
      <c r="I77" s="73">
        <v>2018</v>
      </c>
      <c r="J77" s="73" t="s">
        <v>104</v>
      </c>
      <c r="K77" s="73">
        <v>0</v>
      </c>
      <c r="L77" s="73">
        <v>0</v>
      </c>
      <c r="M77" s="73">
        <v>-1</v>
      </c>
      <c r="N77" s="73" t="s">
        <v>122</v>
      </c>
      <c r="O77" s="73">
        <v>0</v>
      </c>
      <c r="P77" s="73">
        <v>1</v>
      </c>
      <c r="Q77" s="73">
        <v>0</v>
      </c>
      <c r="R77" s="72" t="s">
        <v>221</v>
      </c>
      <c r="S77" s="72" t="s">
        <v>222</v>
      </c>
      <c r="T77" s="72" t="s">
        <v>423</v>
      </c>
      <c r="U77" s="74" t="b">
        <v>0</v>
      </c>
      <c r="V77" s="72" t="b">
        <v>1</v>
      </c>
      <c r="W77" s="72" t="b">
        <v>0</v>
      </c>
      <c r="X77" s="72" t="b">
        <v>0</v>
      </c>
      <c r="Y77" s="72" t="b">
        <v>1</v>
      </c>
      <c r="Z77" s="72" t="b">
        <v>0</v>
      </c>
      <c r="AA77" s="72" t="b">
        <v>0</v>
      </c>
      <c r="AB77" s="72" t="b">
        <v>0</v>
      </c>
      <c r="AC77" s="72" t="b">
        <v>0</v>
      </c>
      <c r="AD77" s="72" t="b">
        <v>1</v>
      </c>
      <c r="AE77" s="72" t="b">
        <v>1</v>
      </c>
      <c r="AF77" s="75" t="b">
        <v>0</v>
      </c>
      <c r="AG77" s="72" t="b">
        <v>0</v>
      </c>
      <c r="AH77" s="72" t="b">
        <v>0</v>
      </c>
      <c r="AI77" s="72" t="b">
        <v>1</v>
      </c>
    </row>
    <row r="78" spans="1:35" x14ac:dyDescent="0.3">
      <c r="A78" s="13">
        <f t="shared" si="0"/>
        <v>69</v>
      </c>
      <c r="B78" s="70" t="s">
        <v>447</v>
      </c>
      <c r="C78" s="71" t="s">
        <v>445</v>
      </c>
      <c r="D78" s="72" t="s">
        <v>231</v>
      </c>
      <c r="E78" s="70" t="s">
        <v>120</v>
      </c>
      <c r="F78" s="73" t="s">
        <v>122</v>
      </c>
      <c r="G78" s="73" t="str">
        <f t="shared" si="3"/>
        <v>2030 bench</v>
      </c>
      <c r="H78" s="73" t="s">
        <v>239</v>
      </c>
      <c r="I78" s="73">
        <v>2018</v>
      </c>
      <c r="J78" s="73" t="s">
        <v>233</v>
      </c>
      <c r="K78" s="73">
        <v>0</v>
      </c>
      <c r="L78" s="73">
        <v>0</v>
      </c>
      <c r="M78" s="73">
        <v>-1</v>
      </c>
      <c r="N78" s="73" t="s">
        <v>122</v>
      </c>
      <c r="O78" s="73">
        <v>0</v>
      </c>
      <c r="P78" s="73">
        <v>1</v>
      </c>
      <c r="Q78" s="73">
        <v>0</v>
      </c>
      <c r="R78" s="72" t="s">
        <v>221</v>
      </c>
      <c r="S78" s="72" t="s">
        <v>222</v>
      </c>
      <c r="T78" s="72" t="s">
        <v>423</v>
      </c>
      <c r="U78" s="74" t="b">
        <v>0</v>
      </c>
      <c r="V78" s="72" t="b">
        <v>1</v>
      </c>
      <c r="W78" s="72" t="b">
        <v>0</v>
      </c>
      <c r="X78" s="72" t="b">
        <v>0</v>
      </c>
      <c r="Y78" s="72" t="b">
        <v>1</v>
      </c>
      <c r="Z78" s="72" t="b">
        <v>0</v>
      </c>
      <c r="AA78" s="72" t="b">
        <v>0</v>
      </c>
      <c r="AB78" s="72" t="b">
        <v>0</v>
      </c>
      <c r="AC78" s="72" t="b">
        <v>0</v>
      </c>
      <c r="AD78" s="72" t="b">
        <v>1</v>
      </c>
      <c r="AE78" s="72" t="b">
        <v>1</v>
      </c>
      <c r="AF78" s="75" t="b">
        <v>0</v>
      </c>
      <c r="AG78" s="72" t="b">
        <v>0</v>
      </c>
      <c r="AH78" s="72" t="b">
        <v>0</v>
      </c>
      <c r="AI78" s="72" t="b">
        <v>1</v>
      </c>
    </row>
    <row r="79" spans="1:35" x14ac:dyDescent="0.3">
      <c r="A79" s="13">
        <f t="shared" si="0"/>
        <v>70</v>
      </c>
      <c r="B79" s="70" t="s">
        <v>446</v>
      </c>
      <c r="C79" s="71" t="s">
        <v>444</v>
      </c>
      <c r="D79" s="72" t="s">
        <v>231</v>
      </c>
      <c r="E79" s="70" t="s">
        <v>120</v>
      </c>
      <c r="F79" s="73" t="s">
        <v>122</v>
      </c>
      <c r="G79" s="73" t="str">
        <f t="shared" si="3"/>
        <v>2030 bench</v>
      </c>
      <c r="H79" s="73" t="s">
        <v>239</v>
      </c>
      <c r="I79" s="73">
        <v>2019</v>
      </c>
      <c r="J79" s="73" t="s">
        <v>87</v>
      </c>
      <c r="K79" s="73">
        <v>0</v>
      </c>
      <c r="L79" s="73">
        <v>0</v>
      </c>
      <c r="M79" s="73">
        <v>-1</v>
      </c>
      <c r="N79" s="73" t="s">
        <v>122</v>
      </c>
      <c r="O79" s="73">
        <v>0</v>
      </c>
      <c r="P79" s="73">
        <v>1</v>
      </c>
      <c r="Q79" s="73">
        <v>0</v>
      </c>
      <c r="R79" s="72" t="s">
        <v>221</v>
      </c>
      <c r="S79" s="72" t="s">
        <v>222</v>
      </c>
      <c r="T79" s="72" t="s">
        <v>423</v>
      </c>
      <c r="U79" s="74" t="b">
        <v>0</v>
      </c>
      <c r="V79" s="72" t="b">
        <v>1</v>
      </c>
      <c r="W79" s="72" t="b">
        <v>0</v>
      </c>
      <c r="X79" s="72" t="b">
        <v>0</v>
      </c>
      <c r="Y79" s="72" t="b">
        <v>1</v>
      </c>
      <c r="Z79" s="72" t="b">
        <v>0</v>
      </c>
      <c r="AA79" s="72" t="b">
        <v>0</v>
      </c>
      <c r="AB79" s="72" t="b">
        <v>0</v>
      </c>
      <c r="AC79" s="72" t="b">
        <v>0</v>
      </c>
      <c r="AD79" s="72" t="b">
        <v>1</v>
      </c>
      <c r="AE79" s="72" t="b">
        <v>1</v>
      </c>
      <c r="AF79" s="75" t="b">
        <v>0</v>
      </c>
      <c r="AG79" s="72" t="b">
        <v>0</v>
      </c>
      <c r="AH79" s="72" t="b">
        <v>0</v>
      </c>
      <c r="AI79" s="72" t="b">
        <v>1</v>
      </c>
    </row>
    <row r="80" spans="1:35" x14ac:dyDescent="0.3">
      <c r="A80" s="13">
        <f t="shared" si="0"/>
        <v>71</v>
      </c>
      <c r="B80" s="70" t="s">
        <v>448</v>
      </c>
      <c r="C80" s="71" t="s">
        <v>443</v>
      </c>
      <c r="D80" s="72" t="s">
        <v>231</v>
      </c>
      <c r="E80" s="70" t="s">
        <v>120</v>
      </c>
      <c r="F80" s="73" t="s">
        <v>122</v>
      </c>
      <c r="G80" s="73" t="str">
        <f t="shared" si="3"/>
        <v>2030 bench</v>
      </c>
      <c r="H80" s="73" t="s">
        <v>239</v>
      </c>
      <c r="I80" s="73">
        <v>2019</v>
      </c>
      <c r="J80" s="73" t="s">
        <v>104</v>
      </c>
      <c r="K80" s="73">
        <v>0</v>
      </c>
      <c r="L80" s="73">
        <v>0</v>
      </c>
      <c r="M80" s="73">
        <v>-1</v>
      </c>
      <c r="N80" s="73" t="s">
        <v>122</v>
      </c>
      <c r="O80" s="73">
        <v>0</v>
      </c>
      <c r="P80" s="73">
        <v>1</v>
      </c>
      <c r="Q80" s="73">
        <v>0</v>
      </c>
      <c r="R80" s="72" t="s">
        <v>221</v>
      </c>
      <c r="S80" s="72" t="s">
        <v>222</v>
      </c>
      <c r="T80" s="72" t="s">
        <v>423</v>
      </c>
      <c r="U80" s="74" t="b">
        <v>0</v>
      </c>
      <c r="V80" s="72" t="b">
        <v>1</v>
      </c>
      <c r="W80" s="72" t="b">
        <v>0</v>
      </c>
      <c r="X80" s="72" t="b">
        <v>0</v>
      </c>
      <c r="Y80" s="72" t="b">
        <v>1</v>
      </c>
      <c r="Z80" s="72" t="b">
        <v>0</v>
      </c>
      <c r="AA80" s="72" t="b">
        <v>0</v>
      </c>
      <c r="AB80" s="72" t="b">
        <v>0</v>
      </c>
      <c r="AC80" s="72" t="b">
        <v>0</v>
      </c>
      <c r="AD80" s="72" t="b">
        <v>1</v>
      </c>
      <c r="AE80" s="72" t="b">
        <v>1</v>
      </c>
      <c r="AF80" s="75" t="b">
        <v>0</v>
      </c>
      <c r="AG80" s="72" t="b">
        <v>0</v>
      </c>
      <c r="AH80" s="72" t="b">
        <v>0</v>
      </c>
      <c r="AI80" s="72" t="b">
        <v>1</v>
      </c>
    </row>
    <row r="81" spans="1:35" x14ac:dyDescent="0.3">
      <c r="A81" s="13">
        <f t="shared" si="0"/>
        <v>72</v>
      </c>
      <c r="B81" s="70" t="s">
        <v>447</v>
      </c>
      <c r="C81" s="71" t="s">
        <v>445</v>
      </c>
      <c r="D81" s="72" t="s">
        <v>231</v>
      </c>
      <c r="E81" s="70" t="s">
        <v>120</v>
      </c>
      <c r="F81" s="73" t="s">
        <v>122</v>
      </c>
      <c r="G81" s="73" t="str">
        <f t="shared" si="3"/>
        <v>2030 bench</v>
      </c>
      <c r="H81" s="73" t="s">
        <v>239</v>
      </c>
      <c r="I81" s="73">
        <v>2019</v>
      </c>
      <c r="J81" s="73" t="s">
        <v>233</v>
      </c>
      <c r="K81" s="73">
        <v>0</v>
      </c>
      <c r="L81" s="73">
        <v>0</v>
      </c>
      <c r="M81" s="73">
        <v>-1</v>
      </c>
      <c r="N81" s="73" t="s">
        <v>122</v>
      </c>
      <c r="O81" s="73">
        <v>0</v>
      </c>
      <c r="P81" s="73">
        <v>1</v>
      </c>
      <c r="Q81" s="73">
        <v>0</v>
      </c>
      <c r="R81" s="72" t="s">
        <v>221</v>
      </c>
      <c r="S81" s="72" t="s">
        <v>222</v>
      </c>
      <c r="T81" s="72" t="s">
        <v>423</v>
      </c>
      <c r="U81" s="74" t="b">
        <v>0</v>
      </c>
      <c r="V81" s="72" t="b">
        <v>1</v>
      </c>
      <c r="W81" s="72" t="b">
        <v>0</v>
      </c>
      <c r="X81" s="72" t="b">
        <v>0</v>
      </c>
      <c r="Y81" s="72" t="b">
        <v>1</v>
      </c>
      <c r="Z81" s="72" t="b">
        <v>0</v>
      </c>
      <c r="AA81" s="72" t="b">
        <v>0</v>
      </c>
      <c r="AB81" s="72" t="b">
        <v>0</v>
      </c>
      <c r="AC81" s="72" t="b">
        <v>0</v>
      </c>
      <c r="AD81" s="72" t="b">
        <v>1</v>
      </c>
      <c r="AE81" s="72" t="b">
        <v>1</v>
      </c>
      <c r="AF81" s="75" t="b">
        <v>0</v>
      </c>
      <c r="AG81" s="72" t="b">
        <v>0</v>
      </c>
      <c r="AH81" s="72" t="b">
        <v>0</v>
      </c>
      <c r="AI81" s="72" t="b">
        <v>1</v>
      </c>
    </row>
    <row r="82" spans="1:35" x14ac:dyDescent="0.3">
      <c r="A82" s="13">
        <f t="shared" si="0"/>
        <v>73</v>
      </c>
      <c r="B82" s="70" t="s">
        <v>446</v>
      </c>
      <c r="C82" s="71" t="s">
        <v>444</v>
      </c>
      <c r="D82" s="72" t="s">
        <v>231</v>
      </c>
      <c r="E82" s="70" t="s">
        <v>120</v>
      </c>
      <c r="F82" s="73" t="s">
        <v>122</v>
      </c>
      <c r="G82" s="73" t="str">
        <f t="shared" si="3"/>
        <v>2030 bench</v>
      </c>
      <c r="H82" s="73" t="s">
        <v>239</v>
      </c>
      <c r="I82" s="73">
        <v>2020</v>
      </c>
      <c r="J82" s="73" t="s">
        <v>87</v>
      </c>
      <c r="K82" s="73">
        <v>0</v>
      </c>
      <c r="L82" s="73">
        <v>0</v>
      </c>
      <c r="M82" s="73">
        <v>-1</v>
      </c>
      <c r="N82" s="73" t="s">
        <v>122</v>
      </c>
      <c r="O82" s="73">
        <v>0</v>
      </c>
      <c r="P82" s="73">
        <v>1</v>
      </c>
      <c r="Q82" s="73">
        <v>0</v>
      </c>
      <c r="R82" s="72" t="s">
        <v>221</v>
      </c>
      <c r="S82" s="72" t="s">
        <v>222</v>
      </c>
      <c r="T82" s="72" t="s">
        <v>423</v>
      </c>
      <c r="U82" s="74" t="b">
        <v>0</v>
      </c>
      <c r="V82" s="72" t="b">
        <v>1</v>
      </c>
      <c r="W82" s="72" t="b">
        <v>0</v>
      </c>
      <c r="X82" s="72" t="b">
        <v>0</v>
      </c>
      <c r="Y82" s="72" t="b">
        <v>1</v>
      </c>
      <c r="Z82" s="72" t="b">
        <v>0</v>
      </c>
      <c r="AA82" s="72" t="b">
        <v>0</v>
      </c>
      <c r="AB82" s="72" t="b">
        <v>0</v>
      </c>
      <c r="AC82" s="72" t="b">
        <v>0</v>
      </c>
      <c r="AD82" s="72" t="b">
        <v>1</v>
      </c>
      <c r="AE82" s="72" t="b">
        <v>1</v>
      </c>
      <c r="AF82" s="75" t="b">
        <v>0</v>
      </c>
      <c r="AG82" s="72" t="b">
        <v>0</v>
      </c>
      <c r="AH82" s="72" t="b">
        <v>0</v>
      </c>
      <c r="AI82" s="72" t="b">
        <v>1</v>
      </c>
    </row>
    <row r="83" spans="1:35" x14ac:dyDescent="0.3">
      <c r="A83" s="13">
        <f t="shared" si="0"/>
        <v>74</v>
      </c>
      <c r="B83" s="70" t="s">
        <v>448</v>
      </c>
      <c r="C83" s="71" t="s">
        <v>443</v>
      </c>
      <c r="D83" s="72" t="s">
        <v>231</v>
      </c>
      <c r="E83" s="70" t="s">
        <v>120</v>
      </c>
      <c r="F83" s="73" t="s">
        <v>122</v>
      </c>
      <c r="G83" s="73" t="str">
        <f t="shared" si="3"/>
        <v>2030 bench</v>
      </c>
      <c r="H83" s="73" t="s">
        <v>239</v>
      </c>
      <c r="I83" s="73">
        <v>2020</v>
      </c>
      <c r="J83" s="73" t="s">
        <v>104</v>
      </c>
      <c r="K83" s="73">
        <v>0</v>
      </c>
      <c r="L83" s="73">
        <v>0</v>
      </c>
      <c r="M83" s="73">
        <v>-1</v>
      </c>
      <c r="N83" s="73" t="s">
        <v>122</v>
      </c>
      <c r="O83" s="73">
        <v>0</v>
      </c>
      <c r="P83" s="73">
        <v>1</v>
      </c>
      <c r="Q83" s="73">
        <v>0</v>
      </c>
      <c r="R83" s="72" t="s">
        <v>221</v>
      </c>
      <c r="S83" s="72" t="s">
        <v>222</v>
      </c>
      <c r="T83" s="72" t="s">
        <v>423</v>
      </c>
      <c r="U83" s="74" t="b">
        <v>0</v>
      </c>
      <c r="V83" s="72" t="b">
        <v>1</v>
      </c>
      <c r="W83" s="72" t="b">
        <v>0</v>
      </c>
      <c r="X83" s="72" t="b">
        <v>0</v>
      </c>
      <c r="Y83" s="72" t="b">
        <v>1</v>
      </c>
      <c r="Z83" s="72" t="b">
        <v>0</v>
      </c>
      <c r="AA83" s="72" t="b">
        <v>0</v>
      </c>
      <c r="AB83" s="72" t="b">
        <v>0</v>
      </c>
      <c r="AC83" s="72" t="b">
        <v>0</v>
      </c>
      <c r="AD83" s="72" t="b">
        <v>1</v>
      </c>
      <c r="AE83" s="72" t="b">
        <v>1</v>
      </c>
      <c r="AF83" s="75" t="b">
        <v>0</v>
      </c>
      <c r="AG83" s="72" t="b">
        <v>0</v>
      </c>
      <c r="AH83" s="72" t="b">
        <v>0</v>
      </c>
      <c r="AI83" s="72" t="b">
        <v>1</v>
      </c>
    </row>
    <row r="84" spans="1:35" x14ac:dyDescent="0.3">
      <c r="A84" s="13">
        <f t="shared" si="0"/>
        <v>75</v>
      </c>
      <c r="B84" s="70" t="s">
        <v>447</v>
      </c>
      <c r="C84" s="71" t="s">
        <v>445</v>
      </c>
      <c r="D84" s="72" t="s">
        <v>231</v>
      </c>
      <c r="E84" s="70" t="s">
        <v>120</v>
      </c>
      <c r="F84" s="73" t="s">
        <v>122</v>
      </c>
      <c r="G84" s="73" t="str">
        <f t="shared" si="3"/>
        <v>2030 bench</v>
      </c>
      <c r="H84" s="73" t="s">
        <v>239</v>
      </c>
      <c r="I84" s="73">
        <v>2020</v>
      </c>
      <c r="J84" s="73" t="s">
        <v>233</v>
      </c>
      <c r="K84" s="73">
        <v>0</v>
      </c>
      <c r="L84" s="73">
        <v>0</v>
      </c>
      <c r="M84" s="73">
        <v>-1</v>
      </c>
      <c r="N84" s="73" t="s">
        <v>122</v>
      </c>
      <c r="O84" s="73">
        <v>0</v>
      </c>
      <c r="P84" s="73">
        <v>1</v>
      </c>
      <c r="Q84" s="73">
        <v>0</v>
      </c>
      <c r="R84" s="72" t="s">
        <v>221</v>
      </c>
      <c r="S84" s="72" t="s">
        <v>222</v>
      </c>
      <c r="T84" s="72" t="s">
        <v>423</v>
      </c>
      <c r="U84" s="74" t="b">
        <v>0</v>
      </c>
      <c r="V84" s="72" t="b">
        <v>1</v>
      </c>
      <c r="W84" s="72" t="b">
        <v>0</v>
      </c>
      <c r="X84" s="72" t="b">
        <v>0</v>
      </c>
      <c r="Y84" s="72" t="b">
        <v>1</v>
      </c>
      <c r="Z84" s="72" t="b">
        <v>0</v>
      </c>
      <c r="AA84" s="72" t="b">
        <v>0</v>
      </c>
      <c r="AB84" s="72" t="b">
        <v>0</v>
      </c>
      <c r="AC84" s="72" t="b">
        <v>0</v>
      </c>
      <c r="AD84" s="72" t="b">
        <v>1</v>
      </c>
      <c r="AE84" s="72" t="b">
        <v>1</v>
      </c>
      <c r="AF84" s="75" t="b">
        <v>0</v>
      </c>
      <c r="AG84" s="72" t="b">
        <v>0</v>
      </c>
      <c r="AH84" s="72" t="b">
        <v>0</v>
      </c>
      <c r="AI84" s="72" t="b">
        <v>1</v>
      </c>
    </row>
    <row r="85" spans="1:35" x14ac:dyDescent="0.3">
      <c r="A85" s="13">
        <f t="shared" si="0"/>
        <v>76</v>
      </c>
      <c r="B85" s="70" t="s">
        <v>446</v>
      </c>
      <c r="C85" s="71" t="s">
        <v>444</v>
      </c>
      <c r="D85" s="72" t="s">
        <v>231</v>
      </c>
      <c r="E85" s="70" t="s">
        <v>120</v>
      </c>
      <c r="F85" s="73" t="s">
        <v>122</v>
      </c>
      <c r="G85" s="73" t="str">
        <f t="shared" si="3"/>
        <v>2030 bench</v>
      </c>
      <c r="H85" s="73" t="s">
        <v>239</v>
      </c>
      <c r="I85" s="73">
        <v>2021</v>
      </c>
      <c r="J85" s="73" t="s">
        <v>87</v>
      </c>
      <c r="K85" s="73">
        <v>0</v>
      </c>
      <c r="L85" s="73">
        <v>0</v>
      </c>
      <c r="M85" s="73">
        <v>-1</v>
      </c>
      <c r="N85" s="73" t="s">
        <v>122</v>
      </c>
      <c r="O85" s="73">
        <v>0</v>
      </c>
      <c r="P85" s="73">
        <v>1</v>
      </c>
      <c r="Q85" s="73">
        <v>0</v>
      </c>
      <c r="R85" s="72" t="s">
        <v>221</v>
      </c>
      <c r="S85" s="72" t="s">
        <v>222</v>
      </c>
      <c r="T85" s="72" t="s">
        <v>423</v>
      </c>
      <c r="U85" s="74" t="b">
        <v>0</v>
      </c>
      <c r="V85" s="72" t="b">
        <v>1</v>
      </c>
      <c r="W85" s="72" t="b">
        <v>0</v>
      </c>
      <c r="X85" s="72" t="b">
        <v>0</v>
      </c>
      <c r="Y85" s="72" t="b">
        <v>1</v>
      </c>
      <c r="Z85" s="72" t="b">
        <v>0</v>
      </c>
      <c r="AA85" s="72" t="b">
        <v>0</v>
      </c>
      <c r="AB85" s="72" t="b">
        <v>0</v>
      </c>
      <c r="AC85" s="72" t="b">
        <v>0</v>
      </c>
      <c r="AD85" s="72" t="b">
        <v>1</v>
      </c>
      <c r="AE85" s="72" t="b">
        <v>1</v>
      </c>
      <c r="AF85" s="75" t="b">
        <v>0</v>
      </c>
      <c r="AG85" s="72" t="b">
        <v>0</v>
      </c>
      <c r="AH85" s="72" t="b">
        <v>0</v>
      </c>
      <c r="AI85" s="72" t="b">
        <v>1</v>
      </c>
    </row>
    <row r="86" spans="1:35" x14ac:dyDescent="0.3">
      <c r="A86" s="13">
        <f t="shared" si="0"/>
        <v>77</v>
      </c>
      <c r="B86" s="70" t="s">
        <v>448</v>
      </c>
      <c r="C86" s="71" t="s">
        <v>443</v>
      </c>
      <c r="D86" s="72" t="s">
        <v>231</v>
      </c>
      <c r="E86" s="70" t="s">
        <v>120</v>
      </c>
      <c r="F86" s="73" t="s">
        <v>122</v>
      </c>
      <c r="G86" s="73" t="str">
        <f t="shared" si="3"/>
        <v>2030 bench</v>
      </c>
      <c r="H86" s="73" t="s">
        <v>239</v>
      </c>
      <c r="I86" s="73">
        <v>2021</v>
      </c>
      <c r="J86" s="73" t="s">
        <v>104</v>
      </c>
      <c r="K86" s="73">
        <v>0</v>
      </c>
      <c r="L86" s="73">
        <v>0</v>
      </c>
      <c r="M86" s="73">
        <v>-1</v>
      </c>
      <c r="N86" s="73" t="s">
        <v>122</v>
      </c>
      <c r="O86" s="73">
        <v>0</v>
      </c>
      <c r="P86" s="73">
        <v>1</v>
      </c>
      <c r="Q86" s="73">
        <v>0</v>
      </c>
      <c r="R86" s="72" t="s">
        <v>221</v>
      </c>
      <c r="S86" s="72" t="s">
        <v>222</v>
      </c>
      <c r="T86" s="72" t="s">
        <v>423</v>
      </c>
      <c r="U86" s="74" t="b">
        <v>0</v>
      </c>
      <c r="V86" s="72" t="b">
        <v>1</v>
      </c>
      <c r="W86" s="72" t="b">
        <v>0</v>
      </c>
      <c r="X86" s="72" t="b">
        <v>0</v>
      </c>
      <c r="Y86" s="72" t="b">
        <v>1</v>
      </c>
      <c r="Z86" s="72" t="b">
        <v>0</v>
      </c>
      <c r="AA86" s="72" t="b">
        <v>0</v>
      </c>
      <c r="AB86" s="72" t="b">
        <v>0</v>
      </c>
      <c r="AC86" s="72" t="b">
        <v>0</v>
      </c>
      <c r="AD86" s="72" t="b">
        <v>1</v>
      </c>
      <c r="AE86" s="72" t="b">
        <v>1</v>
      </c>
      <c r="AF86" s="75" t="b">
        <v>0</v>
      </c>
      <c r="AG86" s="72" t="b">
        <v>0</v>
      </c>
      <c r="AH86" s="72" t="b">
        <v>0</v>
      </c>
      <c r="AI86" s="72" t="b">
        <v>1</v>
      </c>
    </row>
    <row r="87" spans="1:35" x14ac:dyDescent="0.3">
      <c r="A87" s="13">
        <f t="shared" si="0"/>
        <v>78</v>
      </c>
      <c r="B87" s="70" t="s">
        <v>447</v>
      </c>
      <c r="C87" s="71" t="s">
        <v>445</v>
      </c>
      <c r="D87" s="72" t="s">
        <v>231</v>
      </c>
      <c r="E87" s="70" t="s">
        <v>120</v>
      </c>
      <c r="F87" s="73" t="s">
        <v>122</v>
      </c>
      <c r="G87" s="73" t="str">
        <f t="shared" si="3"/>
        <v>2030 bench</v>
      </c>
      <c r="H87" s="73" t="s">
        <v>239</v>
      </c>
      <c r="I87" s="73">
        <v>2021</v>
      </c>
      <c r="J87" s="73" t="s">
        <v>233</v>
      </c>
      <c r="K87" s="73">
        <v>0</v>
      </c>
      <c r="L87" s="73">
        <v>0</v>
      </c>
      <c r="M87" s="73">
        <v>-1</v>
      </c>
      <c r="N87" s="73" t="s">
        <v>122</v>
      </c>
      <c r="O87" s="73">
        <v>0</v>
      </c>
      <c r="P87" s="73">
        <v>1</v>
      </c>
      <c r="Q87" s="73">
        <v>0</v>
      </c>
      <c r="R87" s="72" t="s">
        <v>221</v>
      </c>
      <c r="S87" s="72" t="s">
        <v>222</v>
      </c>
      <c r="T87" s="72" t="s">
        <v>423</v>
      </c>
      <c r="U87" s="74" t="b">
        <v>0</v>
      </c>
      <c r="V87" s="72" t="b">
        <v>1</v>
      </c>
      <c r="W87" s="72" t="b">
        <v>0</v>
      </c>
      <c r="X87" s="72" t="b">
        <v>0</v>
      </c>
      <c r="Y87" s="72" t="b">
        <v>1</v>
      </c>
      <c r="Z87" s="72" t="b">
        <v>0</v>
      </c>
      <c r="AA87" s="72" t="b">
        <v>0</v>
      </c>
      <c r="AB87" s="72" t="b">
        <v>0</v>
      </c>
      <c r="AC87" s="72" t="b">
        <v>0</v>
      </c>
      <c r="AD87" s="72" t="b">
        <v>1</v>
      </c>
      <c r="AE87" s="72" t="b">
        <v>1</v>
      </c>
      <c r="AF87" s="75" t="b">
        <v>0</v>
      </c>
      <c r="AG87" s="72" t="b">
        <v>0</v>
      </c>
      <c r="AH87" s="72" t="b">
        <v>0</v>
      </c>
      <c r="AI87" s="72" t="b">
        <v>1</v>
      </c>
    </row>
    <row r="88" spans="1:35" x14ac:dyDescent="0.3">
      <c r="A88" s="13"/>
      <c r="B88" s="13"/>
      <c r="D88"/>
      <c r="E88" s="13"/>
      <c r="AB88" s="72"/>
    </row>
    <row r="89" spans="1:35" x14ac:dyDescent="0.3">
      <c r="A89" s="13"/>
      <c r="B89" s="13"/>
      <c r="D89"/>
      <c r="E89" s="13"/>
      <c r="AB89" s="72"/>
    </row>
    <row r="90" spans="1:35" x14ac:dyDescent="0.3">
      <c r="A90" s="13"/>
      <c r="B90" s="13"/>
      <c r="D90"/>
      <c r="E90" s="13"/>
      <c r="AB90" s="72"/>
    </row>
    <row r="91" spans="1:35" x14ac:dyDescent="0.3">
      <c r="A91" s="13"/>
      <c r="B91" s="13"/>
      <c r="D91"/>
      <c r="E91" s="13"/>
      <c r="AB91" s="72"/>
    </row>
    <row r="92" spans="1:35" x14ac:dyDescent="0.3">
      <c r="A92" s="13"/>
      <c r="B92" s="13"/>
      <c r="D92"/>
      <c r="E92" s="13"/>
      <c r="AB92" s="72"/>
    </row>
    <row r="93" spans="1:35" x14ac:dyDescent="0.3">
      <c r="A93" s="13"/>
      <c r="B93" s="13"/>
      <c r="D93"/>
      <c r="E93" s="13"/>
      <c r="AB93" s="72"/>
    </row>
    <row r="94" spans="1:35" x14ac:dyDescent="0.3">
      <c r="A94" s="13"/>
      <c r="B94" s="13"/>
      <c r="D94"/>
      <c r="E94" s="13"/>
      <c r="AB94" s="72"/>
    </row>
    <row r="95" spans="1:35" x14ac:dyDescent="0.3">
      <c r="A95" s="13"/>
      <c r="B95" s="13"/>
      <c r="D95"/>
      <c r="E95" s="13"/>
      <c r="AB95" s="72"/>
    </row>
    <row r="96" spans="1:35" x14ac:dyDescent="0.3">
      <c r="A96" s="13"/>
      <c r="B96" s="13"/>
      <c r="D96"/>
      <c r="E96" s="13"/>
      <c r="AB96" s="72"/>
    </row>
    <row r="97" spans="1:28" x14ac:dyDescent="0.3">
      <c r="A97" s="13"/>
      <c r="B97" s="13"/>
      <c r="D97"/>
      <c r="E97" s="13"/>
      <c r="AB97" s="72"/>
    </row>
    <row r="98" spans="1:28" x14ac:dyDescent="0.3">
      <c r="A98" s="13"/>
      <c r="B98" s="13"/>
      <c r="D98"/>
      <c r="E98" s="13"/>
      <c r="AB98" s="72"/>
    </row>
    <row r="99" spans="1:28" x14ac:dyDescent="0.3">
      <c r="A99" s="13"/>
      <c r="B99" s="13"/>
      <c r="D99"/>
      <c r="E99" s="13"/>
      <c r="AB99" s="72"/>
    </row>
    <row r="100" spans="1:28" x14ac:dyDescent="0.3">
      <c r="A100" s="13"/>
      <c r="B100" s="13"/>
      <c r="D100"/>
      <c r="E100" s="13"/>
      <c r="AB100" s="72"/>
    </row>
    <row r="101" spans="1:28" x14ac:dyDescent="0.3">
      <c r="A101" s="13"/>
      <c r="B101" s="13"/>
      <c r="D101"/>
      <c r="E101" s="13"/>
      <c r="AB101" s="72"/>
    </row>
    <row r="102" spans="1:28" x14ac:dyDescent="0.3">
      <c r="A102" s="13"/>
      <c r="B102" s="13"/>
      <c r="D102"/>
      <c r="E102" s="13"/>
      <c r="AB102" s="72"/>
    </row>
    <row r="103" spans="1:28" x14ac:dyDescent="0.3">
      <c r="A103" s="13"/>
      <c r="B103" s="13"/>
      <c r="D103"/>
      <c r="E103" s="13"/>
      <c r="AB103" s="72"/>
    </row>
    <row r="104" spans="1:28" x14ac:dyDescent="0.3">
      <c r="A104" s="13"/>
      <c r="B104" s="13"/>
      <c r="D104"/>
      <c r="E104" s="13"/>
      <c r="AB104" s="72"/>
    </row>
    <row r="105" spans="1:28" x14ac:dyDescent="0.3">
      <c r="A105" s="13"/>
      <c r="B105" s="13"/>
      <c r="D105"/>
      <c r="E105" s="13"/>
      <c r="AB105" s="72"/>
    </row>
    <row r="106" spans="1:28" x14ac:dyDescent="0.3">
      <c r="A106" s="13"/>
      <c r="B106" s="13"/>
      <c r="D106"/>
      <c r="E106" s="13"/>
      <c r="AB106" s="72"/>
    </row>
    <row r="107" spans="1:28" x14ac:dyDescent="0.3">
      <c r="A107" s="13"/>
      <c r="B107" s="13"/>
      <c r="D107"/>
      <c r="E107" s="13"/>
      <c r="AB107" s="72"/>
    </row>
    <row r="108" spans="1:28" x14ac:dyDescent="0.3">
      <c r="A108" s="13"/>
      <c r="B108" s="13"/>
      <c r="D108"/>
      <c r="E108" s="13"/>
      <c r="AB108" s="72"/>
    </row>
    <row r="109" spans="1:28" x14ac:dyDescent="0.3">
      <c r="A109" s="13"/>
      <c r="B109" s="13"/>
      <c r="D109"/>
      <c r="E109" s="13"/>
      <c r="AB109" s="72"/>
    </row>
    <row r="110" spans="1:28" x14ac:dyDescent="0.3">
      <c r="A110" s="13"/>
      <c r="B110" s="13"/>
      <c r="D110"/>
      <c r="E110" s="13"/>
      <c r="AB110" s="72"/>
    </row>
    <row r="111" spans="1:28" x14ac:dyDescent="0.3">
      <c r="A111" s="13"/>
      <c r="B111" s="13"/>
      <c r="D111"/>
      <c r="E111" s="13"/>
      <c r="AB111" s="72"/>
    </row>
    <row r="112" spans="1:28" x14ac:dyDescent="0.3">
      <c r="A112" s="13"/>
      <c r="B112" s="13"/>
      <c r="D112"/>
      <c r="E112" s="13"/>
      <c r="AB112" s="72"/>
    </row>
    <row r="113" spans="1:28" x14ac:dyDescent="0.3">
      <c r="A113" s="13"/>
      <c r="B113" s="13"/>
      <c r="D113"/>
      <c r="E113" s="13"/>
      <c r="AB113" s="72"/>
    </row>
    <row r="114" spans="1:28" x14ac:dyDescent="0.3">
      <c r="A114" s="13"/>
      <c r="B114" s="13"/>
      <c r="D114"/>
      <c r="E114" s="13"/>
      <c r="AB114" s="72"/>
    </row>
    <row r="115" spans="1:28" x14ac:dyDescent="0.3">
      <c r="A115" s="13"/>
      <c r="B115" s="13"/>
      <c r="D115"/>
      <c r="E115" s="13"/>
      <c r="AB115" s="72"/>
    </row>
    <row r="116" spans="1:28" x14ac:dyDescent="0.3">
      <c r="A116" s="13"/>
      <c r="B116" s="13"/>
      <c r="D116"/>
      <c r="E116" s="13"/>
      <c r="AB116" s="72"/>
    </row>
    <row r="117" spans="1:28" x14ac:dyDescent="0.3">
      <c r="A117" s="13"/>
      <c r="B117" s="13"/>
      <c r="D117"/>
      <c r="E117" s="13"/>
      <c r="AB117" s="72"/>
    </row>
    <row r="118" spans="1:28" x14ac:dyDescent="0.3">
      <c r="A118" s="13"/>
      <c r="B118" s="13"/>
      <c r="D118"/>
      <c r="E118" s="13"/>
      <c r="AB118" s="72"/>
    </row>
    <row r="119" spans="1:28" x14ac:dyDescent="0.3">
      <c r="A119" s="13"/>
      <c r="B119" s="13"/>
      <c r="D119"/>
      <c r="E119" s="13"/>
      <c r="AB119" s="72"/>
    </row>
    <row r="120" spans="1:28" x14ac:dyDescent="0.3">
      <c r="A120" s="13"/>
      <c r="B120" s="13"/>
      <c r="D120"/>
      <c r="E120" s="13"/>
      <c r="AB120" s="72"/>
    </row>
    <row r="121" spans="1:28" x14ac:dyDescent="0.3">
      <c r="A121" s="13"/>
      <c r="B121" s="13"/>
      <c r="D121"/>
      <c r="E121" s="13"/>
      <c r="AB121" s="72"/>
    </row>
    <row r="122" spans="1:28" x14ac:dyDescent="0.3">
      <c r="A122" s="13"/>
      <c r="B122" s="13"/>
      <c r="D122"/>
      <c r="E122" s="13"/>
      <c r="AB122" s="72"/>
    </row>
    <row r="123" spans="1:28" x14ac:dyDescent="0.3">
      <c r="A123" s="13"/>
      <c r="B123" s="13"/>
      <c r="D123"/>
      <c r="E123" s="13"/>
      <c r="AB123" s="72"/>
    </row>
    <row r="124" spans="1:28" x14ac:dyDescent="0.3">
      <c r="A124" s="13"/>
      <c r="B124" s="13"/>
      <c r="D124"/>
      <c r="E124" s="13"/>
      <c r="AB124" s="72"/>
    </row>
    <row r="125" spans="1:28" x14ac:dyDescent="0.3">
      <c r="A125" s="13"/>
      <c r="B125" s="13"/>
      <c r="D125"/>
      <c r="E125" s="13"/>
      <c r="AB125" s="72"/>
    </row>
    <row r="126" spans="1:28" x14ac:dyDescent="0.3">
      <c r="A126" s="13"/>
      <c r="B126" s="13"/>
      <c r="D126"/>
      <c r="E126" s="13"/>
      <c r="AB126" s="72"/>
    </row>
    <row r="127" spans="1:28" x14ac:dyDescent="0.3">
      <c r="A127" s="13"/>
      <c r="B127" s="13"/>
      <c r="D127"/>
      <c r="E127" s="13"/>
      <c r="AB127" s="72"/>
    </row>
    <row r="128" spans="1:28" x14ac:dyDescent="0.3">
      <c r="A128" s="13"/>
      <c r="B128" s="13"/>
      <c r="D128"/>
      <c r="E128" s="13"/>
      <c r="AB128" s="72"/>
    </row>
    <row r="129" spans="1:28" x14ac:dyDescent="0.3">
      <c r="A129" s="13"/>
      <c r="B129" s="13"/>
      <c r="D129"/>
      <c r="E129" s="13"/>
      <c r="AB129" s="72"/>
    </row>
    <row r="130" spans="1:28" x14ac:dyDescent="0.3">
      <c r="A130" s="13"/>
      <c r="B130" s="13"/>
      <c r="D130"/>
      <c r="E130" s="13"/>
      <c r="AB130" s="72"/>
    </row>
    <row r="131" spans="1:28" x14ac:dyDescent="0.3">
      <c r="A131" s="13"/>
      <c r="B131" s="13"/>
      <c r="D131"/>
      <c r="E131" s="13"/>
      <c r="AB131" s="72"/>
    </row>
    <row r="132" spans="1:28" x14ac:dyDescent="0.3">
      <c r="A132" s="13"/>
      <c r="B132" s="13"/>
      <c r="D132"/>
      <c r="E132" s="13"/>
      <c r="AB132" s="72"/>
    </row>
    <row r="133" spans="1:28" x14ac:dyDescent="0.3">
      <c r="A133" s="13"/>
      <c r="B133" s="13"/>
      <c r="D133"/>
      <c r="E133" s="13"/>
      <c r="AB133" s="72"/>
    </row>
    <row r="134" spans="1:28" x14ac:dyDescent="0.3">
      <c r="A134" s="13"/>
      <c r="B134" s="13"/>
      <c r="D134"/>
      <c r="E134" s="13"/>
      <c r="AB134" s="72"/>
    </row>
    <row r="135" spans="1:28" x14ac:dyDescent="0.3">
      <c r="A135" s="13"/>
      <c r="B135" s="13"/>
      <c r="D135"/>
      <c r="E135" s="13"/>
      <c r="AB135" s="72"/>
    </row>
    <row r="136" spans="1:28" x14ac:dyDescent="0.3">
      <c r="A136" s="13"/>
      <c r="B136" s="13"/>
      <c r="D136"/>
      <c r="E136" s="13"/>
      <c r="AB136" s="72"/>
    </row>
    <row r="137" spans="1:28" x14ac:dyDescent="0.3">
      <c r="A137" s="13"/>
      <c r="B137" s="13"/>
      <c r="D137"/>
      <c r="E137" s="13"/>
      <c r="AB137" s="72"/>
    </row>
    <row r="138" spans="1:28" x14ac:dyDescent="0.3">
      <c r="A138" s="13"/>
      <c r="B138" s="13"/>
      <c r="D138"/>
      <c r="E138" s="13"/>
      <c r="AB138" s="72"/>
    </row>
    <row r="139" spans="1:28" x14ac:dyDescent="0.3">
      <c r="A139" s="13"/>
      <c r="B139" s="13"/>
      <c r="D139"/>
      <c r="E139" s="13"/>
      <c r="AB139" s="72"/>
    </row>
    <row r="140" spans="1:28" x14ac:dyDescent="0.3">
      <c r="A140" s="13"/>
      <c r="B140" s="13"/>
      <c r="D140"/>
      <c r="E140" s="13"/>
      <c r="AB140" s="72"/>
    </row>
    <row r="141" spans="1:28" x14ac:dyDescent="0.3">
      <c r="A141" s="13"/>
      <c r="B141" s="13"/>
      <c r="D141"/>
      <c r="E141" s="13"/>
      <c r="AB141" s="72"/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141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03" t="s">
        <v>156</v>
      </c>
      <c r="C2" s="104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05" t="s">
        <v>182</v>
      </c>
      <c r="I2" s="105" t="s">
        <v>181</v>
      </c>
      <c r="J2" s="13" t="s">
        <v>87</v>
      </c>
      <c r="K2" s="13" t="s">
        <v>167</v>
      </c>
      <c r="L2" s="13" t="s">
        <v>167</v>
      </c>
      <c r="M2" s="105" t="s">
        <v>255</v>
      </c>
      <c r="N2" s="106" t="s">
        <v>256</v>
      </c>
      <c r="O2" s="107" t="s">
        <v>258</v>
      </c>
      <c r="P2" s="105" t="s">
        <v>173</v>
      </c>
      <c r="Q2" s="105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03"/>
      <c r="C3" s="104"/>
      <c r="D3" s="13"/>
      <c r="E3" s="13" t="s">
        <v>120</v>
      </c>
      <c r="F3" s="13" t="s">
        <v>93</v>
      </c>
      <c r="G3" s="13">
        <v>2030</v>
      </c>
      <c r="H3" s="105"/>
      <c r="I3" s="105"/>
      <c r="J3" s="13" t="s">
        <v>104</v>
      </c>
      <c r="M3" s="105"/>
      <c r="N3" s="106"/>
      <c r="O3" s="107"/>
      <c r="P3" s="105"/>
      <c r="Q3" s="105"/>
      <c r="R3" s="13"/>
      <c r="S3" s="13"/>
      <c r="T3" s="13"/>
    </row>
    <row r="4" spans="1:33" x14ac:dyDescent="0.3">
      <c r="B4" s="103"/>
      <c r="C4" s="104"/>
      <c r="D4" s="13"/>
      <c r="E4" s="13" t="s">
        <v>97</v>
      </c>
      <c r="F4" s="13" t="s">
        <v>122</v>
      </c>
      <c r="G4" s="13">
        <v>2050</v>
      </c>
      <c r="H4" s="13"/>
      <c r="I4" s="105"/>
      <c r="J4" s="13" t="s">
        <v>233</v>
      </c>
      <c r="K4" s="13"/>
      <c r="L4" s="13"/>
      <c r="M4" s="105"/>
      <c r="N4" s="106"/>
      <c r="O4" s="107"/>
      <c r="P4" s="105"/>
      <c r="Q4" s="105"/>
      <c r="R4" s="13"/>
      <c r="S4" s="13"/>
      <c r="T4" s="13"/>
    </row>
    <row r="5" spans="1:33" x14ac:dyDescent="0.3">
      <c r="B5" s="103"/>
      <c r="C5" s="104"/>
      <c r="E5" s="13"/>
      <c r="F5" s="13"/>
      <c r="G5" s="13"/>
      <c r="H5" s="13"/>
      <c r="I5" s="13"/>
      <c r="J5" s="13"/>
      <c r="K5" s="13"/>
      <c r="L5" s="13"/>
      <c r="M5" s="105"/>
      <c r="N5" s="106"/>
      <c r="O5" s="107"/>
      <c r="P5" s="105"/>
      <c r="Q5" s="105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02" t="s">
        <v>151</v>
      </c>
      <c r="AF5" s="99"/>
      <c r="AG5" s="99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99" t="s">
        <v>0</v>
      </c>
      <c r="B4" s="99"/>
      <c r="C4" s="99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97" t="s">
        <v>79</v>
      </c>
      <c r="Q4" s="97"/>
      <c r="R4" s="97"/>
      <c r="S4" s="97"/>
      <c r="T4" s="97"/>
      <c r="U4" s="97"/>
      <c r="V4" s="97"/>
      <c r="W4" s="97"/>
      <c r="X4" s="97"/>
      <c r="Y4" s="97"/>
      <c r="Z4" s="97" t="s">
        <v>80</v>
      </c>
      <c r="AA4" s="97"/>
      <c r="AB4" s="97"/>
      <c r="AC4" s="97"/>
      <c r="AD4" s="97"/>
      <c r="AE4" s="97"/>
      <c r="AF4" s="97"/>
      <c r="AG4" s="97"/>
      <c r="AH4" s="97"/>
      <c r="AI4" s="97"/>
      <c r="AJ4" s="97" t="s">
        <v>407</v>
      </c>
      <c r="AK4" s="97"/>
      <c r="AL4" s="97"/>
      <c r="AM4" s="97"/>
      <c r="AN4" s="97"/>
      <c r="AO4" s="97"/>
      <c r="AP4" s="97"/>
      <c r="AQ4" s="97"/>
      <c r="AR4" s="97"/>
      <c r="AS4" s="97"/>
      <c r="AT4" s="97" t="s">
        <v>81</v>
      </c>
      <c r="AU4" s="97"/>
      <c r="AV4" s="97"/>
      <c r="AW4" s="97"/>
      <c r="AX4" s="97"/>
      <c r="AY4" s="97"/>
      <c r="AZ4" s="97"/>
      <c r="BA4" s="97"/>
      <c r="BB4" s="97"/>
      <c r="BC4" s="29"/>
      <c r="BD4" s="97" t="s">
        <v>82</v>
      </c>
      <c r="BE4" s="97"/>
      <c r="BF4" s="97"/>
      <c r="BG4" s="97"/>
      <c r="BH4" s="97"/>
      <c r="BI4" s="97"/>
      <c r="BJ4" s="97"/>
      <c r="BK4" s="97"/>
      <c r="BL4" s="97"/>
      <c r="BM4" s="29"/>
      <c r="BN4" s="97" t="s">
        <v>83</v>
      </c>
      <c r="BO4" s="97"/>
      <c r="BP4" s="97"/>
      <c r="BQ4" s="97"/>
      <c r="BR4" s="97"/>
      <c r="BS4" s="97"/>
      <c r="BT4" s="97"/>
      <c r="BU4" s="97"/>
      <c r="BV4" s="97"/>
      <c r="BW4" s="29"/>
      <c r="BX4" s="97" t="s">
        <v>84</v>
      </c>
      <c r="BY4" s="97"/>
      <c r="BZ4" s="97"/>
      <c r="CA4" s="97"/>
      <c r="CB4" s="97"/>
      <c r="CC4" s="97"/>
      <c r="CD4" s="97"/>
      <c r="CE4" s="97"/>
      <c r="CF4" s="97"/>
      <c r="CG4" s="29"/>
      <c r="CH4" s="97" t="s">
        <v>183</v>
      </c>
      <c r="CI4" s="97"/>
      <c r="CJ4" s="97"/>
      <c r="CK4" s="97"/>
      <c r="CL4" s="97"/>
      <c r="CM4" s="97"/>
      <c r="CN4" s="97"/>
      <c r="CO4" s="97"/>
      <c r="CP4" s="97"/>
      <c r="CQ4" s="29"/>
      <c r="CR4" s="97" t="s">
        <v>184</v>
      </c>
      <c r="CS4" s="97"/>
      <c r="CT4" s="97"/>
      <c r="CU4" s="97"/>
      <c r="CV4" s="97"/>
      <c r="CW4" s="97"/>
      <c r="CX4" s="97"/>
      <c r="CY4" s="97"/>
      <c r="CZ4" s="97"/>
      <c r="DA4" s="29"/>
      <c r="DB4" s="97" t="s">
        <v>185</v>
      </c>
      <c r="DC4" s="97"/>
      <c r="DD4" s="97"/>
      <c r="DE4" s="97"/>
      <c r="DF4" s="97"/>
      <c r="DG4" s="97"/>
      <c r="DH4" s="97"/>
      <c r="DI4" s="97"/>
      <c r="DJ4" s="97"/>
      <c r="DK4" s="29"/>
      <c r="DL4" s="97" t="s">
        <v>186</v>
      </c>
      <c r="DM4" s="97"/>
      <c r="DN4" s="97"/>
      <c r="DO4" s="97"/>
      <c r="DP4" s="97"/>
      <c r="DQ4" s="97"/>
      <c r="DR4" s="97"/>
      <c r="DS4" s="97"/>
      <c r="DT4" s="97"/>
      <c r="DU4" s="29"/>
      <c r="DV4" s="97" t="s">
        <v>187</v>
      </c>
      <c r="DW4" s="97"/>
      <c r="DX4" s="97"/>
      <c r="DY4" s="97"/>
      <c r="DZ4" s="97"/>
      <c r="EA4" s="97"/>
      <c r="EB4" s="97"/>
      <c r="EC4" s="97"/>
      <c r="ED4" s="97"/>
      <c r="EE4" s="29"/>
      <c r="EF4" s="97" t="s">
        <v>132</v>
      </c>
      <c r="EG4" s="97"/>
      <c r="EH4" s="97"/>
      <c r="EI4" s="97"/>
      <c r="EJ4" s="97"/>
      <c r="EK4" s="97"/>
      <c r="EL4" s="97"/>
      <c r="EM4" s="97"/>
      <c r="EN4" s="97"/>
      <c r="EO4" s="29"/>
      <c r="EP4" s="97" t="s">
        <v>85</v>
      </c>
      <c r="EQ4" s="97"/>
      <c r="ER4" s="97"/>
      <c r="ES4" s="97"/>
      <c r="ET4" s="97"/>
      <c r="EU4" s="97"/>
      <c r="EV4" s="97"/>
      <c r="EW4" s="97"/>
      <c r="EX4" s="97"/>
      <c r="EY4" s="29"/>
      <c r="EZ4" s="97" t="s">
        <v>178</v>
      </c>
      <c r="FA4" s="97"/>
      <c r="FB4" s="97"/>
      <c r="FC4" s="97"/>
      <c r="FD4" s="97"/>
      <c r="FE4" s="97"/>
      <c r="FF4" s="97"/>
      <c r="FG4" s="97"/>
      <c r="FH4" s="97"/>
      <c r="FI4" s="29"/>
      <c r="FJ4" s="97" t="s">
        <v>86</v>
      </c>
      <c r="FK4" s="97"/>
      <c r="FL4" s="97"/>
      <c r="FM4" s="97"/>
      <c r="FN4" s="97"/>
      <c r="FO4" s="97"/>
      <c r="FP4" s="97"/>
      <c r="FQ4" s="97"/>
      <c r="FR4" s="97"/>
      <c r="FS4" s="97"/>
    </row>
    <row r="5" spans="1:175" s="5" customFormat="1" ht="15" customHeight="1" x14ac:dyDescent="0.3">
      <c r="A5" s="37"/>
      <c r="B5" s="100" t="s">
        <v>7</v>
      </c>
      <c r="C5" s="101" t="s">
        <v>8</v>
      </c>
      <c r="D5" s="100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0"/>
      <c r="C6" s="101"/>
      <c r="D6" s="100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5.55" customHeight="1" x14ac:dyDescent="0.3">
      <c r="A7" s="45"/>
      <c r="B7" s="100"/>
      <c r="C7" s="101"/>
      <c r="D7" s="100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0"/>
      <c r="C8" s="101"/>
      <c r="D8" s="100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98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98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98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98"/>
      <c r="B12" s="3" t="s">
        <v>135</v>
      </c>
      <c r="C12" s="11" t="s">
        <v>277</v>
      </c>
      <c r="D12" s="2" t="s">
        <v>436</v>
      </c>
      <c r="E12" s="9">
        <v>0</v>
      </c>
      <c r="F12" s="13">
        <v>0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98"/>
      <c r="B13" s="3" t="s">
        <v>135</v>
      </c>
      <c r="C13" s="11" t="s">
        <v>277</v>
      </c>
      <c r="D13" s="2" t="s">
        <v>437</v>
      </c>
      <c r="E13" s="9">
        <v>0</v>
      </c>
      <c r="F13" s="13">
        <v>0</v>
      </c>
      <c r="G13" s="13" t="s">
        <v>437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98"/>
      <c r="B14" s="3" t="s">
        <v>135</v>
      </c>
      <c r="C14" s="11" t="s">
        <v>277</v>
      </c>
      <c r="D14" s="2" t="s">
        <v>438</v>
      </c>
      <c r="E14" s="9">
        <v>0</v>
      </c>
      <c r="F14" s="13">
        <v>0</v>
      </c>
      <c r="G14" s="13" t="s">
        <v>438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98"/>
      <c r="B15" s="3" t="s">
        <v>135</v>
      </c>
      <c r="C15" s="11" t="s">
        <v>277</v>
      </c>
      <c r="D15" s="2" t="s">
        <v>439</v>
      </c>
      <c r="E15" s="9">
        <v>0</v>
      </c>
      <c r="F15" s="13">
        <v>0</v>
      </c>
      <c r="G15" s="13" t="s">
        <v>439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98"/>
      <c r="B16" s="3" t="s">
        <v>135</v>
      </c>
      <c r="C16" s="4" t="s">
        <v>434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6" customFormat="1" x14ac:dyDescent="0.3">
      <c r="A17" s="98"/>
      <c r="B17" s="62" t="s">
        <v>134</v>
      </c>
      <c r="C17" s="63" t="s">
        <v>171</v>
      </c>
      <c r="D17" s="54" t="s">
        <v>403</v>
      </c>
      <c r="E17" s="9">
        <v>0</v>
      </c>
      <c r="F17" s="64">
        <v>0</v>
      </c>
      <c r="G17" s="64" t="s">
        <v>419</v>
      </c>
      <c r="H17">
        <v>0</v>
      </c>
      <c r="I17" s="65" t="str">
        <f>B33</f>
        <v>Reactant5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 t="s">
        <v>424</v>
      </c>
      <c r="Q17" s="66" t="s">
        <v>424</v>
      </c>
      <c r="R17" s="66" t="s">
        <v>424</v>
      </c>
      <c r="S17" s="66" t="s">
        <v>424</v>
      </c>
      <c r="T17" s="66" t="s">
        <v>424</v>
      </c>
      <c r="U17" s="66" t="s">
        <v>424</v>
      </c>
      <c r="V17" s="66" t="s">
        <v>424</v>
      </c>
      <c r="W17" s="66" t="s">
        <v>424</v>
      </c>
      <c r="X17" s="66" t="s">
        <v>424</v>
      </c>
      <c r="Y17" s="66" t="s">
        <v>424</v>
      </c>
      <c r="Z17" s="66" t="s">
        <v>424</v>
      </c>
      <c r="AA17" s="66" t="s">
        <v>424</v>
      </c>
      <c r="AB17" s="66" t="s">
        <v>424</v>
      </c>
      <c r="AC17" s="66" t="s">
        <v>424</v>
      </c>
      <c r="AD17" s="66" t="s">
        <v>424</v>
      </c>
      <c r="AE17" s="66" t="s">
        <v>424</v>
      </c>
      <c r="AF17" s="66" t="s">
        <v>424</v>
      </c>
      <c r="AG17" s="66" t="s">
        <v>424</v>
      </c>
      <c r="AH17" s="66" t="s">
        <v>424</v>
      </c>
      <c r="AI17" s="66" t="s">
        <v>424</v>
      </c>
      <c r="AJ17" s="66" t="s">
        <v>424</v>
      </c>
      <c r="AK17" s="66" t="s">
        <v>424</v>
      </c>
      <c r="AL17" s="66" t="s">
        <v>424</v>
      </c>
      <c r="AM17" s="66" t="s">
        <v>424</v>
      </c>
      <c r="AN17" s="66" t="s">
        <v>424</v>
      </c>
      <c r="AO17" s="66" t="s">
        <v>424</v>
      </c>
      <c r="AP17" s="66" t="s">
        <v>424</v>
      </c>
      <c r="AQ17" s="66" t="s">
        <v>424</v>
      </c>
      <c r="AR17" s="66" t="s">
        <v>424</v>
      </c>
      <c r="AS17" s="66" t="s">
        <v>424</v>
      </c>
      <c r="AT17" s="56" t="s">
        <v>424</v>
      </c>
      <c r="AU17" s="56" t="s">
        <v>424</v>
      </c>
      <c r="AV17" s="56" t="s">
        <v>424</v>
      </c>
      <c r="AW17" s="56" t="s">
        <v>424</v>
      </c>
      <c r="AX17" s="56" t="s">
        <v>424</v>
      </c>
      <c r="AY17" s="56" t="s">
        <v>424</v>
      </c>
      <c r="AZ17" s="56" t="s">
        <v>424</v>
      </c>
      <c r="BA17" s="56" t="s">
        <v>424</v>
      </c>
      <c r="BB17" s="56" t="s">
        <v>424</v>
      </c>
      <c r="BC17" s="56" t="s">
        <v>424</v>
      </c>
      <c r="BD17" s="56" t="s">
        <v>424</v>
      </c>
      <c r="BE17" s="56" t="s">
        <v>424</v>
      </c>
      <c r="BF17" s="56" t="s">
        <v>424</v>
      </c>
      <c r="BG17" s="56" t="s">
        <v>424</v>
      </c>
      <c r="BH17" s="56" t="s">
        <v>424</v>
      </c>
      <c r="BI17" s="56" t="s">
        <v>424</v>
      </c>
      <c r="BJ17" s="56" t="s">
        <v>424</v>
      </c>
      <c r="BK17" s="56" t="s">
        <v>424</v>
      </c>
      <c r="BL17" s="56" t="s">
        <v>424</v>
      </c>
      <c r="BM17" s="56" t="s">
        <v>424</v>
      </c>
      <c r="BN17" s="56" t="s">
        <v>424</v>
      </c>
      <c r="BO17" s="56" t="s">
        <v>424</v>
      </c>
      <c r="BP17" s="56" t="s">
        <v>424</v>
      </c>
      <c r="BQ17" s="56" t="s">
        <v>424</v>
      </c>
      <c r="BR17" s="56" t="s">
        <v>424</v>
      </c>
      <c r="BS17" s="56" t="s">
        <v>424</v>
      </c>
      <c r="BT17" s="56" t="s">
        <v>424</v>
      </c>
      <c r="BU17" s="56" t="s">
        <v>424</v>
      </c>
      <c r="BV17" s="56" t="s">
        <v>424</v>
      </c>
      <c r="BW17" s="56" t="s">
        <v>424</v>
      </c>
      <c r="BX17" s="55" t="s">
        <v>424</v>
      </c>
      <c r="BY17" s="55" t="s">
        <v>424</v>
      </c>
      <c r="BZ17" s="55" t="s">
        <v>424</v>
      </c>
      <c r="CA17" s="55" t="s">
        <v>424</v>
      </c>
      <c r="CB17" s="55" t="s">
        <v>424</v>
      </c>
      <c r="CC17" s="55" t="s">
        <v>424</v>
      </c>
      <c r="CD17" s="55" t="s">
        <v>424</v>
      </c>
      <c r="CE17" s="55" t="s">
        <v>424</v>
      </c>
      <c r="CF17" s="55" t="s">
        <v>424</v>
      </c>
      <c r="CG17" s="55" t="s">
        <v>424</v>
      </c>
      <c r="CH17" s="66" t="s">
        <v>424</v>
      </c>
      <c r="CI17" s="66" t="s">
        <v>424</v>
      </c>
      <c r="CJ17" s="66" t="s">
        <v>424</v>
      </c>
      <c r="CK17" s="66" t="s">
        <v>424</v>
      </c>
      <c r="CL17" s="66" t="s">
        <v>424</v>
      </c>
      <c r="CM17" s="66" t="s">
        <v>424</v>
      </c>
      <c r="CN17" s="66" t="s">
        <v>424</v>
      </c>
      <c r="CO17" s="66" t="s">
        <v>424</v>
      </c>
      <c r="CP17" s="66" t="s">
        <v>424</v>
      </c>
      <c r="CQ17" s="66" t="s">
        <v>424</v>
      </c>
      <c r="CR17" s="66" t="s">
        <v>424</v>
      </c>
      <c r="CS17" s="66" t="s">
        <v>424</v>
      </c>
      <c r="CT17" s="66" t="s">
        <v>424</v>
      </c>
      <c r="CU17" s="66" t="s">
        <v>424</v>
      </c>
      <c r="CV17" s="66" t="s">
        <v>424</v>
      </c>
      <c r="CW17" s="66" t="s">
        <v>424</v>
      </c>
      <c r="CX17" s="66" t="s">
        <v>424</v>
      </c>
      <c r="CY17" s="66" t="s">
        <v>424</v>
      </c>
      <c r="CZ17" s="66" t="s">
        <v>424</v>
      </c>
      <c r="DA17" s="66" t="s">
        <v>424</v>
      </c>
      <c r="DB17" s="66" t="s">
        <v>424</v>
      </c>
      <c r="DC17" s="66" t="s">
        <v>424</v>
      </c>
      <c r="DD17" s="66" t="s">
        <v>424</v>
      </c>
      <c r="DE17" s="66" t="s">
        <v>424</v>
      </c>
      <c r="DF17" s="66" t="s">
        <v>424</v>
      </c>
      <c r="DG17" s="66" t="s">
        <v>424</v>
      </c>
      <c r="DH17" s="66" t="s">
        <v>424</v>
      </c>
      <c r="DI17" s="66" t="s">
        <v>424</v>
      </c>
      <c r="DJ17" s="66" t="s">
        <v>424</v>
      </c>
      <c r="DK17" s="66" t="s">
        <v>424</v>
      </c>
      <c r="DL17" s="66" t="s">
        <v>424</v>
      </c>
      <c r="DM17" s="66" t="s">
        <v>424</v>
      </c>
      <c r="DN17" s="66" t="s">
        <v>424</v>
      </c>
      <c r="DO17" s="66" t="s">
        <v>424</v>
      </c>
      <c r="DP17" s="66" t="s">
        <v>424</v>
      </c>
      <c r="DQ17" s="66" t="s">
        <v>424</v>
      </c>
      <c r="DR17" s="66" t="s">
        <v>424</v>
      </c>
      <c r="DS17" s="66" t="s">
        <v>424</v>
      </c>
      <c r="DT17" s="66" t="s">
        <v>424</v>
      </c>
      <c r="DU17" s="66" t="s">
        <v>424</v>
      </c>
      <c r="DV17" s="66" t="s">
        <v>424</v>
      </c>
      <c r="DW17" s="66" t="s">
        <v>424</v>
      </c>
      <c r="DX17" s="66" t="s">
        <v>424</v>
      </c>
      <c r="DY17" s="66" t="s">
        <v>424</v>
      </c>
      <c r="DZ17" s="66" t="s">
        <v>424</v>
      </c>
      <c r="EA17" s="66" t="s">
        <v>424</v>
      </c>
      <c r="EB17" s="66" t="s">
        <v>424</v>
      </c>
      <c r="EC17" s="66" t="s">
        <v>424</v>
      </c>
      <c r="ED17" s="66" t="s">
        <v>424</v>
      </c>
      <c r="EE17" s="66" t="s">
        <v>424</v>
      </c>
      <c r="EF17" s="66" t="s">
        <v>424</v>
      </c>
      <c r="EG17" s="66" t="s">
        <v>424</v>
      </c>
      <c r="EH17" s="66" t="s">
        <v>424</v>
      </c>
      <c r="EI17" s="66" t="s">
        <v>424</v>
      </c>
      <c r="EJ17" s="66" t="s">
        <v>424</v>
      </c>
      <c r="EK17" s="66" t="s">
        <v>424</v>
      </c>
      <c r="EL17" s="66" t="s">
        <v>424</v>
      </c>
      <c r="EM17" s="66" t="s">
        <v>424</v>
      </c>
      <c r="EN17" s="66" t="s">
        <v>424</v>
      </c>
      <c r="EO17" s="66" t="s">
        <v>424</v>
      </c>
      <c r="EP17" s="66" t="s">
        <v>424</v>
      </c>
      <c r="EQ17" s="66" t="s">
        <v>424</v>
      </c>
      <c r="ER17" s="66" t="s">
        <v>424</v>
      </c>
      <c r="ES17" s="66" t="s">
        <v>424</v>
      </c>
      <c r="ET17" s="66" t="s">
        <v>424</v>
      </c>
      <c r="EU17" s="66" t="s">
        <v>424</v>
      </c>
      <c r="EV17" s="66" t="s">
        <v>424</v>
      </c>
      <c r="EW17" s="66" t="s">
        <v>424</v>
      </c>
      <c r="EX17" s="66" t="s">
        <v>424</v>
      </c>
      <c r="EY17" s="66" t="s">
        <v>424</v>
      </c>
      <c r="EZ17" s="66" t="s">
        <v>424</v>
      </c>
      <c r="FA17" s="66" t="s">
        <v>424</v>
      </c>
      <c r="FB17" s="66" t="s">
        <v>424</v>
      </c>
      <c r="FC17" s="66" t="s">
        <v>424</v>
      </c>
      <c r="FD17" s="66" t="s">
        <v>424</v>
      </c>
      <c r="FE17" s="66" t="s">
        <v>424</v>
      </c>
      <c r="FF17" s="66" t="s">
        <v>424</v>
      </c>
      <c r="FG17" s="66" t="s">
        <v>424</v>
      </c>
      <c r="FH17" s="66" t="s">
        <v>424</v>
      </c>
      <c r="FI17" s="66" t="s">
        <v>424</v>
      </c>
      <c r="FJ17" s="66" t="s">
        <v>424</v>
      </c>
      <c r="FK17" s="66" t="s">
        <v>424</v>
      </c>
      <c r="FL17" s="66" t="s">
        <v>424</v>
      </c>
      <c r="FM17" s="66" t="s">
        <v>424</v>
      </c>
      <c r="FN17" s="66" t="s">
        <v>424</v>
      </c>
      <c r="FO17" s="66" t="s">
        <v>424</v>
      </c>
      <c r="FP17" s="66" t="s">
        <v>424</v>
      </c>
      <c r="FQ17" s="66" t="s">
        <v>424</v>
      </c>
      <c r="FR17" s="66" t="s">
        <v>424</v>
      </c>
      <c r="FS17" s="66" t="s">
        <v>424</v>
      </c>
    </row>
    <row r="18" spans="1:175" s="66" customFormat="1" x14ac:dyDescent="0.3">
      <c r="A18" s="98"/>
      <c r="B18" s="62" t="s">
        <v>134</v>
      </c>
      <c r="C18" s="63" t="s">
        <v>171</v>
      </c>
      <c r="D18" s="54" t="s">
        <v>404</v>
      </c>
      <c r="E18" s="9">
        <v>0</v>
      </c>
      <c r="F18" s="64">
        <v>0</v>
      </c>
      <c r="G18" s="64" t="s">
        <v>420</v>
      </c>
      <c r="H18">
        <v>0</v>
      </c>
      <c r="I18" s="65" t="str">
        <f>B34</f>
        <v>Reactant6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 t="s">
        <v>424</v>
      </c>
      <c r="Q18" s="66" t="s">
        <v>424</v>
      </c>
      <c r="R18" s="66" t="s">
        <v>424</v>
      </c>
      <c r="S18" s="66" t="s">
        <v>424</v>
      </c>
      <c r="T18" s="66" t="s">
        <v>424</v>
      </c>
      <c r="U18" s="66" t="s">
        <v>424</v>
      </c>
      <c r="V18" s="66" t="s">
        <v>424</v>
      </c>
      <c r="W18" s="66" t="s">
        <v>424</v>
      </c>
      <c r="X18" s="66" t="s">
        <v>424</v>
      </c>
      <c r="Y18" s="66" t="s">
        <v>424</v>
      </c>
      <c r="Z18" s="66" t="s">
        <v>424</v>
      </c>
      <c r="AA18" s="66" t="s">
        <v>424</v>
      </c>
      <c r="AB18" s="66" t="s">
        <v>424</v>
      </c>
      <c r="AC18" s="66" t="s">
        <v>424</v>
      </c>
      <c r="AD18" s="66" t="s">
        <v>424</v>
      </c>
      <c r="AE18" s="66" t="s">
        <v>424</v>
      </c>
      <c r="AF18" s="66" t="s">
        <v>424</v>
      </c>
      <c r="AG18" s="66" t="s">
        <v>424</v>
      </c>
      <c r="AH18" s="66" t="s">
        <v>424</v>
      </c>
      <c r="AI18" s="66" t="s">
        <v>424</v>
      </c>
      <c r="AJ18" s="66" t="s">
        <v>424</v>
      </c>
      <c r="AK18" s="66" t="s">
        <v>424</v>
      </c>
      <c r="AL18" s="66" t="s">
        <v>424</v>
      </c>
      <c r="AM18" s="66" t="s">
        <v>424</v>
      </c>
      <c r="AN18" s="66" t="s">
        <v>424</v>
      </c>
      <c r="AO18" s="66" t="s">
        <v>424</v>
      </c>
      <c r="AP18" s="66" t="s">
        <v>424</v>
      </c>
      <c r="AQ18" s="66" t="s">
        <v>424</v>
      </c>
      <c r="AR18" s="66" t="s">
        <v>424</v>
      </c>
      <c r="AS18" s="66" t="s">
        <v>424</v>
      </c>
      <c r="AT18" s="56" t="s">
        <v>424</v>
      </c>
      <c r="AU18" s="56" t="s">
        <v>424</v>
      </c>
      <c r="AV18" s="56" t="s">
        <v>424</v>
      </c>
      <c r="AW18" s="56" t="s">
        <v>424</v>
      </c>
      <c r="AX18" s="56" t="s">
        <v>424</v>
      </c>
      <c r="AY18" s="56" t="s">
        <v>424</v>
      </c>
      <c r="AZ18" s="56" t="s">
        <v>424</v>
      </c>
      <c r="BA18" s="56" t="s">
        <v>424</v>
      </c>
      <c r="BB18" s="56" t="s">
        <v>424</v>
      </c>
      <c r="BC18" s="56" t="s">
        <v>424</v>
      </c>
      <c r="BD18" s="56" t="s">
        <v>424</v>
      </c>
      <c r="BE18" s="56" t="s">
        <v>424</v>
      </c>
      <c r="BF18" s="56" t="s">
        <v>424</v>
      </c>
      <c r="BG18" s="56" t="s">
        <v>424</v>
      </c>
      <c r="BH18" s="56" t="s">
        <v>424</v>
      </c>
      <c r="BI18" s="56" t="s">
        <v>424</v>
      </c>
      <c r="BJ18" s="56" t="s">
        <v>424</v>
      </c>
      <c r="BK18" s="56" t="s">
        <v>424</v>
      </c>
      <c r="BL18" s="56" t="s">
        <v>424</v>
      </c>
      <c r="BM18" s="56" t="s">
        <v>424</v>
      </c>
      <c r="BN18" s="56" t="s">
        <v>424</v>
      </c>
      <c r="BO18" s="56" t="s">
        <v>424</v>
      </c>
      <c r="BP18" s="56" t="s">
        <v>424</v>
      </c>
      <c r="BQ18" s="56" t="s">
        <v>424</v>
      </c>
      <c r="BR18" s="56" t="s">
        <v>424</v>
      </c>
      <c r="BS18" s="56" t="s">
        <v>424</v>
      </c>
      <c r="BT18" s="56" t="s">
        <v>424</v>
      </c>
      <c r="BU18" s="56" t="s">
        <v>424</v>
      </c>
      <c r="BV18" s="56" t="s">
        <v>424</v>
      </c>
      <c r="BW18" s="56" t="s">
        <v>424</v>
      </c>
      <c r="BX18" s="55" t="s">
        <v>424</v>
      </c>
      <c r="BY18" s="55" t="s">
        <v>424</v>
      </c>
      <c r="BZ18" s="55" t="s">
        <v>424</v>
      </c>
      <c r="CA18" s="55" t="s">
        <v>424</v>
      </c>
      <c r="CB18" s="55" t="s">
        <v>424</v>
      </c>
      <c r="CC18" s="55" t="s">
        <v>424</v>
      </c>
      <c r="CD18" s="55" t="s">
        <v>424</v>
      </c>
      <c r="CE18" s="55" t="s">
        <v>424</v>
      </c>
      <c r="CF18" s="55" t="s">
        <v>424</v>
      </c>
      <c r="CG18" s="55" t="s">
        <v>424</v>
      </c>
      <c r="CH18" s="66" t="s">
        <v>424</v>
      </c>
      <c r="CI18" s="66" t="s">
        <v>424</v>
      </c>
      <c r="CJ18" s="66" t="s">
        <v>424</v>
      </c>
      <c r="CK18" s="66" t="s">
        <v>424</v>
      </c>
      <c r="CL18" s="66" t="s">
        <v>424</v>
      </c>
      <c r="CM18" s="66" t="s">
        <v>424</v>
      </c>
      <c r="CN18" s="66" t="s">
        <v>424</v>
      </c>
      <c r="CO18" s="66" t="s">
        <v>424</v>
      </c>
      <c r="CP18" s="66" t="s">
        <v>424</v>
      </c>
      <c r="CQ18" s="66" t="s">
        <v>424</v>
      </c>
      <c r="CR18" s="66" t="s">
        <v>424</v>
      </c>
      <c r="CS18" s="66" t="s">
        <v>424</v>
      </c>
      <c r="CT18" s="66" t="s">
        <v>424</v>
      </c>
      <c r="CU18" s="66" t="s">
        <v>424</v>
      </c>
      <c r="CV18" s="66" t="s">
        <v>424</v>
      </c>
      <c r="CW18" s="66" t="s">
        <v>424</v>
      </c>
      <c r="CX18" s="66" t="s">
        <v>424</v>
      </c>
      <c r="CY18" s="66" t="s">
        <v>424</v>
      </c>
      <c r="CZ18" s="66" t="s">
        <v>424</v>
      </c>
      <c r="DA18" s="66" t="s">
        <v>424</v>
      </c>
      <c r="DB18" s="66" t="s">
        <v>424</v>
      </c>
      <c r="DC18" s="66" t="s">
        <v>424</v>
      </c>
      <c r="DD18" s="66" t="s">
        <v>424</v>
      </c>
      <c r="DE18" s="66" t="s">
        <v>424</v>
      </c>
      <c r="DF18" s="66" t="s">
        <v>424</v>
      </c>
      <c r="DG18" s="66" t="s">
        <v>424</v>
      </c>
      <c r="DH18" s="66" t="s">
        <v>424</v>
      </c>
      <c r="DI18" s="66" t="s">
        <v>424</v>
      </c>
      <c r="DJ18" s="66" t="s">
        <v>424</v>
      </c>
      <c r="DK18" s="66" t="s">
        <v>424</v>
      </c>
      <c r="DL18" s="66" t="s">
        <v>424</v>
      </c>
      <c r="DM18" s="66" t="s">
        <v>424</v>
      </c>
      <c r="DN18" s="66" t="s">
        <v>424</v>
      </c>
      <c r="DO18" s="66" t="s">
        <v>424</v>
      </c>
      <c r="DP18" s="66" t="s">
        <v>424</v>
      </c>
      <c r="DQ18" s="66" t="s">
        <v>424</v>
      </c>
      <c r="DR18" s="66" t="s">
        <v>424</v>
      </c>
      <c r="DS18" s="66" t="s">
        <v>424</v>
      </c>
      <c r="DT18" s="66" t="s">
        <v>424</v>
      </c>
      <c r="DU18" s="66" t="s">
        <v>424</v>
      </c>
      <c r="DV18" s="66" t="s">
        <v>424</v>
      </c>
      <c r="DW18" s="66" t="s">
        <v>424</v>
      </c>
      <c r="DX18" s="66" t="s">
        <v>424</v>
      </c>
      <c r="DY18" s="66" t="s">
        <v>424</v>
      </c>
      <c r="DZ18" s="66" t="s">
        <v>424</v>
      </c>
      <c r="EA18" s="66" t="s">
        <v>424</v>
      </c>
      <c r="EB18" s="66" t="s">
        <v>424</v>
      </c>
      <c r="EC18" s="66" t="s">
        <v>424</v>
      </c>
      <c r="ED18" s="66" t="s">
        <v>424</v>
      </c>
      <c r="EE18" s="66" t="s">
        <v>424</v>
      </c>
      <c r="EF18" s="66" t="s">
        <v>424</v>
      </c>
      <c r="EG18" s="66" t="s">
        <v>424</v>
      </c>
      <c r="EH18" s="66" t="s">
        <v>424</v>
      </c>
      <c r="EI18" s="66" t="s">
        <v>424</v>
      </c>
      <c r="EJ18" s="66" t="s">
        <v>424</v>
      </c>
      <c r="EK18" s="66" t="s">
        <v>424</v>
      </c>
      <c r="EL18" s="66" t="s">
        <v>424</v>
      </c>
      <c r="EM18" s="66" t="s">
        <v>424</v>
      </c>
      <c r="EN18" s="66" t="s">
        <v>424</v>
      </c>
      <c r="EO18" s="66" t="s">
        <v>424</v>
      </c>
      <c r="EP18" s="66" t="s">
        <v>424</v>
      </c>
      <c r="EQ18" s="66" t="s">
        <v>424</v>
      </c>
      <c r="ER18" s="66" t="s">
        <v>424</v>
      </c>
      <c r="ES18" s="66" t="s">
        <v>424</v>
      </c>
      <c r="ET18" s="66" t="s">
        <v>424</v>
      </c>
      <c r="EU18" s="66" t="s">
        <v>424</v>
      </c>
      <c r="EV18" s="66" t="s">
        <v>424</v>
      </c>
      <c r="EW18" s="66" t="s">
        <v>424</v>
      </c>
      <c r="EX18" s="66" t="s">
        <v>424</v>
      </c>
      <c r="EY18" s="66" t="s">
        <v>424</v>
      </c>
      <c r="EZ18" s="66" t="s">
        <v>424</v>
      </c>
      <c r="FA18" s="66" t="s">
        <v>424</v>
      </c>
      <c r="FB18" s="66" t="s">
        <v>424</v>
      </c>
      <c r="FC18" s="66" t="s">
        <v>424</v>
      </c>
      <c r="FD18" s="66" t="s">
        <v>424</v>
      </c>
      <c r="FE18" s="66" t="s">
        <v>424</v>
      </c>
      <c r="FF18" s="66" t="s">
        <v>424</v>
      </c>
      <c r="FG18" s="66" t="s">
        <v>424</v>
      </c>
      <c r="FH18" s="66" t="s">
        <v>424</v>
      </c>
      <c r="FI18" s="66" t="s">
        <v>424</v>
      </c>
      <c r="FJ18" s="66" t="s">
        <v>424</v>
      </c>
      <c r="FK18" s="66" t="s">
        <v>424</v>
      </c>
      <c r="FL18" s="66" t="s">
        <v>424</v>
      </c>
      <c r="FM18" s="66" t="s">
        <v>424</v>
      </c>
      <c r="FN18" s="66" t="s">
        <v>424</v>
      </c>
      <c r="FO18" s="66" t="s">
        <v>424</v>
      </c>
      <c r="FP18" s="66" t="s">
        <v>424</v>
      </c>
      <c r="FQ18" s="66" t="s">
        <v>424</v>
      </c>
      <c r="FR18" s="66" t="s">
        <v>424</v>
      </c>
      <c r="FS18" s="66" t="s">
        <v>424</v>
      </c>
    </row>
    <row r="19" spans="1:175" s="66" customFormat="1" x14ac:dyDescent="0.3">
      <c r="A19" s="98"/>
      <c r="B19" s="62" t="s">
        <v>134</v>
      </c>
      <c r="C19" s="63" t="s">
        <v>171</v>
      </c>
      <c r="D19" s="54" t="s">
        <v>405</v>
      </c>
      <c r="E19" s="9">
        <v>0</v>
      </c>
      <c r="F19" s="64">
        <v>0</v>
      </c>
      <c r="G19" s="64" t="s">
        <v>421</v>
      </c>
      <c r="H19">
        <v>0</v>
      </c>
      <c r="I19" s="65" t="str">
        <f t="shared" ref="I19:I20" si="3">B35</f>
        <v>Reactant7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 t="s">
        <v>424</v>
      </c>
      <c r="Q19" s="66" t="s">
        <v>424</v>
      </c>
      <c r="R19" s="66" t="s">
        <v>424</v>
      </c>
      <c r="S19" s="66" t="s">
        <v>424</v>
      </c>
      <c r="T19" s="66" t="s">
        <v>424</v>
      </c>
      <c r="U19" s="66" t="s">
        <v>424</v>
      </c>
      <c r="V19" s="66" t="s">
        <v>424</v>
      </c>
      <c r="W19" s="66" t="s">
        <v>424</v>
      </c>
      <c r="X19" s="66" t="s">
        <v>424</v>
      </c>
      <c r="Y19" s="66" t="s">
        <v>424</v>
      </c>
      <c r="Z19" s="66" t="s">
        <v>424</v>
      </c>
      <c r="AA19" s="66" t="s">
        <v>424</v>
      </c>
      <c r="AB19" s="66" t="s">
        <v>424</v>
      </c>
      <c r="AC19" s="66" t="s">
        <v>424</v>
      </c>
      <c r="AD19" s="66" t="s">
        <v>424</v>
      </c>
      <c r="AE19" s="66" t="s">
        <v>424</v>
      </c>
      <c r="AF19" s="66" t="s">
        <v>424</v>
      </c>
      <c r="AG19" s="66" t="s">
        <v>424</v>
      </c>
      <c r="AH19" s="66" t="s">
        <v>424</v>
      </c>
      <c r="AI19" s="66" t="s">
        <v>424</v>
      </c>
      <c r="AJ19" s="66" t="s">
        <v>424</v>
      </c>
      <c r="AK19" s="66" t="s">
        <v>424</v>
      </c>
      <c r="AL19" s="66" t="s">
        <v>424</v>
      </c>
      <c r="AM19" s="66" t="s">
        <v>424</v>
      </c>
      <c r="AN19" s="66" t="s">
        <v>424</v>
      </c>
      <c r="AO19" s="66" t="s">
        <v>424</v>
      </c>
      <c r="AP19" s="66" t="s">
        <v>424</v>
      </c>
      <c r="AQ19" s="66" t="s">
        <v>424</v>
      </c>
      <c r="AR19" s="66" t="s">
        <v>424</v>
      </c>
      <c r="AS19" s="66" t="s">
        <v>424</v>
      </c>
      <c r="AT19" s="56" t="s">
        <v>424</v>
      </c>
      <c r="AU19" s="56" t="s">
        <v>424</v>
      </c>
      <c r="AV19" s="56" t="s">
        <v>424</v>
      </c>
      <c r="AW19" s="56" t="s">
        <v>424</v>
      </c>
      <c r="AX19" s="56" t="s">
        <v>424</v>
      </c>
      <c r="AY19" s="56" t="s">
        <v>424</v>
      </c>
      <c r="AZ19" s="56" t="s">
        <v>424</v>
      </c>
      <c r="BA19" s="56" t="s">
        <v>424</v>
      </c>
      <c r="BB19" s="56" t="s">
        <v>424</v>
      </c>
      <c r="BC19" s="56" t="s">
        <v>424</v>
      </c>
      <c r="BD19" s="56" t="s">
        <v>424</v>
      </c>
      <c r="BE19" s="56" t="s">
        <v>424</v>
      </c>
      <c r="BF19" s="56" t="s">
        <v>424</v>
      </c>
      <c r="BG19" s="56" t="s">
        <v>424</v>
      </c>
      <c r="BH19" s="56" t="s">
        <v>424</v>
      </c>
      <c r="BI19" s="56" t="s">
        <v>424</v>
      </c>
      <c r="BJ19" s="56" t="s">
        <v>424</v>
      </c>
      <c r="BK19" s="56" t="s">
        <v>424</v>
      </c>
      <c r="BL19" s="56" t="s">
        <v>424</v>
      </c>
      <c r="BM19" s="56" t="s">
        <v>424</v>
      </c>
      <c r="BN19" s="56" t="s">
        <v>424</v>
      </c>
      <c r="BO19" s="56" t="s">
        <v>424</v>
      </c>
      <c r="BP19" s="56" t="s">
        <v>424</v>
      </c>
      <c r="BQ19" s="56" t="s">
        <v>424</v>
      </c>
      <c r="BR19" s="56" t="s">
        <v>424</v>
      </c>
      <c r="BS19" s="56" t="s">
        <v>424</v>
      </c>
      <c r="BT19" s="56" t="s">
        <v>424</v>
      </c>
      <c r="BU19" s="56" t="s">
        <v>424</v>
      </c>
      <c r="BV19" s="56" t="s">
        <v>424</v>
      </c>
      <c r="BW19" s="56" t="s">
        <v>424</v>
      </c>
      <c r="BX19" s="55" t="s">
        <v>424</v>
      </c>
      <c r="BY19" s="55" t="s">
        <v>424</v>
      </c>
      <c r="BZ19" s="55" t="s">
        <v>424</v>
      </c>
      <c r="CA19" s="55" t="s">
        <v>424</v>
      </c>
      <c r="CB19" s="55" t="s">
        <v>424</v>
      </c>
      <c r="CC19" s="55" t="s">
        <v>424</v>
      </c>
      <c r="CD19" s="55" t="s">
        <v>424</v>
      </c>
      <c r="CE19" s="55" t="s">
        <v>424</v>
      </c>
      <c r="CF19" s="55" t="s">
        <v>424</v>
      </c>
      <c r="CG19" s="55" t="s">
        <v>424</v>
      </c>
      <c r="CH19" s="66" t="s">
        <v>424</v>
      </c>
      <c r="CI19" s="66" t="s">
        <v>424</v>
      </c>
      <c r="CJ19" s="66" t="s">
        <v>424</v>
      </c>
      <c r="CK19" s="66" t="s">
        <v>424</v>
      </c>
      <c r="CL19" s="66" t="s">
        <v>424</v>
      </c>
      <c r="CM19" s="66" t="s">
        <v>424</v>
      </c>
      <c r="CN19" s="66" t="s">
        <v>424</v>
      </c>
      <c r="CO19" s="66" t="s">
        <v>424</v>
      </c>
      <c r="CP19" s="66" t="s">
        <v>424</v>
      </c>
      <c r="CQ19" s="66" t="s">
        <v>424</v>
      </c>
      <c r="CR19" s="66" t="s">
        <v>424</v>
      </c>
      <c r="CS19" s="66" t="s">
        <v>424</v>
      </c>
      <c r="CT19" s="66" t="s">
        <v>424</v>
      </c>
      <c r="CU19" s="66" t="s">
        <v>424</v>
      </c>
      <c r="CV19" s="66" t="s">
        <v>424</v>
      </c>
      <c r="CW19" s="66" t="s">
        <v>424</v>
      </c>
      <c r="CX19" s="66" t="s">
        <v>424</v>
      </c>
      <c r="CY19" s="66" t="s">
        <v>424</v>
      </c>
      <c r="CZ19" s="66" t="s">
        <v>424</v>
      </c>
      <c r="DA19" s="66" t="s">
        <v>424</v>
      </c>
      <c r="DB19" s="66" t="s">
        <v>424</v>
      </c>
      <c r="DC19" s="66" t="s">
        <v>424</v>
      </c>
      <c r="DD19" s="66" t="s">
        <v>424</v>
      </c>
      <c r="DE19" s="66" t="s">
        <v>424</v>
      </c>
      <c r="DF19" s="66" t="s">
        <v>424</v>
      </c>
      <c r="DG19" s="66" t="s">
        <v>424</v>
      </c>
      <c r="DH19" s="66" t="s">
        <v>424</v>
      </c>
      <c r="DI19" s="66" t="s">
        <v>424</v>
      </c>
      <c r="DJ19" s="66" t="s">
        <v>424</v>
      </c>
      <c r="DK19" s="66" t="s">
        <v>424</v>
      </c>
      <c r="DL19" s="66" t="s">
        <v>424</v>
      </c>
      <c r="DM19" s="66" t="s">
        <v>424</v>
      </c>
      <c r="DN19" s="66" t="s">
        <v>424</v>
      </c>
      <c r="DO19" s="66" t="s">
        <v>424</v>
      </c>
      <c r="DP19" s="66" t="s">
        <v>424</v>
      </c>
      <c r="DQ19" s="66" t="s">
        <v>424</v>
      </c>
      <c r="DR19" s="66" t="s">
        <v>424</v>
      </c>
      <c r="DS19" s="66" t="s">
        <v>424</v>
      </c>
      <c r="DT19" s="66" t="s">
        <v>424</v>
      </c>
      <c r="DU19" s="66" t="s">
        <v>424</v>
      </c>
      <c r="DV19" s="66" t="s">
        <v>424</v>
      </c>
      <c r="DW19" s="66" t="s">
        <v>424</v>
      </c>
      <c r="DX19" s="66" t="s">
        <v>424</v>
      </c>
      <c r="DY19" s="66" t="s">
        <v>424</v>
      </c>
      <c r="DZ19" s="66" t="s">
        <v>424</v>
      </c>
      <c r="EA19" s="66" t="s">
        <v>424</v>
      </c>
      <c r="EB19" s="66" t="s">
        <v>424</v>
      </c>
      <c r="EC19" s="66" t="s">
        <v>424</v>
      </c>
      <c r="ED19" s="66" t="s">
        <v>424</v>
      </c>
      <c r="EE19" s="66" t="s">
        <v>424</v>
      </c>
      <c r="EF19" s="66" t="s">
        <v>424</v>
      </c>
      <c r="EG19" s="66" t="s">
        <v>424</v>
      </c>
      <c r="EH19" s="66" t="s">
        <v>424</v>
      </c>
      <c r="EI19" s="66" t="s">
        <v>424</v>
      </c>
      <c r="EJ19" s="66" t="s">
        <v>424</v>
      </c>
      <c r="EK19" s="66" t="s">
        <v>424</v>
      </c>
      <c r="EL19" s="66" t="s">
        <v>424</v>
      </c>
      <c r="EM19" s="66" t="s">
        <v>424</v>
      </c>
      <c r="EN19" s="66" t="s">
        <v>424</v>
      </c>
      <c r="EO19" s="66" t="s">
        <v>424</v>
      </c>
      <c r="EP19" s="66" t="s">
        <v>424</v>
      </c>
      <c r="EQ19" s="66" t="s">
        <v>424</v>
      </c>
      <c r="ER19" s="66" t="s">
        <v>424</v>
      </c>
      <c r="ES19" s="66" t="s">
        <v>424</v>
      </c>
      <c r="ET19" s="66" t="s">
        <v>424</v>
      </c>
      <c r="EU19" s="66" t="s">
        <v>424</v>
      </c>
      <c r="EV19" s="66" t="s">
        <v>424</v>
      </c>
      <c r="EW19" s="66" t="s">
        <v>424</v>
      </c>
      <c r="EX19" s="66" t="s">
        <v>424</v>
      </c>
      <c r="EY19" s="66" t="s">
        <v>424</v>
      </c>
      <c r="EZ19" s="66" t="s">
        <v>424</v>
      </c>
      <c r="FA19" s="66" t="s">
        <v>424</v>
      </c>
      <c r="FB19" s="66" t="s">
        <v>424</v>
      </c>
      <c r="FC19" s="66" t="s">
        <v>424</v>
      </c>
      <c r="FD19" s="66" t="s">
        <v>424</v>
      </c>
      <c r="FE19" s="66" t="s">
        <v>424</v>
      </c>
      <c r="FF19" s="66" t="s">
        <v>424</v>
      </c>
      <c r="FG19" s="66" t="s">
        <v>424</v>
      </c>
      <c r="FH19" s="66" t="s">
        <v>424</v>
      </c>
      <c r="FI19" s="66" t="s">
        <v>424</v>
      </c>
      <c r="FJ19" s="66" t="s">
        <v>424</v>
      </c>
      <c r="FK19" s="66" t="s">
        <v>424</v>
      </c>
      <c r="FL19" s="66" t="s">
        <v>424</v>
      </c>
      <c r="FM19" s="66" t="s">
        <v>424</v>
      </c>
      <c r="FN19" s="66" t="s">
        <v>424</v>
      </c>
      <c r="FO19" s="66" t="s">
        <v>424</v>
      </c>
      <c r="FP19" s="66" t="s">
        <v>424</v>
      </c>
      <c r="FQ19" s="66" t="s">
        <v>424</v>
      </c>
      <c r="FR19" s="66" t="s">
        <v>424</v>
      </c>
      <c r="FS19" s="66" t="s">
        <v>424</v>
      </c>
    </row>
    <row r="20" spans="1:175" s="66" customFormat="1" x14ac:dyDescent="0.3">
      <c r="A20" s="98"/>
      <c r="B20" s="62" t="s">
        <v>134</v>
      </c>
      <c r="C20" s="63" t="s">
        <v>171</v>
      </c>
      <c r="D20" s="54" t="s">
        <v>406</v>
      </c>
      <c r="E20" s="9">
        <v>0</v>
      </c>
      <c r="F20" s="64">
        <v>0</v>
      </c>
      <c r="G20" s="64" t="s">
        <v>422</v>
      </c>
      <c r="H20">
        <v>0</v>
      </c>
      <c r="I20" s="65" t="str">
        <f t="shared" si="3"/>
        <v>Reactant8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 t="s">
        <v>424</v>
      </c>
      <c r="Q20" s="66" t="s">
        <v>424</v>
      </c>
      <c r="R20" s="66" t="s">
        <v>424</v>
      </c>
      <c r="S20" s="66" t="s">
        <v>424</v>
      </c>
      <c r="T20" s="66" t="s">
        <v>424</v>
      </c>
      <c r="U20" s="66" t="s">
        <v>424</v>
      </c>
      <c r="V20" s="66" t="s">
        <v>424</v>
      </c>
      <c r="W20" s="66" t="s">
        <v>424</v>
      </c>
      <c r="X20" s="66" t="s">
        <v>424</v>
      </c>
      <c r="Y20" s="66" t="s">
        <v>424</v>
      </c>
      <c r="Z20" s="66" t="s">
        <v>424</v>
      </c>
      <c r="AA20" s="66" t="s">
        <v>424</v>
      </c>
      <c r="AB20" s="66" t="s">
        <v>424</v>
      </c>
      <c r="AC20" s="66" t="s">
        <v>424</v>
      </c>
      <c r="AD20" s="66" t="s">
        <v>424</v>
      </c>
      <c r="AE20" s="66" t="s">
        <v>424</v>
      </c>
      <c r="AF20" s="66" t="s">
        <v>424</v>
      </c>
      <c r="AG20" s="66" t="s">
        <v>424</v>
      </c>
      <c r="AH20" s="66" t="s">
        <v>424</v>
      </c>
      <c r="AI20" s="66" t="s">
        <v>424</v>
      </c>
      <c r="AJ20" s="66" t="s">
        <v>424</v>
      </c>
      <c r="AK20" s="66" t="s">
        <v>424</v>
      </c>
      <c r="AL20" s="66" t="s">
        <v>424</v>
      </c>
      <c r="AM20" s="66" t="s">
        <v>424</v>
      </c>
      <c r="AN20" s="66" t="s">
        <v>424</v>
      </c>
      <c r="AO20" s="66" t="s">
        <v>424</v>
      </c>
      <c r="AP20" s="66" t="s">
        <v>424</v>
      </c>
      <c r="AQ20" s="66" t="s">
        <v>424</v>
      </c>
      <c r="AR20" s="66" t="s">
        <v>424</v>
      </c>
      <c r="AS20" s="66" t="s">
        <v>424</v>
      </c>
      <c r="AT20" s="56" t="s">
        <v>424</v>
      </c>
      <c r="AU20" s="56" t="s">
        <v>424</v>
      </c>
      <c r="AV20" s="56" t="s">
        <v>424</v>
      </c>
      <c r="AW20" s="56" t="s">
        <v>424</v>
      </c>
      <c r="AX20" s="56" t="s">
        <v>424</v>
      </c>
      <c r="AY20" s="56" t="s">
        <v>424</v>
      </c>
      <c r="AZ20" s="56" t="s">
        <v>424</v>
      </c>
      <c r="BA20" s="56" t="s">
        <v>424</v>
      </c>
      <c r="BB20" s="56" t="s">
        <v>424</v>
      </c>
      <c r="BC20" s="56" t="s">
        <v>424</v>
      </c>
      <c r="BD20" s="56" t="s">
        <v>424</v>
      </c>
      <c r="BE20" s="56" t="s">
        <v>424</v>
      </c>
      <c r="BF20" s="56" t="s">
        <v>424</v>
      </c>
      <c r="BG20" s="56" t="s">
        <v>424</v>
      </c>
      <c r="BH20" s="56" t="s">
        <v>424</v>
      </c>
      <c r="BI20" s="56" t="s">
        <v>424</v>
      </c>
      <c r="BJ20" s="56" t="s">
        <v>424</v>
      </c>
      <c r="BK20" s="56" t="s">
        <v>424</v>
      </c>
      <c r="BL20" s="56" t="s">
        <v>424</v>
      </c>
      <c r="BM20" s="56" t="s">
        <v>424</v>
      </c>
      <c r="BN20" s="56" t="s">
        <v>424</v>
      </c>
      <c r="BO20" s="56" t="s">
        <v>424</v>
      </c>
      <c r="BP20" s="56" t="s">
        <v>424</v>
      </c>
      <c r="BQ20" s="56" t="s">
        <v>424</v>
      </c>
      <c r="BR20" s="56" t="s">
        <v>424</v>
      </c>
      <c r="BS20" s="56" t="s">
        <v>424</v>
      </c>
      <c r="BT20" s="56" t="s">
        <v>424</v>
      </c>
      <c r="BU20" s="56" t="s">
        <v>424</v>
      </c>
      <c r="BV20" s="56" t="s">
        <v>424</v>
      </c>
      <c r="BW20" s="56" t="s">
        <v>424</v>
      </c>
      <c r="BX20" s="55" t="s">
        <v>424</v>
      </c>
      <c r="BY20" s="55" t="s">
        <v>424</v>
      </c>
      <c r="BZ20" s="55" t="s">
        <v>424</v>
      </c>
      <c r="CA20" s="55" t="s">
        <v>424</v>
      </c>
      <c r="CB20" s="55" t="s">
        <v>424</v>
      </c>
      <c r="CC20" s="55" t="s">
        <v>424</v>
      </c>
      <c r="CD20" s="55" t="s">
        <v>424</v>
      </c>
      <c r="CE20" s="55" t="s">
        <v>424</v>
      </c>
      <c r="CF20" s="55" t="s">
        <v>424</v>
      </c>
      <c r="CG20" s="55" t="s">
        <v>424</v>
      </c>
      <c r="CH20" s="66" t="s">
        <v>424</v>
      </c>
      <c r="CI20" s="66" t="s">
        <v>424</v>
      </c>
      <c r="CJ20" s="66" t="s">
        <v>424</v>
      </c>
      <c r="CK20" s="66" t="s">
        <v>424</v>
      </c>
      <c r="CL20" s="66" t="s">
        <v>424</v>
      </c>
      <c r="CM20" s="66" t="s">
        <v>424</v>
      </c>
      <c r="CN20" s="66" t="s">
        <v>424</v>
      </c>
      <c r="CO20" s="66" t="s">
        <v>424</v>
      </c>
      <c r="CP20" s="66" t="s">
        <v>424</v>
      </c>
      <c r="CQ20" s="66" t="s">
        <v>424</v>
      </c>
      <c r="CR20" s="66" t="s">
        <v>424</v>
      </c>
      <c r="CS20" s="66" t="s">
        <v>424</v>
      </c>
      <c r="CT20" s="66" t="s">
        <v>424</v>
      </c>
      <c r="CU20" s="66" t="s">
        <v>424</v>
      </c>
      <c r="CV20" s="66" t="s">
        <v>424</v>
      </c>
      <c r="CW20" s="66" t="s">
        <v>424</v>
      </c>
      <c r="CX20" s="66" t="s">
        <v>424</v>
      </c>
      <c r="CY20" s="66" t="s">
        <v>424</v>
      </c>
      <c r="CZ20" s="66" t="s">
        <v>424</v>
      </c>
      <c r="DA20" s="66" t="s">
        <v>424</v>
      </c>
      <c r="DB20" s="66" t="s">
        <v>424</v>
      </c>
      <c r="DC20" s="66" t="s">
        <v>424</v>
      </c>
      <c r="DD20" s="66" t="s">
        <v>424</v>
      </c>
      <c r="DE20" s="66" t="s">
        <v>424</v>
      </c>
      <c r="DF20" s="66" t="s">
        <v>424</v>
      </c>
      <c r="DG20" s="66" t="s">
        <v>424</v>
      </c>
      <c r="DH20" s="66" t="s">
        <v>424</v>
      </c>
      <c r="DI20" s="66" t="s">
        <v>424</v>
      </c>
      <c r="DJ20" s="66" t="s">
        <v>424</v>
      </c>
      <c r="DK20" s="66" t="s">
        <v>424</v>
      </c>
      <c r="DL20" s="66" t="s">
        <v>424</v>
      </c>
      <c r="DM20" s="66" t="s">
        <v>424</v>
      </c>
      <c r="DN20" s="66" t="s">
        <v>424</v>
      </c>
      <c r="DO20" s="66" t="s">
        <v>424</v>
      </c>
      <c r="DP20" s="66" t="s">
        <v>424</v>
      </c>
      <c r="DQ20" s="66" t="s">
        <v>424</v>
      </c>
      <c r="DR20" s="66" t="s">
        <v>424</v>
      </c>
      <c r="DS20" s="66" t="s">
        <v>424</v>
      </c>
      <c r="DT20" s="66" t="s">
        <v>424</v>
      </c>
      <c r="DU20" s="66" t="s">
        <v>424</v>
      </c>
      <c r="DV20" s="66" t="s">
        <v>424</v>
      </c>
      <c r="DW20" s="66" t="s">
        <v>424</v>
      </c>
      <c r="DX20" s="66" t="s">
        <v>424</v>
      </c>
      <c r="DY20" s="66" t="s">
        <v>424</v>
      </c>
      <c r="DZ20" s="66" t="s">
        <v>424</v>
      </c>
      <c r="EA20" s="66" t="s">
        <v>424</v>
      </c>
      <c r="EB20" s="66" t="s">
        <v>424</v>
      </c>
      <c r="EC20" s="66" t="s">
        <v>424</v>
      </c>
      <c r="ED20" s="66" t="s">
        <v>424</v>
      </c>
      <c r="EE20" s="66" t="s">
        <v>424</v>
      </c>
      <c r="EF20" s="66" t="s">
        <v>424</v>
      </c>
      <c r="EG20" s="66" t="s">
        <v>424</v>
      </c>
      <c r="EH20" s="66" t="s">
        <v>424</v>
      </c>
      <c r="EI20" s="66" t="s">
        <v>424</v>
      </c>
      <c r="EJ20" s="66" t="s">
        <v>424</v>
      </c>
      <c r="EK20" s="66" t="s">
        <v>424</v>
      </c>
      <c r="EL20" s="66" t="s">
        <v>424</v>
      </c>
      <c r="EM20" s="66" t="s">
        <v>424</v>
      </c>
      <c r="EN20" s="66" t="s">
        <v>424</v>
      </c>
      <c r="EO20" s="66" t="s">
        <v>424</v>
      </c>
      <c r="EP20" s="66" t="s">
        <v>424</v>
      </c>
      <c r="EQ20" s="66" t="s">
        <v>424</v>
      </c>
      <c r="ER20" s="66" t="s">
        <v>424</v>
      </c>
      <c r="ES20" s="66" t="s">
        <v>424</v>
      </c>
      <c r="ET20" s="66" t="s">
        <v>424</v>
      </c>
      <c r="EU20" s="66" t="s">
        <v>424</v>
      </c>
      <c r="EV20" s="66" t="s">
        <v>424</v>
      </c>
      <c r="EW20" s="66" t="s">
        <v>424</v>
      </c>
      <c r="EX20" s="66" t="s">
        <v>424</v>
      </c>
      <c r="EY20" s="66" t="s">
        <v>424</v>
      </c>
      <c r="EZ20" s="66" t="s">
        <v>424</v>
      </c>
      <c r="FA20" s="66" t="s">
        <v>424</v>
      </c>
      <c r="FB20" s="66" t="s">
        <v>424</v>
      </c>
      <c r="FC20" s="66" t="s">
        <v>424</v>
      </c>
      <c r="FD20" s="66" t="s">
        <v>424</v>
      </c>
      <c r="FE20" s="66" t="s">
        <v>424</v>
      </c>
      <c r="FF20" s="66" t="s">
        <v>424</v>
      </c>
      <c r="FG20" s="66" t="s">
        <v>424</v>
      </c>
      <c r="FH20" s="66" t="s">
        <v>424</v>
      </c>
      <c r="FI20" s="66" t="s">
        <v>424</v>
      </c>
      <c r="FJ20" s="66" t="s">
        <v>424</v>
      </c>
      <c r="FK20" s="66" t="s">
        <v>424</v>
      </c>
      <c r="FL20" s="66" t="s">
        <v>424</v>
      </c>
      <c r="FM20" s="66" t="s">
        <v>424</v>
      </c>
      <c r="FN20" s="66" t="s">
        <v>424</v>
      </c>
      <c r="FO20" s="66" t="s">
        <v>424</v>
      </c>
      <c r="FP20" s="66" t="s">
        <v>424</v>
      </c>
      <c r="FQ20" s="66" t="s">
        <v>424</v>
      </c>
      <c r="FR20" s="66" t="s">
        <v>424</v>
      </c>
      <c r="FS20" s="66" t="s">
        <v>424</v>
      </c>
    </row>
    <row r="21" spans="1:175" x14ac:dyDescent="0.3">
      <c r="A21" s="98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1">
        <v>0</v>
      </c>
      <c r="FK21" s="51">
        <v>0</v>
      </c>
      <c r="FL21" s="51">
        <v>0</v>
      </c>
      <c r="FM21" s="51">
        <v>0</v>
      </c>
      <c r="FN21" s="51">
        <v>0</v>
      </c>
      <c r="FO21" s="51">
        <v>0</v>
      </c>
      <c r="FP21" s="51">
        <v>0</v>
      </c>
      <c r="FQ21" s="51">
        <v>0</v>
      </c>
      <c r="FR21" s="51">
        <v>0</v>
      </c>
      <c r="FS21" s="51">
        <v>0</v>
      </c>
    </row>
    <row r="22" spans="1:175" x14ac:dyDescent="0.3">
      <c r="A22" s="98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1">
        <v>0</v>
      </c>
      <c r="FK22" s="51">
        <v>0</v>
      </c>
      <c r="FL22" s="51">
        <v>0</v>
      </c>
      <c r="FM22" s="51">
        <v>0</v>
      </c>
      <c r="FN22" s="51">
        <v>0</v>
      </c>
      <c r="FO22" s="51">
        <v>0</v>
      </c>
      <c r="FP22" s="51">
        <v>0</v>
      </c>
      <c r="FQ22" s="51">
        <v>0</v>
      </c>
      <c r="FR22" s="51">
        <v>0</v>
      </c>
      <c r="FS22" s="51">
        <v>0</v>
      </c>
    </row>
    <row r="23" spans="1:175" x14ac:dyDescent="0.3">
      <c r="A23" s="98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 t="s">
        <v>390</v>
      </c>
      <c r="AU23" s="60" t="s">
        <v>390</v>
      </c>
      <c r="AV23" s="60" t="s">
        <v>390</v>
      </c>
      <c r="AW23" s="60" t="s">
        <v>390</v>
      </c>
      <c r="AX23" s="60" t="s">
        <v>390</v>
      </c>
      <c r="AY23" s="60" t="s">
        <v>390</v>
      </c>
      <c r="AZ23" s="60" t="s">
        <v>390</v>
      </c>
      <c r="BA23" s="60" t="s">
        <v>390</v>
      </c>
      <c r="BB23" s="60" t="s">
        <v>390</v>
      </c>
      <c r="BC23" s="60" t="s">
        <v>390</v>
      </c>
      <c r="BD23" s="60" t="s">
        <v>390</v>
      </c>
      <c r="BE23" s="60" t="s">
        <v>390</v>
      </c>
      <c r="BF23" s="60" t="s">
        <v>390</v>
      </c>
      <c r="BG23" s="60" t="s">
        <v>390</v>
      </c>
      <c r="BH23" s="60" t="s">
        <v>390</v>
      </c>
      <c r="BI23" s="60" t="s">
        <v>390</v>
      </c>
      <c r="BJ23" s="60" t="s">
        <v>390</v>
      </c>
      <c r="BK23" s="60" t="s">
        <v>390</v>
      </c>
      <c r="BL23" s="60" t="s">
        <v>390</v>
      </c>
      <c r="BM23" s="60" t="s">
        <v>390</v>
      </c>
      <c r="BN23" s="60" t="s">
        <v>390</v>
      </c>
      <c r="BO23" s="60" t="s">
        <v>390</v>
      </c>
      <c r="BP23" s="60" t="s">
        <v>390</v>
      </c>
      <c r="BQ23" s="60" t="s">
        <v>390</v>
      </c>
      <c r="BR23" s="60" t="s">
        <v>390</v>
      </c>
      <c r="BS23" s="60" t="s">
        <v>390</v>
      </c>
      <c r="BT23" s="60" t="s">
        <v>390</v>
      </c>
      <c r="BU23" s="60" t="s">
        <v>390</v>
      </c>
      <c r="BV23" s="60" t="s">
        <v>390</v>
      </c>
      <c r="BW23" s="60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98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98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98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98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v>0</v>
      </c>
      <c r="FK27" s="51">
        <v>0</v>
      </c>
      <c r="FL27" s="51">
        <v>0</v>
      </c>
      <c r="FM27" s="51">
        <v>0</v>
      </c>
      <c r="FN27" s="51">
        <v>0</v>
      </c>
      <c r="FO27" s="51">
        <v>0</v>
      </c>
      <c r="FP27" s="51">
        <v>0</v>
      </c>
      <c r="FQ27" s="51">
        <v>0</v>
      </c>
      <c r="FR27" s="51">
        <v>0</v>
      </c>
      <c r="FS27" s="51">
        <v>0</v>
      </c>
    </row>
    <row r="28" spans="1:175" x14ac:dyDescent="0.3">
      <c r="A28" s="98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v>0</v>
      </c>
      <c r="FK28" s="51">
        <v>0</v>
      </c>
      <c r="FL28" s="51">
        <v>0</v>
      </c>
      <c r="FM28" s="51">
        <v>0</v>
      </c>
      <c r="FN28" s="51">
        <v>0</v>
      </c>
      <c r="FO28" s="51">
        <v>0</v>
      </c>
      <c r="FP28" s="51">
        <v>0</v>
      </c>
      <c r="FQ28" s="51">
        <v>0</v>
      </c>
      <c r="FR28" s="51">
        <v>0</v>
      </c>
      <c r="FS28" s="51">
        <v>0</v>
      </c>
    </row>
    <row r="29" spans="1:175" x14ac:dyDescent="0.3">
      <c r="A29" s="98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1">
        <v>0</v>
      </c>
      <c r="FK29" s="51">
        <v>0</v>
      </c>
      <c r="FL29" s="51">
        <v>0</v>
      </c>
      <c r="FM29" s="51">
        <v>0</v>
      </c>
      <c r="FN29" s="51">
        <v>0</v>
      </c>
      <c r="FO29" s="51">
        <v>0</v>
      </c>
      <c r="FP29" s="51">
        <v>0</v>
      </c>
      <c r="FQ29" s="51">
        <v>0</v>
      </c>
      <c r="FR29" s="51">
        <v>0</v>
      </c>
      <c r="FS29" s="51">
        <v>0</v>
      </c>
    </row>
    <row r="30" spans="1:175" x14ac:dyDescent="0.3">
      <c r="A30" s="98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98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98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98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98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98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98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98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98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98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98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</v>
      </c>
      <c r="DN40" s="10">
        <v>0</v>
      </c>
      <c r="DO40" s="28">
        <v>0</v>
      </c>
      <c r="DP40" s="28">
        <v>0</v>
      </c>
      <c r="DQ40" s="10">
        <v>0</v>
      </c>
      <c r="DR40" s="10">
        <v>0</v>
      </c>
      <c r="DS40" s="28">
        <v>0</v>
      </c>
      <c r="DT40" s="28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98"/>
      <c r="B41" t="s">
        <v>277</v>
      </c>
      <c r="C41" s="4" t="s">
        <v>435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0</v>
      </c>
      <c r="DU41" s="28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98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98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98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98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98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98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98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0</v>
      </c>
      <c r="FA48" s="51">
        <v>0</v>
      </c>
      <c r="FB48" s="51">
        <v>0</v>
      </c>
      <c r="FC48">
        <v>0</v>
      </c>
      <c r="FD48" s="51">
        <v>0</v>
      </c>
      <c r="FE48">
        <v>0</v>
      </c>
      <c r="FF48" s="51">
        <v>0</v>
      </c>
      <c r="FG48">
        <v>0</v>
      </c>
      <c r="FH48" s="51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98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98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98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98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98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98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98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98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98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98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98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98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98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98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98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60">
        <v>0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0</v>
      </c>
      <c r="FK63" s="32">
        <v>0</v>
      </c>
      <c r="FL63" s="32">
        <v>0</v>
      </c>
      <c r="FM63" s="32">
        <v>0</v>
      </c>
      <c r="FN63" s="32">
        <v>0</v>
      </c>
      <c r="FO63" s="32">
        <v>0</v>
      </c>
      <c r="FP63" s="32">
        <v>0</v>
      </c>
      <c r="FQ63" s="32">
        <v>0</v>
      </c>
      <c r="FR63" s="32">
        <v>0</v>
      </c>
      <c r="FS63" s="32">
        <v>0</v>
      </c>
    </row>
    <row r="64" spans="1:175" x14ac:dyDescent="0.3">
      <c r="A64" s="98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98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98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0</v>
      </c>
      <c r="FK66" s="32">
        <v>0</v>
      </c>
      <c r="FL66" s="32">
        <v>0</v>
      </c>
      <c r="FM66" s="32">
        <v>0</v>
      </c>
      <c r="FN66" s="32">
        <v>0</v>
      </c>
      <c r="FO66" s="32">
        <v>0</v>
      </c>
      <c r="FP66" s="32">
        <v>0</v>
      </c>
      <c r="FQ66" s="32">
        <v>0</v>
      </c>
      <c r="FR66" s="32">
        <v>0</v>
      </c>
      <c r="FS66" s="32">
        <v>0</v>
      </c>
    </row>
    <row r="67" spans="1:175" x14ac:dyDescent="0.3">
      <c r="A67" s="98"/>
      <c r="B67" s="61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98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0</v>
      </c>
      <c r="FK68" s="32">
        <v>0</v>
      </c>
      <c r="FL68" s="32">
        <v>0</v>
      </c>
      <c r="FM68" s="32">
        <v>0</v>
      </c>
      <c r="FN68" s="32">
        <v>0</v>
      </c>
      <c r="FO68" s="32">
        <v>0</v>
      </c>
      <c r="FP68" s="32">
        <v>0</v>
      </c>
      <c r="FQ68" s="32">
        <v>0</v>
      </c>
      <c r="FR68" s="32">
        <v>0</v>
      </c>
      <c r="FS68" s="32">
        <v>0</v>
      </c>
    </row>
    <row r="69" spans="1:175" x14ac:dyDescent="0.3">
      <c r="A69" s="98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98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98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98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98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1">
        <v>0</v>
      </c>
      <c r="FN73" s="51">
        <v>0</v>
      </c>
      <c r="FO73" s="51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327</v>
      </c>
      <c r="C7" s="38" t="s">
        <v>328</v>
      </c>
      <c r="D7" s="38">
        <v>2019</v>
      </c>
      <c r="E7" s="38" t="s">
        <v>329</v>
      </c>
      <c r="G7" s="41" t="s">
        <v>330</v>
      </c>
    </row>
    <row r="8" spans="1:8" ht="31.05" customHeight="1" x14ac:dyDescent="0.3">
      <c r="A8" s="39" t="s">
        <v>331</v>
      </c>
      <c r="B8" s="38" t="s">
        <v>332</v>
      </c>
      <c r="C8" s="38" t="s">
        <v>333</v>
      </c>
      <c r="D8" s="38">
        <v>2023</v>
      </c>
      <c r="E8" s="38" t="s">
        <v>305</v>
      </c>
      <c r="G8" s="41" t="s">
        <v>334</v>
      </c>
    </row>
    <row r="9" spans="1:8" x14ac:dyDescent="0.3">
      <c r="A9" s="39" t="s">
        <v>340</v>
      </c>
      <c r="B9" s="40" t="s">
        <v>341</v>
      </c>
      <c r="C9" s="38" t="s">
        <v>342</v>
      </c>
      <c r="D9" s="38">
        <v>2023</v>
      </c>
      <c r="E9" s="38" t="s">
        <v>297</v>
      </c>
      <c r="G9" s="41"/>
    </row>
    <row r="10" spans="1:8" x14ac:dyDescent="0.3">
      <c r="A10" s="39" t="s">
        <v>347</v>
      </c>
      <c r="B10" s="38" t="s">
        <v>346</v>
      </c>
      <c r="C10" s="38" t="s">
        <v>345</v>
      </c>
      <c r="D10" s="38">
        <v>2020</v>
      </c>
      <c r="E10" s="38" t="s">
        <v>344</v>
      </c>
      <c r="G10" s="41" t="s">
        <v>343</v>
      </c>
      <c r="H10" s="39" t="s">
        <v>348</v>
      </c>
    </row>
    <row r="11" spans="1:8" ht="28.8" x14ac:dyDescent="0.3">
      <c r="A11" s="39" t="str">
        <f t="shared" ref="A11" si="2">C11&amp;D11</f>
        <v>Ikäheimo2018</v>
      </c>
      <c r="B11" s="38" t="s">
        <v>349</v>
      </c>
      <c r="C11" s="38" t="s">
        <v>350</v>
      </c>
      <c r="D11" s="38">
        <v>2018</v>
      </c>
      <c r="E11" s="38" t="s">
        <v>351</v>
      </c>
      <c r="G11" s="41" t="s">
        <v>352</v>
      </c>
    </row>
    <row r="12" spans="1:8" x14ac:dyDescent="0.3">
      <c r="A12" s="39" t="s">
        <v>357</v>
      </c>
      <c r="B12" s="38" t="s">
        <v>353</v>
      </c>
      <c r="C12" s="38" t="s">
        <v>354</v>
      </c>
      <c r="D12" s="38">
        <v>2020</v>
      </c>
      <c r="E12" s="38" t="s">
        <v>355</v>
      </c>
      <c r="G12" s="41" t="s">
        <v>356</v>
      </c>
    </row>
    <row r="13" spans="1:8" x14ac:dyDescent="0.3">
      <c r="A13" s="39" t="s">
        <v>358</v>
      </c>
      <c r="B13" s="39" t="s">
        <v>359</v>
      </c>
      <c r="C13" s="38" t="s">
        <v>333</v>
      </c>
      <c r="D13" s="38">
        <v>2021</v>
      </c>
      <c r="E13" s="38" t="s">
        <v>296</v>
      </c>
      <c r="G13" s="41" t="s">
        <v>360</v>
      </c>
    </row>
    <row r="14" spans="1:8" x14ac:dyDescent="0.3">
      <c r="G14" s="41"/>
    </row>
    <row r="15" spans="1:8" x14ac:dyDescent="0.3">
      <c r="G15" s="41"/>
    </row>
    <row r="16" spans="1:8" x14ac:dyDescent="0.3">
      <c r="G16" s="41"/>
    </row>
    <row r="17" spans="2:7" x14ac:dyDescent="0.3">
      <c r="G17" s="41"/>
    </row>
    <row r="18" spans="2:7" x14ac:dyDescent="0.3">
      <c r="G18" s="41"/>
    </row>
    <row r="19" spans="2:7" x14ac:dyDescent="0.3">
      <c r="G19" s="41"/>
    </row>
    <row r="20" spans="2:7" x14ac:dyDescent="0.3">
      <c r="G20" s="41"/>
    </row>
    <row r="21" spans="2:7" x14ac:dyDescent="0.3">
      <c r="B21" s="13"/>
      <c r="G21" s="41"/>
    </row>
    <row r="22" spans="2:7" x14ac:dyDescent="0.3">
      <c r="B22" s="40"/>
      <c r="G22" s="41"/>
    </row>
    <row r="23" spans="2:7" x14ac:dyDescent="0.3">
      <c r="G23" s="41"/>
    </row>
    <row r="24" spans="2:7" x14ac:dyDescent="0.3">
      <c r="G24" s="41"/>
    </row>
    <row r="25" spans="2:7" x14ac:dyDescent="0.3">
      <c r="G25" s="41"/>
    </row>
    <row r="26" spans="2:7" x14ac:dyDescent="0.3">
      <c r="G26" s="41"/>
    </row>
    <row r="27" spans="2:7" x14ac:dyDescent="0.3">
      <c r="G27" s="41"/>
    </row>
    <row r="28" spans="2:7" x14ac:dyDescent="0.3">
      <c r="G28" s="41"/>
    </row>
    <row r="29" spans="2:7" x14ac:dyDescent="0.3">
      <c r="G29" s="41"/>
    </row>
    <row r="30" spans="2:7" x14ac:dyDescent="0.3">
      <c r="G30" s="41"/>
    </row>
    <row r="31" spans="2:7" x14ac:dyDescent="0.3">
      <c r="G31" s="41"/>
    </row>
    <row r="32" spans="2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2023-10-27T13:27:28Z</dcterms:modified>
</cp:coreProperties>
</file>