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ekof\Documents\Git\Aspen_Plus\External stay NTNU\Economic Analysis\"/>
    </mc:Choice>
  </mc:AlternateContent>
  <xr:revisionPtr revIDLastSave="0" documentId="13_ncr:1_{418DFA7E-6EDB-4484-99EF-183EC6F2DA58}" xr6:coauthVersionLast="47" xr6:coauthVersionMax="47" xr10:uidLastSave="{00000000-0000-0000-0000-000000000000}"/>
  <bookViews>
    <workbookView xWindow="28680" yWindow="-120" windowWidth="29040" windowHeight="15840" xr2:uid="{2A6D35CA-6548-473F-83FB-B509226F66D4}"/>
  </bookViews>
  <sheets>
    <sheet name="Bamboo-2stage" sheetId="1" r:id="rId1"/>
    <sheet name="Bamboo-1stage" sheetId="5" r:id="rId2"/>
    <sheet name="Wheat-2stage" sheetId="2" r:id="rId3"/>
    <sheet name="Wheat-1stag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2" l="1"/>
  <c r="B7" i="2" s="1"/>
  <c r="D31" i="2"/>
  <c r="B6" i="2" s="1"/>
  <c r="D32" i="3"/>
  <c r="B7" i="3" s="1"/>
  <c r="D31" i="3"/>
  <c r="B6" i="3" s="1"/>
  <c r="H33" i="3"/>
  <c r="D32" i="1"/>
  <c r="B7" i="1" s="1"/>
  <c r="D31" i="1"/>
  <c r="B6" i="1" s="1"/>
  <c r="H33" i="1"/>
  <c r="D32" i="5"/>
  <c r="B7" i="5" s="1"/>
  <c r="D31" i="5"/>
  <c r="B6" i="5" s="1"/>
  <c r="H33" i="5"/>
  <c r="J23" i="1"/>
  <c r="B23" i="1" s="1"/>
  <c r="K33" i="1" s="1"/>
  <c r="J23" i="3"/>
  <c r="B23" i="3" s="1"/>
  <c r="K33" i="3" s="1"/>
  <c r="E21" i="2"/>
  <c r="H33" i="2"/>
  <c r="J23" i="2"/>
  <c r="B23" i="2" s="1"/>
  <c r="K33" i="2" s="1"/>
  <c r="J23" i="5"/>
  <c r="B23" i="5" s="1"/>
  <c r="K33" i="5" s="1"/>
  <c r="Q35" i="5"/>
  <c r="T35" i="5" s="1"/>
  <c r="I35" i="5" s="1"/>
  <c r="E33" i="5" s="1"/>
  <c r="Q35" i="3"/>
  <c r="T35" i="3" s="1"/>
  <c r="I35" i="3" s="1"/>
  <c r="B30" i="1"/>
  <c r="I35" i="2"/>
  <c r="E33" i="2" s="1"/>
  <c r="B29" i="1"/>
  <c r="B29" i="5"/>
  <c r="E33" i="3" l="1"/>
  <c r="B33" i="3" s="1"/>
  <c r="B8" i="3" s="1"/>
  <c r="N23" i="3"/>
  <c r="B5" i="1"/>
  <c r="B33" i="2"/>
  <c r="B8" i="2" s="1"/>
  <c r="B33" i="5"/>
  <c r="B8" i="5" s="1"/>
  <c r="B30" i="5"/>
  <c r="B5" i="5" s="1"/>
  <c r="B30" i="3"/>
  <c r="B5" i="3" s="1"/>
  <c r="B26" i="5" l="1"/>
  <c r="B12" i="5"/>
  <c r="B11" i="5"/>
  <c r="B27" i="3"/>
  <c r="B26" i="3"/>
  <c r="B12" i="3"/>
  <c r="B11" i="3"/>
  <c r="B30" i="2"/>
  <c r="B5" i="2" s="1"/>
  <c r="B27" i="2"/>
  <c r="B26" i="2"/>
  <c r="O26" i="2" s="1"/>
  <c r="B12" i="2"/>
  <c r="B11" i="2"/>
  <c r="B4" i="3" l="1"/>
  <c r="O26" i="3"/>
  <c r="B4" i="5"/>
  <c r="O26" i="5"/>
  <c r="B4" i="2"/>
  <c r="B11" i="1" l="1"/>
  <c r="I35" i="1"/>
  <c r="E33" i="1" s="1"/>
  <c r="B12" i="1"/>
  <c r="B33" i="1" l="1"/>
  <c r="B8" i="1" s="1"/>
  <c r="B26" i="1"/>
  <c r="B4" i="1" l="1"/>
  <c r="O26" i="1"/>
</calcChain>
</file>

<file path=xl/sharedStrings.xml><?xml version="1.0" encoding="utf-8"?>
<sst xmlns="http://schemas.openxmlformats.org/spreadsheetml/2006/main" count="340" uniqueCount="74">
  <si>
    <t>Biomass cost</t>
  </si>
  <si>
    <t>Production rate</t>
  </si>
  <si>
    <t>CAPEX</t>
  </si>
  <si>
    <t>Fixed OPEX</t>
  </si>
  <si>
    <t>Variable OPEX</t>
  </si>
  <si>
    <t>Lifetime</t>
  </si>
  <si>
    <t>years</t>
  </si>
  <si>
    <t>Gasifier</t>
  </si>
  <si>
    <t>DME production rate</t>
  </si>
  <si>
    <t>kg_DME/h</t>
  </si>
  <si>
    <t>kg_DME/kg_H2</t>
  </si>
  <si>
    <t>Electricity Consumption</t>
  </si>
  <si>
    <t>kWh/kg_DME</t>
  </si>
  <si>
    <t>Biomass mass flow rate</t>
  </si>
  <si>
    <t>Hydrogen mass flow rate</t>
  </si>
  <si>
    <t>Electricity Gasifier</t>
  </si>
  <si>
    <t>Oxygen mass flow rate gasifier</t>
  </si>
  <si>
    <t>Electricity DME synthesis</t>
  </si>
  <si>
    <t>DME production</t>
  </si>
  <si>
    <t>Biochar mass flow rate</t>
  </si>
  <si>
    <t>CAPEX DME synthesis</t>
  </si>
  <si>
    <t>Fixed OPEX DME synthesis</t>
  </si>
  <si>
    <t>Variable OPEX DME synthesis</t>
  </si>
  <si>
    <t>kg/s</t>
  </si>
  <si>
    <t>Mass flow rate</t>
  </si>
  <si>
    <t>mass fraction H2</t>
  </si>
  <si>
    <t>kW</t>
  </si>
  <si>
    <t>$2022</t>
  </si>
  <si>
    <t>Cooling demand</t>
  </si>
  <si>
    <t>DH production</t>
  </si>
  <si>
    <t>PH production</t>
  </si>
  <si>
    <t>District heating production</t>
  </si>
  <si>
    <t>Process heat production</t>
  </si>
  <si>
    <t>$2022/year</t>
  </si>
  <si>
    <t>T_in</t>
  </si>
  <si>
    <t>T_out</t>
  </si>
  <si>
    <t>m_dot</t>
  </si>
  <si>
    <t>Cooling water cost</t>
  </si>
  <si>
    <t>$/1000 kg</t>
  </si>
  <si>
    <t>POX</t>
  </si>
  <si>
    <t>Refrigeration Capacity</t>
  </si>
  <si>
    <t>COP</t>
  </si>
  <si>
    <t>Electricity</t>
  </si>
  <si>
    <t>€/GJ</t>
  </si>
  <si>
    <t>Heating value</t>
  </si>
  <si>
    <t>GJ/ton</t>
  </si>
  <si>
    <t>Reference for both Bang et al. "Analysis of biomass prices" 2013. Price projection for 2030</t>
  </si>
  <si>
    <t>$/t</t>
  </si>
  <si>
    <t>Export prices from China according to data from International Bamboo and Rattan organisation. Maybe we should also calculate with 150 $/t, corresponding to price of wood chips</t>
  </si>
  <si>
    <t>Condenser Capacity Refrigeration</t>
  </si>
  <si>
    <t>OPEX Cooling water</t>
  </si>
  <si>
    <t>OPEX biomass</t>
  </si>
  <si>
    <t>OPEX biochar</t>
  </si>
  <si>
    <t>Carbon price</t>
  </si>
  <si>
    <t>$/t_C</t>
  </si>
  <si>
    <t>$/t_CO2</t>
  </si>
  <si>
    <t>M_C</t>
  </si>
  <si>
    <t>g/mol</t>
  </si>
  <si>
    <t>M_CO2</t>
  </si>
  <si>
    <t>Carbon Content</t>
  </si>
  <si>
    <t>Mass%</t>
  </si>
  <si>
    <t>DME synthesis plant including gasifier</t>
  </si>
  <si>
    <t>€/t_CO2</t>
  </si>
  <si>
    <t>€/t_C</t>
  </si>
  <si>
    <t>€/s</t>
  </si>
  <si>
    <t>Exchange rate</t>
  </si>
  <si>
    <t>$_2022/€_2022</t>
  </si>
  <si>
    <t>€2022/year</t>
  </si>
  <si>
    <t>€2022/</t>
  </si>
  <si>
    <t>€/(kg_DME/h)</t>
  </si>
  <si>
    <t>€/(kg_DME/h)/year</t>
  </si>
  <si>
    <t>€/t_DME</t>
  </si>
  <si>
    <t>Electricity Consumption SOEC</t>
  </si>
  <si>
    <t>kWh/kg_H2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</si>
</sst>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€-2]\ #,##0;[Red]\-[$€-2]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2" fontId="0" fillId="0" borderId="0" xfId="0" applyNumberFormat="1"/>
    <xf numFmtId="0" fontId="0" fillId="2" borderId="0" xfId="0" applyFill="1"/>
    <xf numFmtId="164" fontId="1" fillId="3" borderId="0" xfId="0" applyNumberFormat="1" applyFont="1" applyFill="1"/>
    <xf numFmtId="2" fontId="0" fillId="3" borderId="0" xfId="0" applyNumberFormat="1" applyFill="1"/>
    <xf numFmtId="2" fontId="0" fillId="2" borderId="0" xfId="0" applyNumberFormat="1" applyFill="1"/>
    <xf numFmtId="0" fontId="1" fillId="2" borderId="0" xfId="0" applyFont="1" applyFill="1"/>
    <xf numFmtId="0" fontId="0" fillId="3" borderId="0" xfId="0" applyFill="1"/>
    <xf numFmtId="9" fontId="1" fillId="2" borderId="0" xfId="1" applyFont="1" applyFill="1"/>
    <xf numFmtId="0" fontId="1" fillId="3" borderId="0" xfId="0" applyFont="1" applyFill="1"/>
    <xf numFmtId="165" fontId="0" fillId="0" borderId="0" xfId="0" applyNumberFormat="1"/>
    <xf numFmtId="1" fontId="0" fillId="3" borderId="0" xfId="0" applyNumberFormat="1" applyFill="1"/>
    <xf numFmtId="1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9462-8B04-441C-9517-1F9742FFEA4B}">
  <dimension ref="A1:O38"/>
  <sheetViews>
    <sheetView tabSelected="1" workbookViewId="0">
      <selection activeCell="B33" sqref="B33"/>
    </sheetView>
  </sheetViews>
  <sheetFormatPr defaultRowHeight="14.5" x14ac:dyDescent="0.35"/>
  <cols>
    <col min="1" max="1" width="28.54296875" style="1" bestFit="1" customWidth="1"/>
    <col min="2" max="2" width="14.7265625" bestFit="1" customWidth="1"/>
    <col min="3" max="3" width="22.1796875" bestFit="1" customWidth="1"/>
    <col min="5" max="5" width="25" style="1" bestFit="1" customWidth="1"/>
  </cols>
  <sheetData>
    <row r="1" spans="1:5" x14ac:dyDescent="0.35">
      <c r="A1" s="2" t="s">
        <v>61</v>
      </c>
      <c r="B1" s="3"/>
      <c r="C1" s="3"/>
      <c r="D1" s="4"/>
      <c r="E1"/>
    </row>
    <row r="2" spans="1:5" x14ac:dyDescent="0.35">
      <c r="A2" s="5"/>
      <c r="D2" s="6"/>
      <c r="E2"/>
    </row>
    <row r="3" spans="1:5" x14ac:dyDescent="0.35">
      <c r="A3" s="5" t="s">
        <v>8</v>
      </c>
      <c r="B3" s="10">
        <v>7500</v>
      </c>
      <c r="C3" t="s">
        <v>9</v>
      </c>
      <c r="D3" s="6"/>
      <c r="E3"/>
    </row>
    <row r="4" spans="1:5" x14ac:dyDescent="0.35">
      <c r="A4" s="5" t="s">
        <v>1</v>
      </c>
      <c r="B4" s="10">
        <f>B28/B26</f>
        <v>7.2828136258856428</v>
      </c>
      <c r="C4" t="s">
        <v>10</v>
      </c>
      <c r="D4" s="6"/>
      <c r="E4"/>
    </row>
    <row r="5" spans="1:5" x14ac:dyDescent="0.35">
      <c r="A5" s="5" t="s">
        <v>11</v>
      </c>
      <c r="B5" s="10">
        <f>(B30+B29)/B28/3600</f>
        <v>0.17779352175154972</v>
      </c>
      <c r="C5" t="s">
        <v>12</v>
      </c>
      <c r="D5" s="6"/>
      <c r="E5"/>
    </row>
    <row r="6" spans="1:5" x14ac:dyDescent="0.35">
      <c r="A6" s="5" t="s">
        <v>2</v>
      </c>
      <c r="B6" s="10">
        <f>D31/B28/3600</f>
        <v>9955.9182202565353</v>
      </c>
      <c r="C6" t="s">
        <v>69</v>
      </c>
      <c r="D6" s="6"/>
      <c r="E6"/>
    </row>
    <row r="7" spans="1:5" x14ac:dyDescent="0.35">
      <c r="A7" s="5" t="s">
        <v>3</v>
      </c>
      <c r="B7" s="10">
        <f>D32/B28/3600</f>
        <v>1036.6625586795012</v>
      </c>
      <c r="C7" t="s">
        <v>70</v>
      </c>
      <c r="D7" s="6"/>
      <c r="E7"/>
    </row>
    <row r="8" spans="1:5" x14ac:dyDescent="0.35">
      <c r="A8" s="5" t="s">
        <v>4</v>
      </c>
      <c r="B8" s="10">
        <f>B33/B28*1000</f>
        <v>223.24186908689856</v>
      </c>
      <c r="C8" t="s">
        <v>71</v>
      </c>
      <c r="D8" s="6"/>
      <c r="E8"/>
    </row>
    <row r="9" spans="1:5" x14ac:dyDescent="0.35">
      <c r="A9" s="5" t="s">
        <v>5</v>
      </c>
      <c r="B9" s="10">
        <v>25</v>
      </c>
      <c r="C9" t="s">
        <v>6</v>
      </c>
      <c r="D9" s="6"/>
      <c r="E9"/>
    </row>
    <row r="10" spans="1:5" x14ac:dyDescent="0.35">
      <c r="A10" s="5"/>
      <c r="B10" s="10"/>
      <c r="D10" s="6"/>
      <c r="E10"/>
    </row>
    <row r="11" spans="1:5" x14ac:dyDescent="0.35">
      <c r="A11" s="5" t="s">
        <v>31</v>
      </c>
      <c r="B11" s="10">
        <f>B36/B28/3600</f>
        <v>1.5427953853631085</v>
      </c>
      <c r="C11" t="s">
        <v>12</v>
      </c>
      <c r="D11" s="6"/>
      <c r="E11"/>
    </row>
    <row r="12" spans="1:5" x14ac:dyDescent="0.35">
      <c r="A12" s="5" t="s">
        <v>32</v>
      </c>
      <c r="B12" s="10">
        <f>B37/B28/3600</f>
        <v>0.20956970131055003</v>
      </c>
      <c r="C12" t="s">
        <v>12</v>
      </c>
      <c r="D12" s="6"/>
      <c r="E12"/>
    </row>
    <row r="13" spans="1:5" x14ac:dyDescent="0.35">
      <c r="A13" s="5"/>
      <c r="D13" s="6"/>
      <c r="E13"/>
    </row>
    <row r="14" spans="1:5" x14ac:dyDescent="0.35">
      <c r="A14" s="5" t="s">
        <v>72</v>
      </c>
      <c r="B14">
        <v>34.200000000000003</v>
      </c>
      <c r="C14" t="s">
        <v>73</v>
      </c>
      <c r="D14" s="6"/>
      <c r="E14"/>
    </row>
    <row r="15" spans="1:5" x14ac:dyDescent="0.35">
      <c r="A15" s="5"/>
      <c r="D15" s="6"/>
      <c r="E15"/>
    </row>
    <row r="16" spans="1:5" ht="15" thickBot="1" x14ac:dyDescent="0.4">
      <c r="A16" s="7"/>
      <c r="B16" s="8"/>
      <c r="C16" s="8"/>
      <c r="D16" s="9"/>
      <c r="E16"/>
    </row>
    <row r="22" spans="1:15" x14ac:dyDescent="0.35">
      <c r="A22" s="1" t="s">
        <v>0</v>
      </c>
      <c r="B22" s="11">
        <v>150</v>
      </c>
      <c r="C22" t="s">
        <v>47</v>
      </c>
      <c r="D22" t="s">
        <v>48</v>
      </c>
    </row>
    <row r="23" spans="1:15" x14ac:dyDescent="0.35">
      <c r="A23" s="1" t="s">
        <v>53</v>
      </c>
      <c r="B23" s="12">
        <f>D23*J23/G23</f>
        <v>366.66666666666669</v>
      </c>
      <c r="C23" t="s">
        <v>63</v>
      </c>
      <c r="D23" s="11">
        <v>100</v>
      </c>
      <c r="E23" t="s">
        <v>62</v>
      </c>
      <c r="F23" t="s">
        <v>56</v>
      </c>
      <c r="G23" s="16">
        <v>12</v>
      </c>
      <c r="H23" t="s">
        <v>57</v>
      </c>
      <c r="I23" t="s">
        <v>58</v>
      </c>
      <c r="J23" s="16">
        <f>12+2*16</f>
        <v>44</v>
      </c>
      <c r="K23" t="s">
        <v>57</v>
      </c>
    </row>
    <row r="24" spans="1:15" x14ac:dyDescent="0.35">
      <c r="A24" s="1" t="s">
        <v>13</v>
      </c>
      <c r="B24" s="14">
        <v>3.2096300000000002</v>
      </c>
      <c r="C24" t="s">
        <v>23</v>
      </c>
    </row>
    <row r="25" spans="1:15" x14ac:dyDescent="0.35">
      <c r="A25" s="1" t="s">
        <v>19</v>
      </c>
      <c r="B25" s="14">
        <v>0</v>
      </c>
      <c r="C25" t="s">
        <v>23</v>
      </c>
      <c r="D25" t="s">
        <v>59</v>
      </c>
      <c r="E25" s="17">
        <v>0.37336799999999998</v>
      </c>
      <c r="F25" t="s">
        <v>60</v>
      </c>
    </row>
    <row r="26" spans="1:15" x14ac:dyDescent="0.35">
      <c r="A26" s="1" t="s">
        <v>14</v>
      </c>
      <c r="B26" s="13">
        <f>E26*H26</f>
        <v>0.28628495896</v>
      </c>
      <c r="C26" t="s">
        <v>23</v>
      </c>
      <c r="D26" t="s">
        <v>24</v>
      </c>
      <c r="E26" s="15">
        <v>0.29372199999999998</v>
      </c>
      <c r="F26" t="s">
        <v>23</v>
      </c>
      <c r="G26" t="s">
        <v>25</v>
      </c>
      <c r="H26" s="11">
        <v>0.97467999999999999</v>
      </c>
      <c r="M26">
        <v>35290</v>
      </c>
      <c r="N26" t="s">
        <v>26</v>
      </c>
      <c r="O26">
        <f>M26/B26/3600</f>
        <v>34.241330083804478</v>
      </c>
    </row>
    <row r="27" spans="1:15" x14ac:dyDescent="0.35">
      <c r="A27" s="1" t="s">
        <v>16</v>
      </c>
      <c r="B27" s="14">
        <v>0.93642700000000001</v>
      </c>
      <c r="C27" t="s">
        <v>23</v>
      </c>
    </row>
    <row r="28" spans="1:15" x14ac:dyDescent="0.35">
      <c r="A28" s="1" t="s">
        <v>18</v>
      </c>
      <c r="B28" s="14">
        <v>2.0849600000000001</v>
      </c>
      <c r="C28" t="s">
        <v>23</v>
      </c>
    </row>
    <row r="29" spans="1:15" x14ac:dyDescent="0.35">
      <c r="A29" s="1" t="s">
        <v>15</v>
      </c>
      <c r="B29" s="14">
        <f>81+65+45*3.6*0.601806</f>
        <v>243.492572</v>
      </c>
      <c r="C29" t="s">
        <v>26</v>
      </c>
    </row>
    <row r="30" spans="1:15" x14ac:dyDescent="0.35">
      <c r="A30" s="1" t="s">
        <v>17</v>
      </c>
      <c r="B30" s="14">
        <f>832+3+119+556-470+1+1+43+6</f>
        <v>1091</v>
      </c>
      <c r="C30" t="s">
        <v>26</v>
      </c>
    </row>
    <row r="31" spans="1:15" x14ac:dyDescent="0.35">
      <c r="A31" s="1" t="s">
        <v>20</v>
      </c>
      <c r="B31" s="21">
        <v>78688256</v>
      </c>
      <c r="C31" t="s">
        <v>27</v>
      </c>
      <c r="D31" s="16">
        <f>B31/B38</f>
        <v>74727688.509021848</v>
      </c>
      <c r="E31" s="19" t="s">
        <v>68</v>
      </c>
    </row>
    <row r="32" spans="1:15" x14ac:dyDescent="0.35">
      <c r="A32" s="1" t="s">
        <v>21</v>
      </c>
      <c r="B32" s="21">
        <v>8193435</v>
      </c>
      <c r="C32" t="s">
        <v>33</v>
      </c>
      <c r="D32" s="16">
        <f>B32/B38</f>
        <v>7781039.8860398866</v>
      </c>
      <c r="E32" t="s">
        <v>67</v>
      </c>
    </row>
    <row r="33" spans="1:12" x14ac:dyDescent="0.35">
      <c r="A33" s="1" t="s">
        <v>22</v>
      </c>
      <c r="B33" s="13">
        <f>E33+H33+K33</f>
        <v>0.46545036737142004</v>
      </c>
      <c r="C33" t="s">
        <v>64</v>
      </c>
      <c r="D33" t="s">
        <v>50</v>
      </c>
      <c r="E33" s="18">
        <f>B34*I35/1000/B38</f>
        <v>8.2381166591692923E-3</v>
      </c>
      <c r="F33" s="1" t="s">
        <v>64</v>
      </c>
      <c r="G33" t="s">
        <v>51</v>
      </c>
      <c r="H33" s="16">
        <f>B22*B24/1000/B38</f>
        <v>0.45721225071225075</v>
      </c>
      <c r="I33" s="1" t="s">
        <v>64</v>
      </c>
      <c r="J33" s="1" t="s">
        <v>52</v>
      </c>
      <c r="K33" s="16">
        <f>-B25*E25*B23</f>
        <v>0</v>
      </c>
      <c r="L33" s="1" t="s">
        <v>64</v>
      </c>
    </row>
    <row r="34" spans="1:12" x14ac:dyDescent="0.35">
      <c r="A34" s="1" t="s">
        <v>37</v>
      </c>
      <c r="B34" s="14">
        <v>6.7000000000000004E-2</v>
      </c>
      <c r="C34" t="s">
        <v>38</v>
      </c>
    </row>
    <row r="35" spans="1:12" x14ac:dyDescent="0.35">
      <c r="A35" s="1" t="s">
        <v>28</v>
      </c>
      <c r="B35" s="11">
        <v>2706</v>
      </c>
      <c r="C35" t="s">
        <v>26</v>
      </c>
      <c r="D35" t="s">
        <v>34</v>
      </c>
      <c r="E35" s="15">
        <v>15</v>
      </c>
      <c r="F35" t="s">
        <v>35</v>
      </c>
      <c r="G35" s="11">
        <v>20</v>
      </c>
      <c r="H35" t="s">
        <v>36</v>
      </c>
      <c r="I35" s="16">
        <f>B35/(4.18*(G35-E35))</f>
        <v>129.47368421052633</v>
      </c>
      <c r="J35" t="s">
        <v>23</v>
      </c>
    </row>
    <row r="36" spans="1:12" x14ac:dyDescent="0.35">
      <c r="A36" s="1" t="s">
        <v>29</v>
      </c>
      <c r="B36" s="11">
        <v>11580</v>
      </c>
      <c r="C36" t="s">
        <v>26</v>
      </c>
    </row>
    <row r="37" spans="1:12" x14ac:dyDescent="0.35">
      <c r="A37" s="1" t="s">
        <v>30</v>
      </c>
      <c r="B37" s="14">
        <v>1573</v>
      </c>
      <c r="C37" t="s">
        <v>26</v>
      </c>
    </row>
    <row r="38" spans="1:12" x14ac:dyDescent="0.35">
      <c r="A38" s="1" t="s">
        <v>65</v>
      </c>
      <c r="B38" s="14">
        <v>1.0529999999999999</v>
      </c>
      <c r="C38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9E4D-22FA-4EFD-80D8-B9F87F5D8098}">
  <dimension ref="A1:T38"/>
  <sheetViews>
    <sheetView workbookViewId="0">
      <selection activeCell="B33" sqref="B33"/>
    </sheetView>
  </sheetViews>
  <sheetFormatPr defaultRowHeight="14.5" x14ac:dyDescent="0.35"/>
  <cols>
    <col min="1" max="1" width="28.54296875" style="1" bestFit="1" customWidth="1"/>
    <col min="2" max="2" width="14.7265625" bestFit="1" customWidth="1"/>
    <col min="3" max="3" width="22.1796875" bestFit="1" customWidth="1"/>
    <col min="4" max="4" width="19.1796875" customWidth="1"/>
    <col min="5" max="5" width="23.81640625" style="1" bestFit="1" customWidth="1"/>
  </cols>
  <sheetData>
    <row r="1" spans="1:5" x14ac:dyDescent="0.35">
      <c r="A1" s="2" t="s">
        <v>61</v>
      </c>
      <c r="B1" s="3"/>
      <c r="C1" s="3"/>
      <c r="D1" s="4"/>
      <c r="E1"/>
    </row>
    <row r="2" spans="1:5" x14ac:dyDescent="0.35">
      <c r="A2" s="5"/>
      <c r="D2" s="6"/>
      <c r="E2"/>
    </row>
    <row r="3" spans="1:5" x14ac:dyDescent="0.35">
      <c r="A3" s="5" t="s">
        <v>8</v>
      </c>
      <c r="B3" s="10">
        <v>7500</v>
      </c>
      <c r="C3" t="s">
        <v>9</v>
      </c>
      <c r="D3" s="6"/>
      <c r="E3"/>
    </row>
    <row r="4" spans="1:5" x14ac:dyDescent="0.35">
      <c r="A4" s="5" t="s">
        <v>1</v>
      </c>
      <c r="B4" s="10">
        <f>B28/B26</f>
        <v>11.905740150986952</v>
      </c>
      <c r="C4" t="s">
        <v>10</v>
      </c>
      <c r="D4" s="6"/>
      <c r="E4"/>
    </row>
    <row r="5" spans="1:5" x14ac:dyDescent="0.35">
      <c r="A5" s="5" t="s">
        <v>11</v>
      </c>
      <c r="B5" s="10">
        <f>(B30+B29)/B28/3600</f>
        <v>0.31902362389921096</v>
      </c>
      <c r="C5" t="s">
        <v>12</v>
      </c>
      <c r="D5" s="6"/>
      <c r="E5"/>
    </row>
    <row r="6" spans="1:5" x14ac:dyDescent="0.35">
      <c r="A6" s="5" t="s">
        <v>2</v>
      </c>
      <c r="B6" s="10">
        <f>D31/B28/3600</f>
        <v>12789.455729394342</v>
      </c>
      <c r="C6" t="s">
        <v>69</v>
      </c>
      <c r="D6" s="6"/>
      <c r="E6"/>
    </row>
    <row r="7" spans="1:5" x14ac:dyDescent="0.35">
      <c r="A7" s="5" t="s">
        <v>3</v>
      </c>
      <c r="B7" s="10">
        <f>D32/B28/3600</f>
        <v>1209.5050327893491</v>
      </c>
      <c r="C7" t="s">
        <v>70</v>
      </c>
      <c r="D7" s="6"/>
      <c r="E7"/>
    </row>
    <row r="8" spans="1:5" x14ac:dyDescent="0.35">
      <c r="A8" s="5" t="s">
        <v>4</v>
      </c>
      <c r="B8" s="10">
        <f>B33/B28*1000</f>
        <v>324.58495939088215</v>
      </c>
      <c r="C8" t="s">
        <v>71</v>
      </c>
      <c r="D8" s="6"/>
      <c r="E8"/>
    </row>
    <row r="9" spans="1:5" x14ac:dyDescent="0.35">
      <c r="A9" s="5" t="s">
        <v>5</v>
      </c>
      <c r="B9" s="10">
        <v>25</v>
      </c>
      <c r="C9" t="s">
        <v>6</v>
      </c>
      <c r="D9" s="6"/>
      <c r="E9"/>
    </row>
    <row r="10" spans="1:5" x14ac:dyDescent="0.35">
      <c r="A10" s="5"/>
      <c r="B10" s="10"/>
      <c r="D10" s="6"/>
      <c r="E10"/>
    </row>
    <row r="11" spans="1:5" x14ac:dyDescent="0.35">
      <c r="A11" s="5" t="s">
        <v>31</v>
      </c>
      <c r="B11" s="10">
        <f>B36/B28/3600</f>
        <v>0.5132116014600151</v>
      </c>
      <c r="C11" t="s">
        <v>12</v>
      </c>
      <c r="D11" s="6"/>
      <c r="E11"/>
    </row>
    <row r="12" spans="1:5" x14ac:dyDescent="0.35">
      <c r="A12" s="5" t="s">
        <v>32</v>
      </c>
      <c r="B12" s="10">
        <f>B37/B28/3600</f>
        <v>1.4282524318928771</v>
      </c>
      <c r="C12" t="s">
        <v>12</v>
      </c>
      <c r="D12" s="6"/>
      <c r="E12"/>
    </row>
    <row r="13" spans="1:5" x14ac:dyDescent="0.35">
      <c r="A13" s="5"/>
      <c r="D13" s="6"/>
      <c r="E13"/>
    </row>
    <row r="14" spans="1:5" x14ac:dyDescent="0.35">
      <c r="A14" s="5" t="s">
        <v>72</v>
      </c>
      <c r="B14">
        <v>34.200000000000003</v>
      </c>
      <c r="C14" t="s">
        <v>73</v>
      </c>
      <c r="D14" s="6"/>
      <c r="E14"/>
    </row>
    <row r="15" spans="1:5" x14ac:dyDescent="0.35">
      <c r="A15" s="5"/>
      <c r="D15" s="6"/>
      <c r="E15"/>
    </row>
    <row r="16" spans="1:5" ht="15" thickBot="1" x14ac:dyDescent="0.4">
      <c r="A16" s="7"/>
      <c r="B16" s="8"/>
      <c r="C16" s="8"/>
      <c r="D16" s="9"/>
      <c r="E16"/>
    </row>
    <row r="22" spans="1:15" x14ac:dyDescent="0.35">
      <c r="A22" s="1" t="s">
        <v>0</v>
      </c>
      <c r="B22" s="11">
        <v>150</v>
      </c>
      <c r="C22" t="s">
        <v>47</v>
      </c>
      <c r="D22" t="s">
        <v>48</v>
      </c>
    </row>
    <row r="23" spans="1:15" x14ac:dyDescent="0.35">
      <c r="A23" s="1" t="s">
        <v>53</v>
      </c>
      <c r="B23" s="12">
        <f>D23*J23/G23</f>
        <v>366.66666666666669</v>
      </c>
      <c r="C23" t="s">
        <v>63</v>
      </c>
      <c r="D23" s="11">
        <v>100</v>
      </c>
      <c r="E23" t="s">
        <v>62</v>
      </c>
      <c r="F23" t="s">
        <v>56</v>
      </c>
      <c r="G23" s="16">
        <v>12</v>
      </c>
      <c r="H23" t="s">
        <v>57</v>
      </c>
      <c r="I23" t="s">
        <v>58</v>
      </c>
      <c r="J23" s="16">
        <f>12+2*16</f>
        <v>44</v>
      </c>
      <c r="K23" t="s">
        <v>57</v>
      </c>
    </row>
    <row r="24" spans="1:15" x14ac:dyDescent="0.35">
      <c r="A24" s="1" t="s">
        <v>13</v>
      </c>
      <c r="B24" s="14">
        <v>4.6141399999999999</v>
      </c>
      <c r="C24" t="s">
        <v>23</v>
      </c>
    </row>
    <row r="25" spans="1:15" x14ac:dyDescent="0.35">
      <c r="A25" s="1" t="s">
        <v>19</v>
      </c>
      <c r="B25" s="14">
        <v>0</v>
      </c>
      <c r="C25" t="s">
        <v>23</v>
      </c>
      <c r="D25" t="s">
        <v>59</v>
      </c>
      <c r="E25" s="17">
        <v>0.37336799999999998</v>
      </c>
      <c r="F25" t="s">
        <v>60</v>
      </c>
    </row>
    <row r="26" spans="1:15" x14ac:dyDescent="0.35">
      <c r="A26" s="1" t="s">
        <v>14</v>
      </c>
      <c r="B26" s="13">
        <f>E26*H26</f>
        <v>0.17511805008</v>
      </c>
      <c r="C26" t="s">
        <v>23</v>
      </c>
      <c r="D26" t="s">
        <v>24</v>
      </c>
      <c r="E26" s="15">
        <v>0.17971000000000001</v>
      </c>
      <c r="F26" t="s">
        <v>23</v>
      </c>
      <c r="G26" t="s">
        <v>25</v>
      </c>
      <c r="H26" s="11">
        <v>0.97444799999999998</v>
      </c>
      <c r="M26">
        <v>21586</v>
      </c>
      <c r="N26" t="s">
        <v>26</v>
      </c>
      <c r="O26">
        <f>M26/B26/3600</f>
        <v>34.240394456036256</v>
      </c>
    </row>
    <row r="27" spans="1:15" x14ac:dyDescent="0.35">
      <c r="A27" s="1" t="s">
        <v>16</v>
      </c>
      <c r="B27" s="14">
        <v>1.3897900000000001</v>
      </c>
      <c r="C27" t="s">
        <v>23</v>
      </c>
    </row>
    <row r="28" spans="1:15" x14ac:dyDescent="0.35">
      <c r="A28" s="1" t="s">
        <v>18</v>
      </c>
      <c r="B28" s="14">
        <v>2.0849099999999998</v>
      </c>
      <c r="C28" t="s">
        <v>23</v>
      </c>
    </row>
    <row r="29" spans="1:15" x14ac:dyDescent="0.35">
      <c r="A29" s="1" t="s">
        <v>15</v>
      </c>
      <c r="B29" s="14">
        <f>128+94+45*3.6*0.865152</f>
        <v>362.15462400000001</v>
      </c>
      <c r="C29" t="s">
        <v>26</v>
      </c>
    </row>
    <row r="30" spans="1:15" x14ac:dyDescent="0.35">
      <c r="A30" s="1" t="s">
        <v>17</v>
      </c>
      <c r="B30" s="14">
        <f>5+149+48+1-633+2+179+344+4+Q35</f>
        <v>2032.3333333333335</v>
      </c>
      <c r="C30" t="s">
        <v>26</v>
      </c>
    </row>
    <row r="31" spans="1:15" x14ac:dyDescent="0.35">
      <c r="A31" s="1" t="s">
        <v>20</v>
      </c>
      <c r="B31" s="21">
        <v>101081167</v>
      </c>
      <c r="C31" t="s">
        <v>27</v>
      </c>
      <c r="D31" s="20">
        <f>B31/B38</f>
        <v>95993510.921177596</v>
      </c>
      <c r="E31" s="19" t="s">
        <v>68</v>
      </c>
    </row>
    <row r="32" spans="1:15" x14ac:dyDescent="0.35">
      <c r="A32" s="1" t="s">
        <v>21</v>
      </c>
      <c r="B32" s="21">
        <v>9559295</v>
      </c>
      <c r="C32" t="s">
        <v>33</v>
      </c>
      <c r="D32" s="20">
        <f>B32/B38</f>
        <v>9078152.8964862302</v>
      </c>
      <c r="E32" t="s">
        <v>67</v>
      </c>
    </row>
    <row r="33" spans="1:20" x14ac:dyDescent="0.35">
      <c r="A33" s="1" t="s">
        <v>22</v>
      </c>
      <c r="B33" s="13">
        <f>E33+H33+K33</f>
        <v>0.67673042768364411</v>
      </c>
      <c r="C33" t="s">
        <v>64</v>
      </c>
      <c r="D33" t="s">
        <v>50</v>
      </c>
      <c r="E33" s="18">
        <f>B34*I35/1000/B38</f>
        <v>1.9445527398743782E-2</v>
      </c>
      <c r="F33" s="1" t="s">
        <v>64</v>
      </c>
      <c r="G33" t="s">
        <v>51</v>
      </c>
      <c r="H33" s="16">
        <f>B22*B24/1000/B38</f>
        <v>0.65728490028490028</v>
      </c>
      <c r="I33" s="1" t="s">
        <v>64</v>
      </c>
      <c r="J33" s="1" t="s">
        <v>52</v>
      </c>
      <c r="K33" s="16">
        <f>-B25*E25*B23</f>
        <v>0</v>
      </c>
      <c r="L33" s="1" t="s">
        <v>64</v>
      </c>
    </row>
    <row r="34" spans="1:20" x14ac:dyDescent="0.35">
      <c r="A34" s="1" t="s">
        <v>37</v>
      </c>
      <c r="B34" s="14">
        <v>6.7000000000000004E-2</v>
      </c>
      <c r="C34" t="s">
        <v>38</v>
      </c>
    </row>
    <row r="35" spans="1:20" x14ac:dyDescent="0.35">
      <c r="A35" s="1" t="s">
        <v>28</v>
      </c>
      <c r="B35" s="11">
        <v>2134</v>
      </c>
      <c r="C35" t="s">
        <v>26</v>
      </c>
      <c r="D35" t="s">
        <v>34</v>
      </c>
      <c r="E35" s="15">
        <v>15</v>
      </c>
      <c r="F35" t="s">
        <v>35</v>
      </c>
      <c r="G35" s="11">
        <v>20</v>
      </c>
      <c r="H35" t="s">
        <v>36</v>
      </c>
      <c r="I35" s="16">
        <f>(B35+T35)/(4.18*(G35-E35))</f>
        <v>305.61403508771934</v>
      </c>
      <c r="J35" t="s">
        <v>23</v>
      </c>
      <c r="K35" t="s">
        <v>40</v>
      </c>
      <c r="L35" s="11">
        <v>2320</v>
      </c>
      <c r="M35" t="s">
        <v>26</v>
      </c>
      <c r="N35" t="s">
        <v>41</v>
      </c>
      <c r="O35" s="11">
        <v>1.2</v>
      </c>
      <c r="P35" t="s">
        <v>42</v>
      </c>
      <c r="Q35" s="16">
        <f>L35/O35</f>
        <v>1933.3333333333335</v>
      </c>
      <c r="R35" t="s">
        <v>26</v>
      </c>
      <c r="S35" t="s">
        <v>49</v>
      </c>
      <c r="T35" s="16">
        <f>(Q35+L35)</f>
        <v>4253.3333333333339</v>
      </c>
    </row>
    <row r="36" spans="1:20" x14ac:dyDescent="0.35">
      <c r="A36" s="1" t="s">
        <v>29</v>
      </c>
      <c r="B36" s="11">
        <v>3852</v>
      </c>
      <c r="C36" t="s">
        <v>26</v>
      </c>
    </row>
    <row r="37" spans="1:20" x14ac:dyDescent="0.35">
      <c r="A37" s="1" t="s">
        <v>30</v>
      </c>
      <c r="B37" s="14">
        <v>10720</v>
      </c>
      <c r="C37" t="s">
        <v>26</v>
      </c>
    </row>
    <row r="38" spans="1:20" x14ac:dyDescent="0.35">
      <c r="A38" s="1" t="s">
        <v>65</v>
      </c>
      <c r="B38" s="14">
        <v>1.0529999999999999</v>
      </c>
      <c r="C38" t="s">
        <v>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44BE7-010D-45C3-964E-0D2D6676E791}">
  <dimension ref="A1:O38"/>
  <sheetViews>
    <sheetView workbookViewId="0">
      <selection activeCell="B33" sqref="B33"/>
    </sheetView>
  </sheetViews>
  <sheetFormatPr defaultRowHeight="14.5" x14ac:dyDescent="0.35"/>
  <cols>
    <col min="1" max="1" width="28.54296875" style="1" bestFit="1" customWidth="1"/>
    <col min="2" max="2" width="14.7265625" bestFit="1" customWidth="1"/>
    <col min="3" max="3" width="22.1796875" bestFit="1" customWidth="1"/>
    <col min="4" max="4" width="13.453125" bestFit="1" customWidth="1"/>
    <col min="5" max="5" width="25" style="1" bestFit="1" customWidth="1"/>
  </cols>
  <sheetData>
    <row r="1" spans="1:5" x14ac:dyDescent="0.35">
      <c r="A1" s="2" t="s">
        <v>61</v>
      </c>
      <c r="B1" s="3"/>
      <c r="C1" s="3"/>
      <c r="D1" s="4"/>
      <c r="E1"/>
    </row>
    <row r="2" spans="1:5" x14ac:dyDescent="0.35">
      <c r="A2" s="5"/>
      <c r="D2" s="6"/>
      <c r="E2"/>
    </row>
    <row r="3" spans="1:5" x14ac:dyDescent="0.35">
      <c r="A3" s="5" t="s">
        <v>8</v>
      </c>
      <c r="B3" s="10">
        <v>7500</v>
      </c>
      <c r="C3" t="s">
        <v>9</v>
      </c>
      <c r="D3" s="6"/>
      <c r="E3"/>
    </row>
    <row r="4" spans="1:5" x14ac:dyDescent="0.35">
      <c r="A4" s="5" t="s">
        <v>1</v>
      </c>
      <c r="B4" s="10">
        <f>B28/B26</f>
        <v>6.5706644363705475</v>
      </c>
      <c r="C4" t="s">
        <v>10</v>
      </c>
      <c r="D4" s="6"/>
      <c r="E4"/>
    </row>
    <row r="5" spans="1:5" x14ac:dyDescent="0.35">
      <c r="A5" s="5" t="s">
        <v>11</v>
      </c>
      <c r="B5" s="10">
        <f>(B30+B29)/B28/3600</f>
        <v>0.63595534002625365</v>
      </c>
      <c r="C5" t="s">
        <v>12</v>
      </c>
      <c r="D5" s="6"/>
      <c r="E5"/>
    </row>
    <row r="6" spans="1:5" x14ac:dyDescent="0.35">
      <c r="A6" s="5" t="s">
        <v>2</v>
      </c>
      <c r="B6" s="10">
        <f>D31/B28/3600</f>
        <v>12113.806443122498</v>
      </c>
      <c r="C6" t="s">
        <v>69</v>
      </c>
      <c r="D6" s="6"/>
      <c r="E6"/>
    </row>
    <row r="7" spans="1:5" x14ac:dyDescent="0.35">
      <c r="A7" s="5" t="s">
        <v>3</v>
      </c>
      <c r="B7" s="10">
        <f>D32/B28/3600</f>
        <v>1167.0534485870892</v>
      </c>
      <c r="C7" t="s">
        <v>70</v>
      </c>
      <c r="D7" s="6"/>
      <c r="E7"/>
    </row>
    <row r="8" spans="1:5" x14ac:dyDescent="0.35">
      <c r="A8" s="5" t="s">
        <v>4</v>
      </c>
      <c r="B8" s="10">
        <f>B33/B28*1000</f>
        <v>149.71557093788465</v>
      </c>
      <c r="C8" t="s">
        <v>71</v>
      </c>
      <c r="D8" s="6"/>
      <c r="E8"/>
    </row>
    <row r="9" spans="1:5" x14ac:dyDescent="0.35">
      <c r="A9" s="5" t="s">
        <v>5</v>
      </c>
      <c r="B9" s="10">
        <v>25</v>
      </c>
      <c r="C9" t="s">
        <v>6</v>
      </c>
      <c r="D9" s="6"/>
      <c r="E9"/>
    </row>
    <row r="10" spans="1:5" x14ac:dyDescent="0.35">
      <c r="A10" s="5"/>
      <c r="B10" s="10"/>
      <c r="D10" s="6"/>
      <c r="E10"/>
    </row>
    <row r="11" spans="1:5" x14ac:dyDescent="0.35">
      <c r="A11" s="5" t="s">
        <v>31</v>
      </c>
      <c r="B11" s="10">
        <f>B36/B28/3600</f>
        <v>1.6641697458470373</v>
      </c>
      <c r="C11" t="s">
        <v>12</v>
      </c>
      <c r="D11" s="6"/>
      <c r="E11"/>
    </row>
    <row r="12" spans="1:5" x14ac:dyDescent="0.35">
      <c r="A12" s="5" t="s">
        <v>32</v>
      </c>
      <c r="B12" s="10">
        <f>B37/B28/3600</f>
        <v>1.1020294610008683</v>
      </c>
      <c r="C12" t="s">
        <v>12</v>
      </c>
      <c r="D12" s="6"/>
      <c r="E12"/>
    </row>
    <row r="13" spans="1:5" x14ac:dyDescent="0.35">
      <c r="A13" s="5"/>
      <c r="D13" s="6"/>
      <c r="E13"/>
    </row>
    <row r="14" spans="1:5" x14ac:dyDescent="0.35">
      <c r="A14" s="5" t="s">
        <v>72</v>
      </c>
      <c r="B14">
        <v>34.200000000000003</v>
      </c>
      <c r="C14" t="s">
        <v>73</v>
      </c>
      <c r="D14" s="6"/>
      <c r="E14"/>
    </row>
    <row r="15" spans="1:5" x14ac:dyDescent="0.35">
      <c r="A15" s="5"/>
      <c r="D15" s="6"/>
      <c r="E15"/>
    </row>
    <row r="16" spans="1:5" ht="15" thickBot="1" x14ac:dyDescent="0.4">
      <c r="A16" s="7"/>
      <c r="B16" s="8"/>
      <c r="C16" s="8"/>
      <c r="D16" s="9"/>
      <c r="E16"/>
    </row>
    <row r="21" spans="1:15" x14ac:dyDescent="0.35">
      <c r="E21" s="1">
        <f>E22*B22</f>
        <v>92.800000000000011</v>
      </c>
    </row>
    <row r="22" spans="1:15" x14ac:dyDescent="0.35">
      <c r="A22" s="1" t="s">
        <v>0</v>
      </c>
      <c r="B22" s="11">
        <v>6.4</v>
      </c>
      <c r="C22" t="s">
        <v>43</v>
      </c>
      <c r="D22" t="s">
        <v>44</v>
      </c>
      <c r="E22" s="1">
        <v>14.5</v>
      </c>
      <c r="F22" t="s">
        <v>45</v>
      </c>
      <c r="G22" t="s">
        <v>46</v>
      </c>
    </row>
    <row r="23" spans="1:15" x14ac:dyDescent="0.35">
      <c r="A23" s="1" t="s">
        <v>53</v>
      </c>
      <c r="B23" s="12">
        <f>D23*J23/G23</f>
        <v>366.66666666666669</v>
      </c>
      <c r="C23" t="s">
        <v>63</v>
      </c>
      <c r="D23" s="11">
        <v>100</v>
      </c>
      <c r="E23" t="s">
        <v>62</v>
      </c>
      <c r="F23" t="s">
        <v>56</v>
      </c>
      <c r="G23" s="16">
        <v>12</v>
      </c>
      <c r="H23" t="s">
        <v>57</v>
      </c>
      <c r="I23" t="s">
        <v>58</v>
      </c>
      <c r="J23" s="16">
        <f>12+2*16</f>
        <v>44</v>
      </c>
      <c r="K23" t="s">
        <v>57</v>
      </c>
    </row>
    <row r="24" spans="1:15" x14ac:dyDescent="0.35">
      <c r="A24" s="1" t="s">
        <v>13</v>
      </c>
      <c r="B24" s="14">
        <v>3.7858200000000002</v>
      </c>
      <c r="C24" t="s">
        <v>23</v>
      </c>
    </row>
    <row r="25" spans="1:15" x14ac:dyDescent="0.35">
      <c r="A25" s="1" t="s">
        <v>19</v>
      </c>
      <c r="B25" s="14">
        <v>0.34799200000000002</v>
      </c>
      <c r="C25" t="s">
        <v>23</v>
      </c>
      <c r="D25" t="s">
        <v>59</v>
      </c>
      <c r="E25" s="17">
        <v>0.37336799999999998</v>
      </c>
      <c r="F25" t="s">
        <v>60</v>
      </c>
    </row>
    <row r="26" spans="1:15" x14ac:dyDescent="0.35">
      <c r="A26" s="1" t="s">
        <v>14</v>
      </c>
      <c r="B26" s="13">
        <f>E26*H26</f>
        <v>0.31728754682100002</v>
      </c>
      <c r="C26" t="s">
        <v>23</v>
      </c>
      <c r="D26" t="s">
        <v>24</v>
      </c>
      <c r="E26" s="15">
        <v>0.394623</v>
      </c>
      <c r="F26" t="s">
        <v>23</v>
      </c>
      <c r="G26" t="s">
        <v>25</v>
      </c>
      <c r="H26" s="11">
        <v>0.80402700000000005</v>
      </c>
      <c r="M26">
        <v>39083</v>
      </c>
      <c r="N26" t="s">
        <v>26</v>
      </c>
      <c r="O26">
        <f>M26/B26/3600</f>
        <v>34.21624642272392</v>
      </c>
    </row>
    <row r="27" spans="1:15" x14ac:dyDescent="0.35">
      <c r="A27" s="1" t="s">
        <v>16</v>
      </c>
      <c r="B27" s="14">
        <f>E27+H27</f>
        <v>1.385491</v>
      </c>
      <c r="C27" t="s">
        <v>23</v>
      </c>
      <c r="D27" t="s">
        <v>7</v>
      </c>
      <c r="E27" s="1">
        <v>0.65682499999999999</v>
      </c>
      <c r="F27" t="s">
        <v>23</v>
      </c>
      <c r="G27" t="s">
        <v>39</v>
      </c>
      <c r="H27">
        <v>0.72866600000000004</v>
      </c>
      <c r="I27" t="s">
        <v>23</v>
      </c>
    </row>
    <row r="28" spans="1:15" x14ac:dyDescent="0.35">
      <c r="A28" s="1" t="s">
        <v>18</v>
      </c>
      <c r="B28" s="14">
        <v>2.0847899999999999</v>
      </c>
      <c r="C28" t="s">
        <v>23</v>
      </c>
    </row>
    <row r="29" spans="1:15" x14ac:dyDescent="0.35">
      <c r="A29" s="1" t="s">
        <v>15</v>
      </c>
      <c r="B29" s="14">
        <v>0</v>
      </c>
      <c r="C29" t="s">
        <v>26</v>
      </c>
    </row>
    <row r="30" spans="1:15" x14ac:dyDescent="0.35">
      <c r="A30" s="1" t="s">
        <v>17</v>
      </c>
      <c r="B30" s="14">
        <f>1159+1017+997+993+1001+20+2+2-418</f>
        <v>4773</v>
      </c>
      <c r="C30" t="s">
        <v>26</v>
      </c>
    </row>
    <row r="31" spans="1:15" x14ac:dyDescent="0.35">
      <c r="A31" s="1" t="s">
        <v>20</v>
      </c>
      <c r="B31" s="14">
        <v>95735678</v>
      </c>
      <c r="C31" t="s">
        <v>27</v>
      </c>
      <c r="D31" s="20">
        <f>B31/B38</f>
        <v>90917073.124406457</v>
      </c>
      <c r="E31" s="19" t="s">
        <v>68</v>
      </c>
    </row>
    <row r="32" spans="1:15" x14ac:dyDescent="0.35">
      <c r="A32" s="1" t="s">
        <v>21</v>
      </c>
      <c r="B32" s="14">
        <v>9223249</v>
      </c>
      <c r="C32" t="s">
        <v>33</v>
      </c>
      <c r="D32" s="20">
        <f>B32/B38</f>
        <v>8759020.8926875591</v>
      </c>
      <c r="E32" t="s">
        <v>67</v>
      </c>
    </row>
    <row r="33" spans="1:12" x14ac:dyDescent="0.35">
      <c r="A33" s="1" t="s">
        <v>22</v>
      </c>
      <c r="B33" s="13">
        <f>E33+H33+K33</f>
        <v>0.31212552513559255</v>
      </c>
      <c r="C33" t="s">
        <v>64</v>
      </c>
      <c r="D33" t="s">
        <v>50</v>
      </c>
      <c r="E33" s="18">
        <f>B34*I35/1000/B38</f>
        <v>8.4420907227924797E-3</v>
      </c>
      <c r="F33" s="1" t="s">
        <v>64</v>
      </c>
      <c r="G33" t="s">
        <v>51</v>
      </c>
      <c r="H33" s="16">
        <f>B22*E22*B24/1000</f>
        <v>0.35132409600000003</v>
      </c>
      <c r="I33" s="1" t="s">
        <v>64</v>
      </c>
      <c r="J33" s="1" t="s">
        <v>52</v>
      </c>
      <c r="K33" s="16">
        <f>-B25*E25*B23/1000</f>
        <v>-4.7640661587200005E-2</v>
      </c>
      <c r="L33" s="1" t="s">
        <v>64</v>
      </c>
    </row>
    <row r="34" spans="1:12" x14ac:dyDescent="0.35">
      <c r="A34" s="1" t="s">
        <v>37</v>
      </c>
      <c r="B34" s="14">
        <v>6.7000000000000004E-2</v>
      </c>
      <c r="C34" t="s">
        <v>38</v>
      </c>
    </row>
    <row r="35" spans="1:12" x14ac:dyDescent="0.35">
      <c r="A35" s="1" t="s">
        <v>28</v>
      </c>
      <c r="B35" s="11">
        <v>2773</v>
      </c>
      <c r="C35" t="s">
        <v>26</v>
      </c>
      <c r="D35" t="s">
        <v>34</v>
      </c>
      <c r="E35" s="15">
        <v>15</v>
      </c>
      <c r="F35" t="s">
        <v>35</v>
      </c>
      <c r="G35" s="11">
        <v>20</v>
      </c>
      <c r="H35" t="s">
        <v>36</v>
      </c>
      <c r="I35" s="16">
        <f>B35/(4.18*(G35-E35))</f>
        <v>132.67942583732059</v>
      </c>
      <c r="J35" t="s">
        <v>23</v>
      </c>
    </row>
    <row r="36" spans="1:12" x14ac:dyDescent="0.35">
      <c r="A36" s="1" t="s">
        <v>29</v>
      </c>
      <c r="B36" s="11">
        <v>12490</v>
      </c>
      <c r="C36" t="s">
        <v>26</v>
      </c>
    </row>
    <row r="37" spans="1:12" x14ac:dyDescent="0.35">
      <c r="A37" s="1" t="s">
        <v>30</v>
      </c>
      <c r="B37" s="14">
        <v>8271</v>
      </c>
      <c r="C37" t="s">
        <v>26</v>
      </c>
    </row>
    <row r="38" spans="1:12" x14ac:dyDescent="0.35">
      <c r="A38" s="1" t="s">
        <v>65</v>
      </c>
      <c r="B38" s="14">
        <v>1.0529999999999999</v>
      </c>
      <c r="C38" t="s">
        <v>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683F-76BA-401D-B308-C9DCCFBE902B}">
  <dimension ref="A1:T38"/>
  <sheetViews>
    <sheetView workbookViewId="0">
      <selection activeCell="B33" sqref="B33"/>
    </sheetView>
  </sheetViews>
  <sheetFormatPr defaultRowHeight="14.5" x14ac:dyDescent="0.35"/>
  <cols>
    <col min="1" max="1" width="28.54296875" style="1" bestFit="1" customWidth="1"/>
    <col min="2" max="2" width="14.7265625" bestFit="1" customWidth="1"/>
    <col min="3" max="3" width="22.1796875" bestFit="1" customWidth="1"/>
    <col min="4" max="4" width="18.7265625" bestFit="1" customWidth="1"/>
    <col min="5" max="5" width="25" style="1" bestFit="1" customWidth="1"/>
  </cols>
  <sheetData>
    <row r="1" spans="1:5" x14ac:dyDescent="0.35">
      <c r="A1" s="2" t="s">
        <v>61</v>
      </c>
      <c r="B1" s="3"/>
      <c r="C1" s="3"/>
      <c r="D1" s="4"/>
      <c r="E1"/>
    </row>
    <row r="2" spans="1:5" x14ac:dyDescent="0.35">
      <c r="A2" s="5"/>
      <c r="D2" s="6"/>
      <c r="E2"/>
    </row>
    <row r="3" spans="1:5" x14ac:dyDescent="0.35">
      <c r="A3" s="5" t="s">
        <v>8</v>
      </c>
      <c r="B3" s="10">
        <v>7500</v>
      </c>
      <c r="C3" t="s">
        <v>9</v>
      </c>
      <c r="D3" s="6"/>
      <c r="E3"/>
    </row>
    <row r="4" spans="1:5" x14ac:dyDescent="0.35">
      <c r="A4" s="5" t="s">
        <v>1</v>
      </c>
      <c r="B4" s="10">
        <f>B28/B26</f>
        <v>8.5418240825679188</v>
      </c>
      <c r="C4" t="s">
        <v>10</v>
      </c>
      <c r="D4" s="6"/>
      <c r="E4"/>
    </row>
    <row r="5" spans="1:5" x14ac:dyDescent="0.35">
      <c r="A5" s="5" t="s">
        <v>11</v>
      </c>
      <c r="B5" s="10">
        <f>(B30+B29)/B28/3600</f>
        <v>0.83148149925340165</v>
      </c>
      <c r="C5" t="s">
        <v>12</v>
      </c>
      <c r="D5" s="6"/>
      <c r="E5"/>
    </row>
    <row r="6" spans="1:5" x14ac:dyDescent="0.35">
      <c r="A6" s="5" t="s">
        <v>2</v>
      </c>
      <c r="B6" s="10">
        <f>D31/B28/3600</f>
        <v>16688.489344124268</v>
      </c>
      <c r="C6" t="s">
        <v>69</v>
      </c>
      <c r="D6" s="6"/>
      <c r="E6"/>
    </row>
    <row r="7" spans="1:5" x14ac:dyDescent="0.35">
      <c r="A7" s="5" t="s">
        <v>3</v>
      </c>
      <c r="B7" s="10">
        <f>D32/B28/3600</f>
        <v>1448.5288327030089</v>
      </c>
      <c r="C7" t="s">
        <v>70</v>
      </c>
      <c r="D7" s="6"/>
      <c r="E7"/>
    </row>
    <row r="8" spans="1:5" x14ac:dyDescent="0.35">
      <c r="A8" s="5" t="s">
        <v>4</v>
      </c>
      <c r="B8" s="10">
        <f>B33/B28*1000</f>
        <v>215.94256380244599</v>
      </c>
      <c r="C8" t="s">
        <v>71</v>
      </c>
      <c r="D8" s="6"/>
      <c r="E8"/>
    </row>
    <row r="9" spans="1:5" x14ac:dyDescent="0.35">
      <c r="A9" s="5" t="s">
        <v>5</v>
      </c>
      <c r="B9" s="10">
        <v>25</v>
      </c>
      <c r="C9" t="s">
        <v>6</v>
      </c>
      <c r="D9" s="6"/>
      <c r="E9"/>
    </row>
    <row r="10" spans="1:5" x14ac:dyDescent="0.35">
      <c r="A10" s="5"/>
      <c r="B10" s="10"/>
      <c r="D10" s="6"/>
      <c r="E10"/>
    </row>
    <row r="11" spans="1:5" x14ac:dyDescent="0.35">
      <c r="A11" s="5" t="s">
        <v>31</v>
      </c>
      <c r="B11" s="10">
        <f>B36/B28/3600</f>
        <v>0.90276911396670323</v>
      </c>
      <c r="C11" t="s">
        <v>12</v>
      </c>
      <c r="D11" s="6"/>
      <c r="E11"/>
    </row>
    <row r="12" spans="1:5" x14ac:dyDescent="0.35">
      <c r="A12" s="5" t="s">
        <v>32</v>
      </c>
      <c r="B12" s="10">
        <f>B37/B28/3600</f>
        <v>2.6018091103838836</v>
      </c>
      <c r="C12" t="s">
        <v>12</v>
      </c>
      <c r="D12" s="6"/>
      <c r="E12"/>
    </row>
    <row r="13" spans="1:5" x14ac:dyDescent="0.35">
      <c r="A13" s="5"/>
      <c r="D13" s="6"/>
      <c r="E13"/>
    </row>
    <row r="14" spans="1:5" x14ac:dyDescent="0.35">
      <c r="A14" s="5" t="s">
        <v>72</v>
      </c>
      <c r="B14">
        <v>34.200000000000003</v>
      </c>
      <c r="C14" t="s">
        <v>73</v>
      </c>
      <c r="D14" s="6"/>
      <c r="E14"/>
    </row>
    <row r="15" spans="1:5" x14ac:dyDescent="0.35">
      <c r="A15" s="5"/>
      <c r="D15" s="6"/>
      <c r="E15"/>
    </row>
    <row r="16" spans="1:5" ht="15" thickBot="1" x14ac:dyDescent="0.4">
      <c r="A16" s="7"/>
      <c r="B16" s="8"/>
      <c r="C16" s="8"/>
      <c r="D16" s="9"/>
      <c r="E16"/>
    </row>
    <row r="22" spans="1:15" x14ac:dyDescent="0.35">
      <c r="A22" s="1" t="s">
        <v>0</v>
      </c>
      <c r="B22" s="11">
        <v>6.4</v>
      </c>
      <c r="C22" t="s">
        <v>43</v>
      </c>
      <c r="D22" t="s">
        <v>44</v>
      </c>
      <c r="E22" s="1">
        <v>14.5</v>
      </c>
      <c r="F22" t="s">
        <v>45</v>
      </c>
      <c r="G22" t="s">
        <v>46</v>
      </c>
    </row>
    <row r="23" spans="1:15" x14ac:dyDescent="0.35">
      <c r="A23" s="1" t="s">
        <v>53</v>
      </c>
      <c r="B23" s="12">
        <f>D23*J23/G23</f>
        <v>366.66666666666669</v>
      </c>
      <c r="C23" t="s">
        <v>54</v>
      </c>
      <c r="D23" s="11">
        <v>100</v>
      </c>
      <c r="E23" t="s">
        <v>55</v>
      </c>
      <c r="F23" t="s">
        <v>56</v>
      </c>
      <c r="G23" s="16">
        <v>12</v>
      </c>
      <c r="H23" t="s">
        <v>57</v>
      </c>
      <c r="I23" t="s">
        <v>58</v>
      </c>
      <c r="J23" s="16">
        <f>12+2*16</f>
        <v>44</v>
      </c>
      <c r="K23" t="s">
        <v>57</v>
      </c>
      <c r="N23">
        <f>J23/G23</f>
        <v>3.6666666666666665</v>
      </c>
    </row>
    <row r="24" spans="1:15" x14ac:dyDescent="0.35">
      <c r="A24" s="1" t="s">
        <v>13</v>
      </c>
      <c r="B24" s="14">
        <v>5.2911000000000001</v>
      </c>
      <c r="C24" t="s">
        <v>23</v>
      </c>
    </row>
    <row r="25" spans="1:15" x14ac:dyDescent="0.35">
      <c r="A25" s="1" t="s">
        <v>19</v>
      </c>
      <c r="B25" s="14">
        <v>0.48635800000000001</v>
      </c>
      <c r="C25" t="s">
        <v>23</v>
      </c>
      <c r="D25" t="s">
        <v>59</v>
      </c>
      <c r="E25" s="17">
        <v>0.37336799999999998</v>
      </c>
      <c r="F25" t="s">
        <v>60</v>
      </c>
    </row>
    <row r="26" spans="1:15" x14ac:dyDescent="0.35">
      <c r="A26" s="1" t="s">
        <v>14</v>
      </c>
      <c r="B26" s="13">
        <f>E26*H26</f>
        <v>0.243978332948</v>
      </c>
      <c r="C26" t="s">
        <v>23</v>
      </c>
      <c r="D26" t="s">
        <v>24</v>
      </c>
      <c r="E26" s="15">
        <v>0.30382900000000002</v>
      </c>
      <c r="F26" t="s">
        <v>23</v>
      </c>
      <c r="G26" t="s">
        <v>25</v>
      </c>
      <c r="H26" s="11">
        <v>0.80301199999999995</v>
      </c>
      <c r="M26">
        <v>30053</v>
      </c>
      <c r="N26" t="s">
        <v>26</v>
      </c>
      <c r="O26">
        <f>M26/B26/3600</f>
        <v>34.216380834665379</v>
      </c>
    </row>
    <row r="27" spans="1:15" x14ac:dyDescent="0.35">
      <c r="A27" s="1" t="s">
        <v>16</v>
      </c>
      <c r="B27" s="14">
        <f>E27+H27</f>
        <v>1.9363779999999999</v>
      </c>
      <c r="C27" t="s">
        <v>23</v>
      </c>
      <c r="D27" t="s">
        <v>7</v>
      </c>
      <c r="E27" s="1">
        <v>0.91803800000000002</v>
      </c>
      <c r="F27" t="s">
        <v>23</v>
      </c>
      <c r="G27" t="s">
        <v>39</v>
      </c>
      <c r="H27">
        <v>1.01834</v>
      </c>
      <c r="I27" t="s">
        <v>23</v>
      </c>
    </row>
    <row r="28" spans="1:15" x14ac:dyDescent="0.35">
      <c r="A28" s="1" t="s">
        <v>18</v>
      </c>
      <c r="B28" s="14">
        <v>2.0840200000000002</v>
      </c>
      <c r="C28" t="s">
        <v>23</v>
      </c>
    </row>
    <row r="29" spans="1:15" x14ac:dyDescent="0.35">
      <c r="A29" s="1" t="s">
        <v>15</v>
      </c>
      <c r="B29" s="14">
        <v>0</v>
      </c>
      <c r="C29" t="s">
        <v>26</v>
      </c>
    </row>
    <row r="30" spans="1:15" x14ac:dyDescent="0.35">
      <c r="A30" s="1" t="s">
        <v>17</v>
      </c>
      <c r="B30" s="14">
        <f>1237+960+936+926+923+182+4-1519+Q35</f>
        <v>6238.166666666667</v>
      </c>
      <c r="C30" t="s">
        <v>26</v>
      </c>
    </row>
    <row r="31" spans="1:15" x14ac:dyDescent="0.35">
      <c r="A31" s="1" t="s">
        <v>20</v>
      </c>
      <c r="B31" s="21">
        <v>131840785</v>
      </c>
      <c r="C31" t="s">
        <v>27</v>
      </c>
      <c r="D31" s="20">
        <f>B31/B38</f>
        <v>125204924.0265907</v>
      </c>
      <c r="E31" s="19" t="s">
        <v>68</v>
      </c>
    </row>
    <row r="32" spans="1:15" x14ac:dyDescent="0.35">
      <c r="A32" s="1" t="s">
        <v>21</v>
      </c>
      <c r="B32" s="21">
        <v>11443527</v>
      </c>
      <c r="C32" t="s">
        <v>33</v>
      </c>
      <c r="D32" s="20">
        <f>B32/B38</f>
        <v>10867547.00854701</v>
      </c>
      <c r="E32" t="s">
        <v>67</v>
      </c>
    </row>
    <row r="33" spans="1:20" x14ac:dyDescent="0.35">
      <c r="A33" s="1" t="s">
        <v>22</v>
      </c>
      <c r="B33" s="13">
        <f>E33+H33+K33</f>
        <v>0.45002862181557357</v>
      </c>
      <c r="C33" t="s">
        <v>64</v>
      </c>
      <c r="D33" t="s">
        <v>50</v>
      </c>
      <c r="E33" s="18">
        <f>B34*I35/1000/B38</f>
        <v>2.5597730188373472E-2</v>
      </c>
      <c r="F33" s="1" t="s">
        <v>64</v>
      </c>
      <c r="G33" t="s">
        <v>51</v>
      </c>
      <c r="H33" s="16">
        <f>B22*E22*B24/1000</f>
        <v>0.49101408000000007</v>
      </c>
      <c r="I33" s="1" t="s">
        <v>64</v>
      </c>
      <c r="J33" s="1" t="s">
        <v>52</v>
      </c>
      <c r="K33" s="16">
        <f>-B25*E25*B23/1000</f>
        <v>-6.6583188372800001E-2</v>
      </c>
      <c r="L33" s="1" t="s">
        <v>64</v>
      </c>
    </row>
    <row r="34" spans="1:20" x14ac:dyDescent="0.35">
      <c r="A34" s="1" t="s">
        <v>37</v>
      </c>
      <c r="B34" s="14">
        <v>6.7000000000000004E-2</v>
      </c>
      <c r="C34" t="s">
        <v>38</v>
      </c>
    </row>
    <row r="35" spans="1:20" x14ac:dyDescent="0.35">
      <c r="A35" s="1" t="s">
        <v>28</v>
      </c>
      <c r="B35" s="11">
        <v>2712</v>
      </c>
      <c r="C35" t="s">
        <v>26</v>
      </c>
      <c r="D35" t="s">
        <v>34</v>
      </c>
      <c r="E35" s="15">
        <v>15</v>
      </c>
      <c r="F35" t="s">
        <v>35</v>
      </c>
      <c r="G35" s="11">
        <v>20</v>
      </c>
      <c r="H35" t="s">
        <v>36</v>
      </c>
      <c r="I35" s="16">
        <f>(B35+T35)/(4.18*(G35-E35))</f>
        <v>402.30462519936214</v>
      </c>
      <c r="J35" t="s">
        <v>23</v>
      </c>
      <c r="K35" t="s">
        <v>40</v>
      </c>
      <c r="L35" s="11">
        <v>3107</v>
      </c>
      <c r="M35" t="s">
        <v>26</v>
      </c>
      <c r="N35" t="s">
        <v>41</v>
      </c>
      <c r="O35" s="11">
        <v>1.2</v>
      </c>
      <c r="P35" t="s">
        <v>42</v>
      </c>
      <c r="Q35" s="16">
        <f>L35/O35</f>
        <v>2589.166666666667</v>
      </c>
      <c r="R35" t="s">
        <v>26</v>
      </c>
      <c r="S35" t="s">
        <v>49</v>
      </c>
      <c r="T35" s="16">
        <f>(Q35+L35)</f>
        <v>5696.166666666667</v>
      </c>
    </row>
    <row r="36" spans="1:20" x14ac:dyDescent="0.35">
      <c r="A36" s="1" t="s">
        <v>29</v>
      </c>
      <c r="B36" s="11">
        <v>6773</v>
      </c>
      <c r="C36" t="s">
        <v>26</v>
      </c>
    </row>
    <row r="37" spans="1:20" x14ac:dyDescent="0.35">
      <c r="A37" s="1" t="s">
        <v>30</v>
      </c>
      <c r="B37" s="14">
        <v>19520</v>
      </c>
      <c r="C37" t="s">
        <v>26</v>
      </c>
    </row>
    <row r="38" spans="1:20" x14ac:dyDescent="0.35">
      <c r="A38" s="1" t="s">
        <v>65</v>
      </c>
      <c r="B38" s="14">
        <v>1.0529999999999999</v>
      </c>
      <c r="C38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Bamboo-2stage</vt:lpstr>
      <vt:lpstr>Bamboo-1stage</vt:lpstr>
      <vt:lpstr>Wheat-2stage</vt:lpstr>
      <vt:lpstr>Wheat-1stage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Kofler</dc:creator>
  <cp:lastModifiedBy>René Kofler</cp:lastModifiedBy>
  <dcterms:created xsi:type="dcterms:W3CDTF">2023-06-13T12:01:39Z</dcterms:created>
  <dcterms:modified xsi:type="dcterms:W3CDTF">2023-07-05T21:45:45Z</dcterms:modified>
</cp:coreProperties>
</file>