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bca\Documents\Models\OptiPlant-World\"/>
    </mc:Choice>
  </mc:AlternateContent>
  <bookViews>
    <workbookView xWindow="-110" yWindow="-110" windowWidth="19420" windowHeight="10420" activeTab="3"/>
  </bookViews>
  <sheets>
    <sheet name="Bamboo-2stage" sheetId="1" r:id="rId1"/>
    <sheet name="Bamboo-1stage" sheetId="5" r:id="rId2"/>
    <sheet name="Wheat-2stage" sheetId="2" r:id="rId3"/>
    <sheet name="Wheat-1stage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9" i="2"/>
  <c r="K37" i="2"/>
  <c r="K37" i="3" l="1"/>
  <c r="H37" i="3"/>
  <c r="H37" i="2"/>
  <c r="H35" i="5"/>
  <c r="H36" i="1" l="1"/>
  <c r="B18" i="3" l="1"/>
  <c r="B18" i="2"/>
  <c r="B17" i="1" l="1"/>
  <c r="B16" i="1"/>
  <c r="B17" i="5"/>
  <c r="B16" i="5"/>
  <c r="B17" i="2"/>
  <c r="B16" i="2"/>
  <c r="B17" i="3"/>
  <c r="B16" i="3"/>
  <c r="D36" i="2"/>
  <c r="B7" i="2" s="1"/>
  <c r="D35" i="2"/>
  <c r="B6" i="2" s="1"/>
  <c r="D36" i="3"/>
  <c r="B7" i="3" s="1"/>
  <c r="D35" i="3"/>
  <c r="B6" i="3" s="1"/>
  <c r="D35" i="1"/>
  <c r="B7" i="1" s="1"/>
  <c r="D34" i="1"/>
  <c r="B6" i="1" s="1"/>
  <c r="D34" i="5"/>
  <c r="B7" i="5" s="1"/>
  <c r="D33" i="5"/>
  <c r="B6" i="5" s="1"/>
  <c r="J26" i="1"/>
  <c r="B26" i="1" s="1"/>
  <c r="K36" i="1" s="1"/>
  <c r="J27" i="3"/>
  <c r="B27" i="3" s="1"/>
  <c r="E25" i="2"/>
  <c r="J27" i="2"/>
  <c r="B27" i="2" s="1"/>
  <c r="J25" i="5"/>
  <c r="B25" i="5" s="1"/>
  <c r="K35" i="5" s="1"/>
  <c r="Q37" i="5"/>
  <c r="T37" i="5" s="1"/>
  <c r="I37" i="5" s="1"/>
  <c r="E35" i="5" s="1"/>
  <c r="Q39" i="3"/>
  <c r="T39" i="3" s="1"/>
  <c r="I39" i="3" s="1"/>
  <c r="B33" i="1"/>
  <c r="I39" i="2"/>
  <c r="E37" i="2" s="1"/>
  <c r="B32" i="1"/>
  <c r="B31" i="5"/>
  <c r="E37" i="3" l="1"/>
  <c r="B37" i="3" s="1"/>
  <c r="B8" i="3" s="1"/>
  <c r="N27" i="3"/>
  <c r="B5" i="1"/>
  <c r="B37" i="2"/>
  <c r="B8" i="2" s="1"/>
  <c r="B35" i="5"/>
  <c r="B8" i="5" s="1"/>
  <c r="B32" i="5"/>
  <c r="B5" i="5" s="1"/>
  <c r="B34" i="3"/>
  <c r="B5" i="3" s="1"/>
  <c r="B28" i="5" l="1"/>
  <c r="B12" i="5"/>
  <c r="B11" i="5"/>
  <c r="B31" i="3"/>
  <c r="B30" i="3"/>
  <c r="B12" i="3"/>
  <c r="B11" i="3"/>
  <c r="B34" i="2"/>
  <c r="B5" i="2" s="1"/>
  <c r="B31" i="2"/>
  <c r="B30" i="2"/>
  <c r="O30" i="2" s="1"/>
  <c r="B12" i="2"/>
  <c r="B11" i="2"/>
  <c r="B4" i="3" l="1"/>
  <c r="O30" i="3"/>
  <c r="B4" i="5"/>
  <c r="O28" i="5"/>
  <c r="B4" i="2"/>
  <c r="B11" i="1" l="1"/>
  <c r="I38" i="1"/>
  <c r="E36" i="1" s="1"/>
  <c r="B12" i="1"/>
  <c r="B36" i="1" l="1"/>
  <c r="B8" i="1" s="1"/>
  <c r="B29" i="1"/>
  <c r="B4" i="1" l="1"/>
  <c r="O29" i="1"/>
</calcChain>
</file>

<file path=xl/sharedStrings.xml><?xml version="1.0" encoding="utf-8"?>
<sst xmlns="http://schemas.openxmlformats.org/spreadsheetml/2006/main" count="365" uniqueCount="82">
  <si>
    <t>Biomass cost</t>
  </si>
  <si>
    <t>Production rate</t>
  </si>
  <si>
    <t>CAPEX</t>
  </si>
  <si>
    <t>Fixed OPEX</t>
  </si>
  <si>
    <t>Variable OPEX</t>
  </si>
  <si>
    <t>Lifetime</t>
  </si>
  <si>
    <t>years</t>
  </si>
  <si>
    <t>Gasifier</t>
  </si>
  <si>
    <t>DME production rate</t>
  </si>
  <si>
    <t>kg_DME/h</t>
  </si>
  <si>
    <t>kg_DME/kg_H2</t>
  </si>
  <si>
    <t>Electricity Consumption</t>
  </si>
  <si>
    <t>kWh/kg_DME</t>
  </si>
  <si>
    <t>Biomass mass flow rate</t>
  </si>
  <si>
    <t>Hydrogen mass flow rate</t>
  </si>
  <si>
    <t>Electricity Gasifier</t>
  </si>
  <si>
    <t>Oxygen mass flow rate gasifier</t>
  </si>
  <si>
    <t>Electricity DME synthesis</t>
  </si>
  <si>
    <t>DME production</t>
  </si>
  <si>
    <t>Biochar mass flow rate</t>
  </si>
  <si>
    <t>CAPEX DME synthesis</t>
  </si>
  <si>
    <t>Fixed OPEX DME synthesis</t>
  </si>
  <si>
    <t>Variable OPEX DME synthesis</t>
  </si>
  <si>
    <t>kg/s</t>
  </si>
  <si>
    <t>Mass flow rate</t>
  </si>
  <si>
    <t>mass fraction H2</t>
  </si>
  <si>
    <t>kW</t>
  </si>
  <si>
    <t>$2022</t>
  </si>
  <si>
    <t>Cooling demand</t>
  </si>
  <si>
    <t>DH production</t>
  </si>
  <si>
    <t>PH production</t>
  </si>
  <si>
    <t>District heating production</t>
  </si>
  <si>
    <t>Process heat production</t>
  </si>
  <si>
    <t>$2022/year</t>
  </si>
  <si>
    <t>T_in</t>
  </si>
  <si>
    <t>T_out</t>
  </si>
  <si>
    <t>m_dot</t>
  </si>
  <si>
    <t>Cooling water cost</t>
  </si>
  <si>
    <t>$/1000 kg</t>
  </si>
  <si>
    <t>POX</t>
  </si>
  <si>
    <t>Refrigeration Capacity</t>
  </si>
  <si>
    <t>COP</t>
  </si>
  <si>
    <t>Electricity</t>
  </si>
  <si>
    <t>€/GJ</t>
  </si>
  <si>
    <t>Heating value</t>
  </si>
  <si>
    <t>GJ/ton</t>
  </si>
  <si>
    <t>Reference for both Bang et al. "Analysis of biomass prices" 2013. Price projection for 2030</t>
  </si>
  <si>
    <t>$/t</t>
  </si>
  <si>
    <t>Export prices from China according to data from International Bamboo and Rattan organisation. Maybe we should also calculate with 150 $/t, corresponding to price of wood chips</t>
  </si>
  <si>
    <t>Condenser Capacity Refrigeration</t>
  </si>
  <si>
    <t>OPEX Cooling water</t>
  </si>
  <si>
    <t>OPEX biomass</t>
  </si>
  <si>
    <t>OPEX biochar</t>
  </si>
  <si>
    <t>Carbon price</t>
  </si>
  <si>
    <t>$/t_C</t>
  </si>
  <si>
    <t>$/t_CO2</t>
  </si>
  <si>
    <t>M_C</t>
  </si>
  <si>
    <t>g/mol</t>
  </si>
  <si>
    <t>M_CO2</t>
  </si>
  <si>
    <t>Carbon Content</t>
  </si>
  <si>
    <t>Mass%</t>
  </si>
  <si>
    <t>DME synthesis plant including gasifier</t>
  </si>
  <si>
    <t>€/t_CO2</t>
  </si>
  <si>
    <t>€/t_C</t>
  </si>
  <si>
    <t>€/s</t>
  </si>
  <si>
    <t>Exchange rate</t>
  </si>
  <si>
    <t>$_2022/€_2022</t>
  </si>
  <si>
    <t>€2022/year</t>
  </si>
  <si>
    <t>€2022/</t>
  </si>
  <si>
    <t>€/(kg_DME/h)</t>
  </si>
  <si>
    <t>€/(kg_DME/h)/year</t>
  </si>
  <si>
    <t>€/t_DME</t>
  </si>
  <si>
    <t>Electricity Consumption SOEC</t>
  </si>
  <si>
    <t>kWh/kg_H2</t>
  </si>
  <si>
    <t>Biomass price</t>
  </si>
  <si>
    <t>€/t</t>
  </si>
  <si>
    <t>Biomass rate</t>
  </si>
  <si>
    <t>kg_Biomass/kg_DME</t>
  </si>
  <si>
    <t>Biochar rate</t>
  </si>
  <si>
    <t>kg_biochar/kg_DME</t>
  </si>
  <si>
    <t>Variable OPEX (without biomass)</t>
  </si>
  <si>
    <t>Biochar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</si>
</sst>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€-2]\ #,##0;[Red]\-[$€-2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0" fillId="2" borderId="0" xfId="0" applyFill="1"/>
    <xf numFmtId="164" fontId="1" fillId="3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0" fillId="3" borderId="0" xfId="0" applyFill="1"/>
    <xf numFmtId="9" fontId="1" fillId="2" borderId="0" xfId="1" applyFont="1" applyFill="1"/>
    <xf numFmtId="0" fontId="1" fillId="3" borderId="0" xfId="0" applyFont="1" applyFill="1"/>
    <xf numFmtId="165" fontId="0" fillId="0" borderId="0" xfId="0" applyNumberFormat="1"/>
    <xf numFmtId="1" fontId="0" fillId="3" borderId="0" xfId="0" applyNumberFormat="1" applyFill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0" workbookViewId="0">
      <selection activeCell="B18" sqref="B18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B31/B29</f>
        <v>7.2828136258856428</v>
      </c>
      <c r="C4" t="s">
        <v>10</v>
      </c>
      <c r="D4" s="6"/>
      <c r="E4"/>
    </row>
    <row r="5" spans="1:5" x14ac:dyDescent="0.35">
      <c r="A5" s="5" t="s">
        <v>11</v>
      </c>
      <c r="B5" s="10">
        <f>(B33+B32)/B31/3600</f>
        <v>0.17779352175154972</v>
      </c>
      <c r="C5" t="s">
        <v>12</v>
      </c>
      <c r="D5" s="6"/>
      <c r="E5"/>
    </row>
    <row r="6" spans="1:5" x14ac:dyDescent="0.35">
      <c r="A6" s="5" t="s">
        <v>2</v>
      </c>
      <c r="B6" s="10">
        <f>D34/B31/3600</f>
        <v>9955.9182202565353</v>
      </c>
      <c r="C6" t="s">
        <v>69</v>
      </c>
      <c r="D6" s="6"/>
      <c r="E6"/>
    </row>
    <row r="7" spans="1:5" x14ac:dyDescent="0.35">
      <c r="A7" s="5" t="s">
        <v>3</v>
      </c>
      <c r="B7" s="10">
        <f>D35/B31/3600</f>
        <v>1036.6625586795012</v>
      </c>
      <c r="C7" t="s">
        <v>70</v>
      </c>
      <c r="D7" s="6"/>
      <c r="E7"/>
    </row>
    <row r="8" spans="1:5" x14ac:dyDescent="0.35">
      <c r="A8" s="5" t="s">
        <v>80</v>
      </c>
      <c r="B8" s="10">
        <f>B36/B31*1000</f>
        <v>3.9512108909376153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B39/B31/3600</f>
        <v>1.5427953853631085</v>
      </c>
      <c r="C11" t="s">
        <v>12</v>
      </c>
      <c r="D11" s="6"/>
      <c r="E11"/>
    </row>
    <row r="12" spans="1:5" x14ac:dyDescent="0.35">
      <c r="A12" s="5" t="s">
        <v>32</v>
      </c>
      <c r="B12" s="10">
        <f>B40/B31/3600</f>
        <v>0.20956970131055003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x14ac:dyDescent="0.35">
      <c r="A16" s="5" t="s">
        <v>74</v>
      </c>
      <c r="B16">
        <f>B25/B41</f>
        <v>142.45014245014247</v>
      </c>
      <c r="C16" t="s">
        <v>75</v>
      </c>
      <c r="D16" s="6"/>
      <c r="E16"/>
    </row>
    <row r="17" spans="1:15" x14ac:dyDescent="0.35">
      <c r="A17" s="5" t="s">
        <v>76</v>
      </c>
      <c r="B17" s="10">
        <f>B27/B31</f>
        <v>1.5394204205356457</v>
      </c>
      <c r="C17" t="s">
        <v>77</v>
      </c>
      <c r="D17" s="6"/>
      <c r="E17"/>
    </row>
    <row r="18" spans="1:15" x14ac:dyDescent="0.35">
      <c r="A18" s="5" t="s">
        <v>78</v>
      </c>
      <c r="B18" s="10"/>
      <c r="D18" s="6"/>
      <c r="E18"/>
    </row>
    <row r="19" spans="1:15" ht="15" thickBot="1" x14ac:dyDescent="0.4">
      <c r="A19" s="7"/>
      <c r="B19" s="8"/>
      <c r="C19" s="8"/>
      <c r="D19" s="9"/>
      <c r="E19"/>
    </row>
    <row r="25" spans="1:15" x14ac:dyDescent="0.35">
      <c r="A25" s="1" t="s">
        <v>0</v>
      </c>
      <c r="B25" s="11">
        <v>150</v>
      </c>
      <c r="C25" t="s">
        <v>47</v>
      </c>
      <c r="D25" t="s">
        <v>48</v>
      </c>
    </row>
    <row r="26" spans="1:15" x14ac:dyDescent="0.35">
      <c r="A26" s="1" t="s">
        <v>53</v>
      </c>
      <c r="B26" s="12">
        <f>D26*J26/G26</f>
        <v>366.66666666666669</v>
      </c>
      <c r="C26" t="s">
        <v>63</v>
      </c>
      <c r="D26" s="11">
        <v>100</v>
      </c>
      <c r="E26" t="s">
        <v>62</v>
      </c>
      <c r="F26" t="s">
        <v>56</v>
      </c>
      <c r="G26" s="16">
        <v>12</v>
      </c>
      <c r="H26" t="s">
        <v>57</v>
      </c>
      <c r="I26" t="s">
        <v>58</v>
      </c>
      <c r="J26" s="16">
        <f>12+2*16</f>
        <v>44</v>
      </c>
      <c r="K26" t="s">
        <v>57</v>
      </c>
    </row>
    <row r="27" spans="1:15" x14ac:dyDescent="0.35">
      <c r="A27" s="1" t="s">
        <v>13</v>
      </c>
      <c r="B27" s="14">
        <v>3.2096300000000002</v>
      </c>
      <c r="C27" t="s">
        <v>23</v>
      </c>
    </row>
    <row r="28" spans="1:15" x14ac:dyDescent="0.35">
      <c r="A28" s="1" t="s">
        <v>19</v>
      </c>
      <c r="B28" s="14">
        <v>0</v>
      </c>
      <c r="C28" t="s">
        <v>23</v>
      </c>
      <c r="D28" t="s">
        <v>59</v>
      </c>
      <c r="E28" s="17">
        <v>0.37336799999999998</v>
      </c>
      <c r="F28" t="s">
        <v>60</v>
      </c>
    </row>
    <row r="29" spans="1:15" x14ac:dyDescent="0.35">
      <c r="A29" s="1" t="s">
        <v>14</v>
      </c>
      <c r="B29" s="13">
        <f>E29*H29</f>
        <v>0.28628495896</v>
      </c>
      <c r="C29" t="s">
        <v>23</v>
      </c>
      <c r="D29" t="s">
        <v>24</v>
      </c>
      <c r="E29" s="15">
        <v>0.29372199999999998</v>
      </c>
      <c r="F29" t="s">
        <v>23</v>
      </c>
      <c r="G29" t="s">
        <v>25</v>
      </c>
      <c r="H29" s="11">
        <v>0.97467999999999999</v>
      </c>
      <c r="M29">
        <v>35290</v>
      </c>
      <c r="N29" t="s">
        <v>26</v>
      </c>
      <c r="O29">
        <f>M29/B29/3600</f>
        <v>34.241330083804478</v>
      </c>
    </row>
    <row r="30" spans="1:15" x14ac:dyDescent="0.35">
      <c r="A30" s="1" t="s">
        <v>16</v>
      </c>
      <c r="B30" s="14">
        <v>0.93642700000000001</v>
      </c>
      <c r="C30" t="s">
        <v>23</v>
      </c>
    </row>
    <row r="31" spans="1:15" x14ac:dyDescent="0.35">
      <c r="A31" s="1" t="s">
        <v>18</v>
      </c>
      <c r="B31" s="14">
        <v>2.0849600000000001</v>
      </c>
      <c r="C31" t="s">
        <v>23</v>
      </c>
    </row>
    <row r="32" spans="1:15" x14ac:dyDescent="0.35">
      <c r="A32" s="1" t="s">
        <v>15</v>
      </c>
      <c r="B32" s="14">
        <f>81+65+45*3.6*0.601806</f>
        <v>243.492572</v>
      </c>
      <c r="C32" t="s">
        <v>26</v>
      </c>
    </row>
    <row r="33" spans="1:12" x14ac:dyDescent="0.35">
      <c r="A33" s="1" t="s">
        <v>17</v>
      </c>
      <c r="B33" s="14">
        <f>832+3+119+556-470+1+1+43+6</f>
        <v>1091</v>
      </c>
      <c r="C33" t="s">
        <v>26</v>
      </c>
    </row>
    <row r="34" spans="1:12" x14ac:dyDescent="0.35">
      <c r="A34" s="1" t="s">
        <v>20</v>
      </c>
      <c r="B34" s="21">
        <v>78688256</v>
      </c>
      <c r="C34" t="s">
        <v>27</v>
      </c>
      <c r="D34" s="16">
        <f>B34/B41</f>
        <v>74727688.509021848</v>
      </c>
      <c r="E34" s="19" t="s">
        <v>68</v>
      </c>
    </row>
    <row r="35" spans="1:12" x14ac:dyDescent="0.35">
      <c r="A35" s="1" t="s">
        <v>21</v>
      </c>
      <c r="B35" s="21">
        <v>8193435</v>
      </c>
      <c r="C35" t="s">
        <v>33</v>
      </c>
      <c r="D35" s="16">
        <f>B35/B41</f>
        <v>7781039.8860398866</v>
      </c>
      <c r="E35" t="s">
        <v>67</v>
      </c>
    </row>
    <row r="36" spans="1:12" x14ac:dyDescent="0.35">
      <c r="A36" s="1" t="s">
        <v>22</v>
      </c>
      <c r="B36" s="13">
        <f>E36+H36+K36</f>
        <v>8.2381166591692923E-3</v>
      </c>
      <c r="C36" t="s">
        <v>64</v>
      </c>
      <c r="D36" t="s">
        <v>50</v>
      </c>
      <c r="E36" s="18">
        <f>B37*I38/1000/B41</f>
        <v>8.2381166591692923E-3</v>
      </c>
      <c r="F36" s="1" t="s">
        <v>64</v>
      </c>
      <c r="G36" t="s">
        <v>51</v>
      </c>
      <c r="H36" s="16">
        <f>B25*B27/1000/B41*0</f>
        <v>0</v>
      </c>
      <c r="I36" s="1" t="s">
        <v>64</v>
      </c>
      <c r="J36" s="1" t="s">
        <v>52</v>
      </c>
      <c r="K36" s="16">
        <f>-B28*E28*B26</f>
        <v>0</v>
      </c>
      <c r="L36" s="1" t="s">
        <v>64</v>
      </c>
    </row>
    <row r="37" spans="1:12" x14ac:dyDescent="0.35">
      <c r="A37" s="1" t="s">
        <v>37</v>
      </c>
      <c r="B37" s="14">
        <v>6.7000000000000004E-2</v>
      </c>
      <c r="C37" t="s">
        <v>38</v>
      </c>
    </row>
    <row r="38" spans="1:12" x14ac:dyDescent="0.35">
      <c r="A38" s="1" t="s">
        <v>28</v>
      </c>
      <c r="B38" s="11">
        <v>2706</v>
      </c>
      <c r="C38" t="s">
        <v>26</v>
      </c>
      <c r="D38" t="s">
        <v>34</v>
      </c>
      <c r="E38" s="15">
        <v>15</v>
      </c>
      <c r="F38" t="s">
        <v>35</v>
      </c>
      <c r="G38" s="11">
        <v>20</v>
      </c>
      <c r="H38" t="s">
        <v>36</v>
      </c>
      <c r="I38" s="16">
        <f>B38/(4.18*(G38-E38))</f>
        <v>129.47368421052633</v>
      </c>
      <c r="J38" t="s">
        <v>23</v>
      </c>
    </row>
    <row r="39" spans="1:12" x14ac:dyDescent="0.35">
      <c r="A39" s="1" t="s">
        <v>29</v>
      </c>
      <c r="B39" s="11">
        <v>11580</v>
      </c>
      <c r="C39" t="s">
        <v>26</v>
      </c>
    </row>
    <row r="40" spans="1:12" x14ac:dyDescent="0.35">
      <c r="A40" s="1" t="s">
        <v>30</v>
      </c>
      <c r="B40" s="14">
        <v>1573</v>
      </c>
      <c r="C40" t="s">
        <v>26</v>
      </c>
    </row>
    <row r="41" spans="1:12" x14ac:dyDescent="0.35">
      <c r="A41" s="1" t="s">
        <v>65</v>
      </c>
      <c r="B41" s="14">
        <v>1.0529999999999999</v>
      </c>
      <c r="C41" t="s">
        <v>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10" workbookViewId="0">
      <selection activeCell="B8" sqref="B8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9.1796875" customWidth="1"/>
    <col min="5" max="5" width="23.816406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B30/B28</f>
        <v>11.905740150986952</v>
      </c>
      <c r="C4" t="s">
        <v>10</v>
      </c>
      <c r="D4" s="6"/>
      <c r="E4"/>
    </row>
    <row r="5" spans="1:5" x14ac:dyDescent="0.35">
      <c r="A5" s="5" t="s">
        <v>11</v>
      </c>
      <c r="B5" s="10">
        <f>(B32+B31)/B30/3600</f>
        <v>0.31902362389921096</v>
      </c>
      <c r="C5" t="s">
        <v>12</v>
      </c>
      <c r="D5" s="6"/>
      <c r="E5"/>
    </row>
    <row r="6" spans="1:5" x14ac:dyDescent="0.35">
      <c r="A6" s="5" t="s">
        <v>2</v>
      </c>
      <c r="B6" s="10">
        <f>D33/B30/3600</f>
        <v>12789.455729394342</v>
      </c>
      <c r="C6" t="s">
        <v>69</v>
      </c>
      <c r="D6" s="6"/>
      <c r="E6"/>
    </row>
    <row r="7" spans="1:5" x14ac:dyDescent="0.35">
      <c r="A7" s="5" t="s">
        <v>3</v>
      </c>
      <c r="B7" s="10">
        <f>D34/B30/3600</f>
        <v>1209.5050327893491</v>
      </c>
      <c r="C7" t="s">
        <v>70</v>
      </c>
      <c r="D7" s="6"/>
      <c r="E7"/>
    </row>
    <row r="8" spans="1:5" x14ac:dyDescent="0.35">
      <c r="A8" s="5" t="s">
        <v>4</v>
      </c>
      <c r="B8" s="10">
        <f>B35/B30*1000</f>
        <v>9.3267946332185971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B38/B30/3600</f>
        <v>0.5132116014600151</v>
      </c>
      <c r="C11" t="s">
        <v>12</v>
      </c>
      <c r="D11" s="6"/>
      <c r="E11"/>
    </row>
    <row r="12" spans="1:5" x14ac:dyDescent="0.35">
      <c r="A12" s="5" t="s">
        <v>32</v>
      </c>
      <c r="B12" s="10">
        <f>B39/B30/3600</f>
        <v>1.4282524318928771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x14ac:dyDescent="0.35">
      <c r="A16" s="5" t="s">
        <v>74</v>
      </c>
      <c r="B16">
        <f>B24/B40</f>
        <v>142.45014245014247</v>
      </c>
      <c r="C16" t="s">
        <v>75</v>
      </c>
      <c r="D16" s="6"/>
      <c r="E16"/>
    </row>
    <row r="17" spans="1:15" x14ac:dyDescent="0.35">
      <c r="A17" s="5" t="s">
        <v>76</v>
      </c>
      <c r="B17" s="10">
        <f>B26/B30</f>
        <v>2.213112316598798</v>
      </c>
      <c r="C17" t="s">
        <v>77</v>
      </c>
      <c r="D17" s="6"/>
      <c r="E17"/>
    </row>
    <row r="18" spans="1:15" ht="15" thickBot="1" x14ac:dyDescent="0.4">
      <c r="A18" s="7"/>
      <c r="B18" s="8"/>
      <c r="C18" s="8"/>
      <c r="D18" s="9"/>
      <c r="E18"/>
    </row>
    <row r="24" spans="1:15" x14ac:dyDescent="0.35">
      <c r="A24" s="1" t="s">
        <v>0</v>
      </c>
      <c r="B24" s="11">
        <v>150</v>
      </c>
      <c r="C24" t="s">
        <v>47</v>
      </c>
      <c r="D24" t="s">
        <v>48</v>
      </c>
    </row>
    <row r="25" spans="1:15" x14ac:dyDescent="0.35">
      <c r="A25" s="1" t="s">
        <v>53</v>
      </c>
      <c r="B25" s="12">
        <f>D25*J25/G25</f>
        <v>366.66666666666669</v>
      </c>
      <c r="C25" t="s">
        <v>63</v>
      </c>
      <c r="D25" s="11">
        <v>100</v>
      </c>
      <c r="E25" t="s">
        <v>62</v>
      </c>
      <c r="F25" t="s">
        <v>56</v>
      </c>
      <c r="G25" s="16">
        <v>12</v>
      </c>
      <c r="H25" t="s">
        <v>57</v>
      </c>
      <c r="I25" t="s">
        <v>58</v>
      </c>
      <c r="J25" s="16">
        <f>12+2*16</f>
        <v>44</v>
      </c>
      <c r="K25" t="s">
        <v>57</v>
      </c>
    </row>
    <row r="26" spans="1:15" x14ac:dyDescent="0.35">
      <c r="A26" s="1" t="s">
        <v>13</v>
      </c>
      <c r="B26" s="14">
        <v>4.6141399999999999</v>
      </c>
      <c r="C26" t="s">
        <v>23</v>
      </c>
    </row>
    <row r="27" spans="1:15" x14ac:dyDescent="0.35">
      <c r="A27" s="1" t="s">
        <v>19</v>
      </c>
      <c r="B27" s="14">
        <v>0</v>
      </c>
      <c r="C27" t="s">
        <v>23</v>
      </c>
      <c r="D27" t="s">
        <v>59</v>
      </c>
      <c r="E27" s="17">
        <v>0.37336799999999998</v>
      </c>
      <c r="F27" t="s">
        <v>60</v>
      </c>
    </row>
    <row r="28" spans="1:15" x14ac:dyDescent="0.35">
      <c r="A28" s="1" t="s">
        <v>14</v>
      </c>
      <c r="B28" s="13">
        <f>E28*H28</f>
        <v>0.17511805008</v>
      </c>
      <c r="C28" t="s">
        <v>23</v>
      </c>
      <c r="D28" t="s">
        <v>24</v>
      </c>
      <c r="E28" s="15">
        <v>0.17971000000000001</v>
      </c>
      <c r="F28" t="s">
        <v>23</v>
      </c>
      <c r="G28" t="s">
        <v>25</v>
      </c>
      <c r="H28" s="11">
        <v>0.97444799999999998</v>
      </c>
      <c r="M28">
        <v>21586</v>
      </c>
      <c r="N28" t="s">
        <v>26</v>
      </c>
      <c r="O28">
        <f>M28/B28/3600</f>
        <v>34.240394456036256</v>
      </c>
    </row>
    <row r="29" spans="1:15" x14ac:dyDescent="0.35">
      <c r="A29" s="1" t="s">
        <v>16</v>
      </c>
      <c r="B29" s="14">
        <v>1.3897900000000001</v>
      </c>
      <c r="C29" t="s">
        <v>23</v>
      </c>
    </row>
    <row r="30" spans="1:15" x14ac:dyDescent="0.35">
      <c r="A30" s="1" t="s">
        <v>18</v>
      </c>
      <c r="B30" s="14">
        <v>2.0849099999999998</v>
      </c>
      <c r="C30" t="s">
        <v>23</v>
      </c>
    </row>
    <row r="31" spans="1:15" x14ac:dyDescent="0.35">
      <c r="A31" s="1" t="s">
        <v>15</v>
      </c>
      <c r="B31" s="14">
        <f>128+94+45*3.6*0.865152</f>
        <v>362.15462400000001</v>
      </c>
      <c r="C31" t="s">
        <v>26</v>
      </c>
    </row>
    <row r="32" spans="1:15" x14ac:dyDescent="0.35">
      <c r="A32" s="1" t="s">
        <v>17</v>
      </c>
      <c r="B32" s="14">
        <f>5+149+48+1-633+2+179+344+4+Q37</f>
        <v>2032.3333333333335</v>
      </c>
      <c r="C32" t="s">
        <v>26</v>
      </c>
    </row>
    <row r="33" spans="1:20" x14ac:dyDescent="0.35">
      <c r="A33" s="1" t="s">
        <v>20</v>
      </c>
      <c r="B33" s="21">
        <v>101081167</v>
      </c>
      <c r="C33" t="s">
        <v>27</v>
      </c>
      <c r="D33" s="20">
        <f>B33/B40</f>
        <v>95993510.921177596</v>
      </c>
      <c r="E33" s="19" t="s">
        <v>68</v>
      </c>
    </row>
    <row r="34" spans="1:20" x14ac:dyDescent="0.35">
      <c r="A34" s="1" t="s">
        <v>21</v>
      </c>
      <c r="B34" s="21">
        <v>9559295</v>
      </c>
      <c r="C34" t="s">
        <v>33</v>
      </c>
      <c r="D34" s="20">
        <f>B34/B40</f>
        <v>9078152.8964862302</v>
      </c>
      <c r="E34" t="s">
        <v>67</v>
      </c>
    </row>
    <row r="35" spans="1:20" x14ac:dyDescent="0.35">
      <c r="A35" s="1" t="s">
        <v>22</v>
      </c>
      <c r="B35" s="13">
        <f>E35+H35+K35</f>
        <v>1.9445527398743782E-2</v>
      </c>
      <c r="C35" t="s">
        <v>64</v>
      </c>
      <c r="D35" t="s">
        <v>50</v>
      </c>
      <c r="E35" s="18">
        <f>B36*I37/1000/B40</f>
        <v>1.9445527398743782E-2</v>
      </c>
      <c r="F35" s="1" t="s">
        <v>64</v>
      </c>
      <c r="G35" t="s">
        <v>51</v>
      </c>
      <c r="H35" s="16">
        <f>B24*B26/1000/B40*0</f>
        <v>0</v>
      </c>
      <c r="I35" s="1" t="s">
        <v>64</v>
      </c>
      <c r="J35" s="1" t="s">
        <v>52</v>
      </c>
      <c r="K35" s="16">
        <f>-B27*E27*B25</f>
        <v>0</v>
      </c>
      <c r="L35" s="1" t="s">
        <v>64</v>
      </c>
    </row>
    <row r="36" spans="1:20" x14ac:dyDescent="0.35">
      <c r="A36" s="1" t="s">
        <v>37</v>
      </c>
      <c r="B36" s="14">
        <v>6.7000000000000004E-2</v>
      </c>
      <c r="C36" t="s">
        <v>38</v>
      </c>
    </row>
    <row r="37" spans="1:20" x14ac:dyDescent="0.35">
      <c r="A37" s="1" t="s">
        <v>28</v>
      </c>
      <c r="B37" s="11">
        <v>2134</v>
      </c>
      <c r="C37" t="s">
        <v>26</v>
      </c>
      <c r="D37" t="s">
        <v>34</v>
      </c>
      <c r="E37" s="15">
        <v>15</v>
      </c>
      <c r="F37" t="s">
        <v>35</v>
      </c>
      <c r="G37" s="11">
        <v>20</v>
      </c>
      <c r="H37" t="s">
        <v>36</v>
      </c>
      <c r="I37" s="16">
        <f>(B37+T37)/(4.18*(G37-E37))</f>
        <v>305.61403508771934</v>
      </c>
      <c r="J37" t="s">
        <v>23</v>
      </c>
      <c r="K37" t="s">
        <v>40</v>
      </c>
      <c r="L37" s="11">
        <v>2320</v>
      </c>
      <c r="M37" t="s">
        <v>26</v>
      </c>
      <c r="N37" t="s">
        <v>41</v>
      </c>
      <c r="O37" s="11">
        <v>1.2</v>
      </c>
      <c r="P37" t="s">
        <v>42</v>
      </c>
      <c r="Q37" s="16">
        <f>L37/O37</f>
        <v>1933.3333333333335</v>
      </c>
      <c r="R37" t="s">
        <v>26</v>
      </c>
      <c r="S37" t="s">
        <v>49</v>
      </c>
      <c r="T37" s="16">
        <f>(Q37+L37)</f>
        <v>4253.3333333333339</v>
      </c>
    </row>
    <row r="38" spans="1:20" x14ac:dyDescent="0.35">
      <c r="A38" s="1" t="s">
        <v>29</v>
      </c>
      <c r="B38" s="11">
        <v>3852</v>
      </c>
      <c r="C38" t="s">
        <v>26</v>
      </c>
    </row>
    <row r="39" spans="1:20" x14ac:dyDescent="0.35">
      <c r="A39" s="1" t="s">
        <v>30</v>
      </c>
      <c r="B39" s="14">
        <v>10720</v>
      </c>
      <c r="C39" t="s">
        <v>26</v>
      </c>
    </row>
    <row r="40" spans="1:20" x14ac:dyDescent="0.35">
      <c r="A40" s="1" t="s">
        <v>65</v>
      </c>
      <c r="B40" s="14">
        <v>1.0529999999999999</v>
      </c>
      <c r="C40" t="s">
        <v>66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6" workbookViewId="0">
      <selection activeCell="C20" sqref="C20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3.45312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B32/B30</f>
        <v>6.5706644363705475</v>
      </c>
      <c r="C4" t="s">
        <v>10</v>
      </c>
      <c r="D4" s="6"/>
      <c r="E4"/>
    </row>
    <row r="5" spans="1:5" x14ac:dyDescent="0.35">
      <c r="A5" s="5" t="s">
        <v>11</v>
      </c>
      <c r="B5" s="10">
        <f>(B34+B33)/B32/3600</f>
        <v>0.63595534002625365</v>
      </c>
      <c r="C5" t="s">
        <v>12</v>
      </c>
      <c r="D5" s="6"/>
      <c r="E5"/>
    </row>
    <row r="6" spans="1:5" x14ac:dyDescent="0.35">
      <c r="A6" s="5" t="s">
        <v>2</v>
      </c>
      <c r="B6" s="10">
        <f>D35/B32/3600</f>
        <v>12113.806443122498</v>
      </c>
      <c r="C6" t="s">
        <v>69</v>
      </c>
      <c r="D6" s="6"/>
      <c r="E6"/>
    </row>
    <row r="7" spans="1:5" x14ac:dyDescent="0.35">
      <c r="A7" s="5" t="s">
        <v>3</v>
      </c>
      <c r="B7" s="10">
        <f>D36/B32/3600</f>
        <v>1167.0534485870892</v>
      </c>
      <c r="C7" t="s">
        <v>70</v>
      </c>
      <c r="D7" s="6"/>
      <c r="E7"/>
    </row>
    <row r="8" spans="1:5" x14ac:dyDescent="0.35">
      <c r="A8" s="5" t="s">
        <v>4</v>
      </c>
      <c r="B8" s="10">
        <f>B37/B32*1000</f>
        <v>4.0493722258800551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B40/B32/3600</f>
        <v>1.6641697458470373</v>
      </c>
      <c r="C11" t="s">
        <v>12</v>
      </c>
      <c r="D11" s="6"/>
      <c r="E11"/>
    </row>
    <row r="12" spans="1:5" x14ac:dyDescent="0.35">
      <c r="A12" s="5" t="s">
        <v>32</v>
      </c>
      <c r="B12" s="10">
        <f>B41/B32/3600</f>
        <v>1.1020294610008683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x14ac:dyDescent="0.35">
      <c r="A16" s="5" t="s">
        <v>74</v>
      </c>
      <c r="B16">
        <f>B26*E26</f>
        <v>92.800000000000011</v>
      </c>
      <c r="C16" t="s">
        <v>75</v>
      </c>
      <c r="D16" s="6"/>
      <c r="E16"/>
    </row>
    <row r="17" spans="1:15" x14ac:dyDescent="0.35">
      <c r="A17" s="5" t="s">
        <v>76</v>
      </c>
      <c r="B17" s="10">
        <f>B28/B32</f>
        <v>1.8159239060049215</v>
      </c>
      <c r="C17" t="s">
        <v>77</v>
      </c>
      <c r="D17" s="6"/>
      <c r="E17"/>
    </row>
    <row r="18" spans="1:15" x14ac:dyDescent="0.35">
      <c r="A18" s="5" t="s">
        <v>78</v>
      </c>
      <c r="B18" s="10">
        <f>B29/B32</f>
        <v>0.16691944992061553</v>
      </c>
      <c r="C18" t="s">
        <v>79</v>
      </c>
      <c r="D18" s="6"/>
      <c r="E18"/>
    </row>
    <row r="19" spans="1:15" x14ac:dyDescent="0.35">
      <c r="A19" s="5" t="s">
        <v>81</v>
      </c>
      <c r="B19" s="10">
        <f>B27*E29</f>
        <v>136.9016</v>
      </c>
      <c r="C19" t="s">
        <v>75</v>
      </c>
      <c r="D19" s="6"/>
      <c r="E19"/>
    </row>
    <row r="20" spans="1:15" ht="15" thickBot="1" x14ac:dyDescent="0.4">
      <c r="A20" s="7"/>
      <c r="B20" s="8"/>
      <c r="C20" s="8"/>
      <c r="D20" s="9"/>
      <c r="E20"/>
    </row>
    <row r="25" spans="1:15" x14ac:dyDescent="0.35">
      <c r="E25" s="1">
        <f>E26*B26</f>
        <v>92.800000000000011</v>
      </c>
    </row>
    <row r="26" spans="1:15" x14ac:dyDescent="0.35">
      <c r="A26" s="1" t="s">
        <v>0</v>
      </c>
      <c r="B26" s="11">
        <v>6.4</v>
      </c>
      <c r="C26" t="s">
        <v>43</v>
      </c>
      <c r="D26" t="s">
        <v>44</v>
      </c>
      <c r="E26" s="1">
        <v>14.5</v>
      </c>
      <c r="F26" t="s">
        <v>45</v>
      </c>
      <c r="G26" t="s">
        <v>46</v>
      </c>
    </row>
    <row r="27" spans="1:15" x14ac:dyDescent="0.35">
      <c r="A27" s="1" t="s">
        <v>53</v>
      </c>
      <c r="B27" s="12">
        <f>D27*J27/G27</f>
        <v>366.66666666666669</v>
      </c>
      <c r="C27" t="s">
        <v>63</v>
      </c>
      <c r="D27" s="11">
        <v>100</v>
      </c>
      <c r="E27" t="s">
        <v>62</v>
      </c>
      <c r="F27" t="s">
        <v>56</v>
      </c>
      <c r="G27" s="16">
        <v>12</v>
      </c>
      <c r="H27" t="s">
        <v>57</v>
      </c>
      <c r="I27" t="s">
        <v>58</v>
      </c>
      <c r="J27" s="16">
        <f>12+2*16</f>
        <v>44</v>
      </c>
      <c r="K27" t="s">
        <v>57</v>
      </c>
    </row>
    <row r="28" spans="1:15" x14ac:dyDescent="0.35">
      <c r="A28" s="1" t="s">
        <v>13</v>
      </c>
      <c r="B28" s="14">
        <v>3.7858200000000002</v>
      </c>
      <c r="C28" t="s">
        <v>23</v>
      </c>
    </row>
    <row r="29" spans="1:15" x14ac:dyDescent="0.35">
      <c r="A29" s="1" t="s">
        <v>19</v>
      </c>
      <c r="B29" s="14">
        <v>0.34799200000000002</v>
      </c>
      <c r="C29" t="s">
        <v>23</v>
      </c>
      <c r="D29" t="s">
        <v>59</v>
      </c>
      <c r="E29" s="17">
        <v>0.37336799999999998</v>
      </c>
      <c r="F29" t="s">
        <v>60</v>
      </c>
    </row>
    <row r="30" spans="1:15" x14ac:dyDescent="0.35">
      <c r="A30" s="1" t="s">
        <v>14</v>
      </c>
      <c r="B30" s="13">
        <f>E30*H30</f>
        <v>0.31728754682100002</v>
      </c>
      <c r="C30" t="s">
        <v>23</v>
      </c>
      <c r="D30" t="s">
        <v>24</v>
      </c>
      <c r="E30" s="15">
        <v>0.394623</v>
      </c>
      <c r="F30" t="s">
        <v>23</v>
      </c>
      <c r="G30" t="s">
        <v>25</v>
      </c>
      <c r="H30" s="11">
        <v>0.80402700000000005</v>
      </c>
      <c r="M30">
        <v>39083</v>
      </c>
      <c r="N30" t="s">
        <v>26</v>
      </c>
      <c r="O30">
        <f>M30/B30/3600</f>
        <v>34.21624642272392</v>
      </c>
    </row>
    <row r="31" spans="1:15" x14ac:dyDescent="0.35">
      <c r="A31" s="1" t="s">
        <v>16</v>
      </c>
      <c r="B31" s="14">
        <f>E31+H31</f>
        <v>1.385491</v>
      </c>
      <c r="C31" t="s">
        <v>23</v>
      </c>
      <c r="D31" t="s">
        <v>7</v>
      </c>
      <c r="E31" s="1">
        <v>0.65682499999999999</v>
      </c>
      <c r="F31" t="s">
        <v>23</v>
      </c>
      <c r="G31" t="s">
        <v>39</v>
      </c>
      <c r="H31">
        <v>0.72866600000000004</v>
      </c>
      <c r="I31" t="s">
        <v>23</v>
      </c>
    </row>
    <row r="32" spans="1:15" x14ac:dyDescent="0.35">
      <c r="A32" s="1" t="s">
        <v>18</v>
      </c>
      <c r="B32" s="14">
        <v>2.0847899999999999</v>
      </c>
      <c r="C32" t="s">
        <v>23</v>
      </c>
    </row>
    <row r="33" spans="1:12" x14ac:dyDescent="0.35">
      <c r="A33" s="1" t="s">
        <v>15</v>
      </c>
      <c r="B33" s="14">
        <v>0</v>
      </c>
      <c r="C33" t="s">
        <v>26</v>
      </c>
    </row>
    <row r="34" spans="1:12" x14ac:dyDescent="0.35">
      <c r="A34" s="1" t="s">
        <v>17</v>
      </c>
      <c r="B34" s="14">
        <f>1159+1017+997+993+1001+20+2+2-418</f>
        <v>4773</v>
      </c>
      <c r="C34" t="s">
        <v>26</v>
      </c>
    </row>
    <row r="35" spans="1:12" x14ac:dyDescent="0.35">
      <c r="A35" s="1" t="s">
        <v>20</v>
      </c>
      <c r="B35" s="14">
        <v>95735678</v>
      </c>
      <c r="C35" t="s">
        <v>27</v>
      </c>
      <c r="D35" s="20">
        <f>B35/B42</f>
        <v>90917073.124406457</v>
      </c>
      <c r="E35" s="19" t="s">
        <v>68</v>
      </c>
    </row>
    <row r="36" spans="1:12" x14ac:dyDescent="0.35">
      <c r="A36" s="1" t="s">
        <v>21</v>
      </c>
      <c r="B36" s="14">
        <v>9223249</v>
      </c>
      <c r="C36" t="s">
        <v>33</v>
      </c>
      <c r="D36" s="20">
        <f>B36/B42</f>
        <v>8759020.8926875591</v>
      </c>
      <c r="E36" t="s">
        <v>67</v>
      </c>
    </row>
    <row r="37" spans="1:12" x14ac:dyDescent="0.35">
      <c r="A37" s="1" t="s">
        <v>22</v>
      </c>
      <c r="B37" s="13">
        <f>E37+H37+K37</f>
        <v>8.4420907227924797E-3</v>
      </c>
      <c r="C37" t="s">
        <v>64</v>
      </c>
      <c r="D37" t="s">
        <v>50</v>
      </c>
      <c r="E37" s="18">
        <f>B38*I39/1000/B42</f>
        <v>8.4420907227924797E-3</v>
      </c>
      <c r="F37" s="1" t="s">
        <v>64</v>
      </c>
      <c r="G37" t="s">
        <v>51</v>
      </c>
      <c r="H37" s="16">
        <f>B26*E26*B28/1000*0</f>
        <v>0</v>
      </c>
      <c r="I37" s="1" t="s">
        <v>64</v>
      </c>
      <c r="J37" s="1" t="s">
        <v>52</v>
      </c>
      <c r="K37" s="16">
        <f>-B29*E29*B27/1000*0</f>
        <v>0</v>
      </c>
      <c r="L37" s="1" t="s">
        <v>64</v>
      </c>
    </row>
    <row r="38" spans="1:12" x14ac:dyDescent="0.35">
      <c r="A38" s="1" t="s">
        <v>37</v>
      </c>
      <c r="B38" s="14">
        <v>6.7000000000000004E-2</v>
      </c>
      <c r="C38" t="s">
        <v>38</v>
      </c>
    </row>
    <row r="39" spans="1:12" x14ac:dyDescent="0.35">
      <c r="A39" s="1" t="s">
        <v>28</v>
      </c>
      <c r="B39" s="11">
        <v>2773</v>
      </c>
      <c r="C39" t="s">
        <v>26</v>
      </c>
      <c r="D39" t="s">
        <v>34</v>
      </c>
      <c r="E39" s="15">
        <v>15</v>
      </c>
      <c r="F39" t="s">
        <v>35</v>
      </c>
      <c r="G39" s="11">
        <v>20</v>
      </c>
      <c r="H39" t="s">
        <v>36</v>
      </c>
      <c r="I39" s="16">
        <f>B39/(4.18*(G39-E39))</f>
        <v>132.67942583732059</v>
      </c>
      <c r="J39" t="s">
        <v>23</v>
      </c>
    </row>
    <row r="40" spans="1:12" x14ac:dyDescent="0.35">
      <c r="A40" s="1" t="s">
        <v>29</v>
      </c>
      <c r="B40" s="11">
        <v>12490</v>
      </c>
      <c r="C40" t="s">
        <v>26</v>
      </c>
    </row>
    <row r="41" spans="1:12" x14ac:dyDescent="0.35">
      <c r="A41" s="1" t="s">
        <v>30</v>
      </c>
      <c r="B41" s="14">
        <v>8271</v>
      </c>
      <c r="C41" t="s">
        <v>26</v>
      </c>
    </row>
    <row r="42" spans="1:12" x14ac:dyDescent="0.35">
      <c r="A42" s="1" t="s">
        <v>65</v>
      </c>
      <c r="B42" s="14">
        <v>1.0529999999999999</v>
      </c>
      <c r="C42" t="s">
        <v>66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3" workbookViewId="0">
      <selection activeCell="A23" sqref="A23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8.726562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B32/B30</f>
        <v>8.5418240825679188</v>
      </c>
      <c r="C4" t="s">
        <v>10</v>
      </c>
      <c r="D4" s="6"/>
      <c r="E4"/>
    </row>
    <row r="5" spans="1:5" x14ac:dyDescent="0.35">
      <c r="A5" s="5" t="s">
        <v>11</v>
      </c>
      <c r="B5" s="10">
        <f>(B34+B33)/B32/3600</f>
        <v>0.83148149925340165</v>
      </c>
      <c r="C5" t="s">
        <v>12</v>
      </c>
      <c r="D5" s="6"/>
      <c r="E5"/>
    </row>
    <row r="6" spans="1:5" x14ac:dyDescent="0.35">
      <c r="A6" s="5" t="s">
        <v>2</v>
      </c>
      <c r="B6" s="10">
        <f>D35/B32/3600</f>
        <v>16688.489344124268</v>
      </c>
      <c r="C6" t="s">
        <v>69</v>
      </c>
      <c r="D6" s="6"/>
      <c r="E6"/>
    </row>
    <row r="7" spans="1:5" x14ac:dyDescent="0.35">
      <c r="A7" s="5" t="s">
        <v>3</v>
      </c>
      <c r="B7" s="10">
        <f>D36/B32/3600</f>
        <v>1448.5288327030089</v>
      </c>
      <c r="C7" t="s">
        <v>70</v>
      </c>
      <c r="D7" s="6"/>
      <c r="E7"/>
    </row>
    <row r="8" spans="1:5" x14ac:dyDescent="0.35">
      <c r="A8" s="5" t="s">
        <v>4</v>
      </c>
      <c r="B8" s="10">
        <f>B37/B32*1000</f>
        <v>12.282862059084591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B40/B32/3600</f>
        <v>0.90276911396670323</v>
      </c>
      <c r="C11" t="s">
        <v>12</v>
      </c>
      <c r="D11" s="6"/>
      <c r="E11"/>
    </row>
    <row r="12" spans="1:5" x14ac:dyDescent="0.35">
      <c r="A12" s="5" t="s">
        <v>32</v>
      </c>
      <c r="B12" s="10">
        <f>B41/B32/3600</f>
        <v>2.6018091103838836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x14ac:dyDescent="0.35">
      <c r="A16" s="5" t="s">
        <v>74</v>
      </c>
      <c r="B16">
        <f>B26*E26</f>
        <v>92.800000000000011</v>
      </c>
      <c r="C16" t="s">
        <v>75</v>
      </c>
      <c r="D16" s="6"/>
      <c r="E16"/>
    </row>
    <row r="17" spans="1:15" x14ac:dyDescent="0.35">
      <c r="A17" s="5" t="s">
        <v>76</v>
      </c>
      <c r="B17" s="10">
        <f>B28/B32</f>
        <v>2.5388911814665884</v>
      </c>
      <c r="C17" t="s">
        <v>77</v>
      </c>
      <c r="D17" s="6"/>
      <c r="E17"/>
    </row>
    <row r="18" spans="1:15" x14ac:dyDescent="0.35">
      <c r="A18" s="5" t="s">
        <v>78</v>
      </c>
      <c r="B18" s="10">
        <f>B29/B32</f>
        <v>0.2333749196264911</v>
      </c>
      <c r="C18" t="s">
        <v>79</v>
      </c>
      <c r="D18" s="6"/>
      <c r="E18"/>
    </row>
    <row r="19" spans="1:15" x14ac:dyDescent="0.35">
      <c r="A19" s="5" t="s">
        <v>81</v>
      </c>
      <c r="B19" s="10">
        <f>B27*E29</f>
        <v>136.9016</v>
      </c>
      <c r="C19" t="s">
        <v>75</v>
      </c>
      <c r="D19" s="6"/>
      <c r="E19"/>
    </row>
    <row r="20" spans="1:15" ht="15" thickBot="1" x14ac:dyDescent="0.4">
      <c r="A20" s="7"/>
      <c r="B20" s="8"/>
      <c r="C20" s="8"/>
      <c r="D20" s="9"/>
      <c r="E20"/>
    </row>
    <row r="26" spans="1:15" x14ac:dyDescent="0.35">
      <c r="A26" s="1" t="s">
        <v>0</v>
      </c>
      <c r="B26" s="11">
        <v>6.4</v>
      </c>
      <c r="C26" t="s">
        <v>43</v>
      </c>
      <c r="D26" t="s">
        <v>44</v>
      </c>
      <c r="E26" s="1">
        <v>14.5</v>
      </c>
      <c r="F26" t="s">
        <v>45</v>
      </c>
      <c r="G26" t="s">
        <v>46</v>
      </c>
    </row>
    <row r="27" spans="1:15" x14ac:dyDescent="0.35">
      <c r="A27" s="1" t="s">
        <v>53</v>
      </c>
      <c r="B27" s="12">
        <f>D27*J27/G27</f>
        <v>366.66666666666669</v>
      </c>
      <c r="C27" t="s">
        <v>54</v>
      </c>
      <c r="D27" s="11">
        <v>100</v>
      </c>
      <c r="E27" t="s">
        <v>55</v>
      </c>
      <c r="F27" t="s">
        <v>56</v>
      </c>
      <c r="G27" s="16">
        <v>12</v>
      </c>
      <c r="H27" t="s">
        <v>57</v>
      </c>
      <c r="I27" t="s">
        <v>58</v>
      </c>
      <c r="J27" s="16">
        <f>12+2*16</f>
        <v>44</v>
      </c>
      <c r="K27" t="s">
        <v>57</v>
      </c>
      <c r="N27">
        <f>J27/G27</f>
        <v>3.6666666666666665</v>
      </c>
    </row>
    <row r="28" spans="1:15" x14ac:dyDescent="0.35">
      <c r="A28" s="1" t="s">
        <v>13</v>
      </c>
      <c r="B28" s="14">
        <v>5.2911000000000001</v>
      </c>
      <c r="C28" t="s">
        <v>23</v>
      </c>
    </row>
    <row r="29" spans="1:15" x14ac:dyDescent="0.35">
      <c r="A29" s="1" t="s">
        <v>19</v>
      </c>
      <c r="B29" s="14">
        <v>0.48635800000000001</v>
      </c>
      <c r="C29" t="s">
        <v>23</v>
      </c>
      <c r="D29" t="s">
        <v>59</v>
      </c>
      <c r="E29" s="17">
        <v>0.37336799999999998</v>
      </c>
      <c r="F29" t="s">
        <v>60</v>
      </c>
    </row>
    <row r="30" spans="1:15" x14ac:dyDescent="0.35">
      <c r="A30" s="1" t="s">
        <v>14</v>
      </c>
      <c r="B30" s="13">
        <f>E30*H30</f>
        <v>0.243978332948</v>
      </c>
      <c r="C30" t="s">
        <v>23</v>
      </c>
      <c r="D30" t="s">
        <v>24</v>
      </c>
      <c r="E30" s="15">
        <v>0.30382900000000002</v>
      </c>
      <c r="F30" t="s">
        <v>23</v>
      </c>
      <c r="G30" t="s">
        <v>25</v>
      </c>
      <c r="H30" s="11">
        <v>0.80301199999999995</v>
      </c>
      <c r="M30">
        <v>30053</v>
      </c>
      <c r="N30" t="s">
        <v>26</v>
      </c>
      <c r="O30">
        <f>M30/B30/3600</f>
        <v>34.216380834665379</v>
      </c>
    </row>
    <row r="31" spans="1:15" x14ac:dyDescent="0.35">
      <c r="A31" s="1" t="s">
        <v>16</v>
      </c>
      <c r="B31" s="14">
        <f>E31+H31</f>
        <v>1.9363779999999999</v>
      </c>
      <c r="C31" t="s">
        <v>23</v>
      </c>
      <c r="D31" t="s">
        <v>7</v>
      </c>
      <c r="E31" s="1">
        <v>0.91803800000000002</v>
      </c>
      <c r="F31" t="s">
        <v>23</v>
      </c>
      <c r="G31" t="s">
        <v>39</v>
      </c>
      <c r="H31">
        <v>1.01834</v>
      </c>
      <c r="I31" t="s">
        <v>23</v>
      </c>
    </row>
    <row r="32" spans="1:15" x14ac:dyDescent="0.35">
      <c r="A32" s="1" t="s">
        <v>18</v>
      </c>
      <c r="B32" s="14">
        <v>2.0840200000000002</v>
      </c>
      <c r="C32" t="s">
        <v>23</v>
      </c>
    </row>
    <row r="33" spans="1:20" x14ac:dyDescent="0.35">
      <c r="A33" s="1" t="s">
        <v>15</v>
      </c>
      <c r="B33" s="14">
        <v>0</v>
      </c>
      <c r="C33" t="s">
        <v>26</v>
      </c>
    </row>
    <row r="34" spans="1:20" x14ac:dyDescent="0.35">
      <c r="A34" s="1" t="s">
        <v>17</v>
      </c>
      <c r="B34" s="14">
        <f>1237+960+936+926+923+182+4-1519+Q39</f>
        <v>6238.166666666667</v>
      </c>
      <c r="C34" t="s">
        <v>26</v>
      </c>
    </row>
    <row r="35" spans="1:20" x14ac:dyDescent="0.35">
      <c r="A35" s="1" t="s">
        <v>20</v>
      </c>
      <c r="B35" s="21">
        <v>131840785</v>
      </c>
      <c r="C35" t="s">
        <v>27</v>
      </c>
      <c r="D35" s="20">
        <f>B35/B42</f>
        <v>125204924.0265907</v>
      </c>
      <c r="E35" s="19" t="s">
        <v>68</v>
      </c>
    </row>
    <row r="36" spans="1:20" x14ac:dyDescent="0.35">
      <c r="A36" s="1" t="s">
        <v>21</v>
      </c>
      <c r="B36" s="21">
        <v>11443527</v>
      </c>
      <c r="C36" t="s">
        <v>33</v>
      </c>
      <c r="D36" s="20">
        <f>B36/B42</f>
        <v>10867547.00854701</v>
      </c>
      <c r="E36" t="s">
        <v>67</v>
      </c>
    </row>
    <row r="37" spans="1:20" x14ac:dyDescent="0.35">
      <c r="A37" s="1" t="s">
        <v>22</v>
      </c>
      <c r="B37" s="13">
        <f>E37+H37+K37</f>
        <v>2.5597730188373472E-2</v>
      </c>
      <c r="C37" t="s">
        <v>64</v>
      </c>
      <c r="D37" t="s">
        <v>50</v>
      </c>
      <c r="E37" s="18">
        <f>B38*I39/1000/B42</f>
        <v>2.5597730188373472E-2</v>
      </c>
      <c r="F37" s="1" t="s">
        <v>64</v>
      </c>
      <c r="G37" t="s">
        <v>51</v>
      </c>
      <c r="H37" s="16">
        <f>B26*E26*B28/1000*0</f>
        <v>0</v>
      </c>
      <c r="I37" s="1" t="s">
        <v>64</v>
      </c>
      <c r="J37" s="1" t="s">
        <v>52</v>
      </c>
      <c r="K37" s="16">
        <f>-B29*E29*B27/1000*0</f>
        <v>0</v>
      </c>
      <c r="L37" s="1" t="s">
        <v>64</v>
      </c>
    </row>
    <row r="38" spans="1:20" x14ac:dyDescent="0.35">
      <c r="A38" s="1" t="s">
        <v>37</v>
      </c>
      <c r="B38" s="14">
        <v>6.7000000000000004E-2</v>
      </c>
      <c r="C38" t="s">
        <v>38</v>
      </c>
    </row>
    <row r="39" spans="1:20" x14ac:dyDescent="0.35">
      <c r="A39" s="1" t="s">
        <v>28</v>
      </c>
      <c r="B39" s="11">
        <v>2712</v>
      </c>
      <c r="C39" t="s">
        <v>26</v>
      </c>
      <c r="D39" t="s">
        <v>34</v>
      </c>
      <c r="E39" s="15">
        <v>15</v>
      </c>
      <c r="F39" t="s">
        <v>35</v>
      </c>
      <c r="G39" s="11">
        <v>20</v>
      </c>
      <c r="H39" t="s">
        <v>36</v>
      </c>
      <c r="I39" s="16">
        <f>(B39+T39)/(4.18*(G39-E39))</f>
        <v>402.30462519936214</v>
      </c>
      <c r="J39" t="s">
        <v>23</v>
      </c>
      <c r="K39" t="s">
        <v>40</v>
      </c>
      <c r="L39" s="11">
        <v>3107</v>
      </c>
      <c r="M39" t="s">
        <v>26</v>
      </c>
      <c r="N39" t="s">
        <v>41</v>
      </c>
      <c r="O39" s="11">
        <v>1.2</v>
      </c>
      <c r="P39" t="s">
        <v>42</v>
      </c>
      <c r="Q39" s="16">
        <f>L39/O39</f>
        <v>2589.166666666667</v>
      </c>
      <c r="R39" t="s">
        <v>26</v>
      </c>
      <c r="S39" t="s">
        <v>49</v>
      </c>
      <c r="T39" s="16">
        <f>(Q39+L39)</f>
        <v>5696.166666666667</v>
      </c>
    </row>
    <row r="40" spans="1:20" x14ac:dyDescent="0.35">
      <c r="A40" s="1" t="s">
        <v>29</v>
      </c>
      <c r="B40" s="11">
        <v>6773</v>
      </c>
      <c r="C40" t="s">
        <v>26</v>
      </c>
    </row>
    <row r="41" spans="1:20" x14ac:dyDescent="0.35">
      <c r="A41" s="1" t="s">
        <v>30</v>
      </c>
      <c r="B41" s="14">
        <v>19520</v>
      </c>
      <c r="C41" t="s">
        <v>26</v>
      </c>
    </row>
    <row r="42" spans="1:20" x14ac:dyDescent="0.35">
      <c r="A42" s="1" t="s">
        <v>65</v>
      </c>
      <c r="B42" s="14">
        <v>1.0529999999999999</v>
      </c>
      <c r="C42" t="s">
        <v>66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Bamboo-2stage</vt:lpstr>
      <vt:lpstr>Bamboo-1stage</vt:lpstr>
      <vt:lpstr>Wheat-2stage</vt:lpstr>
      <vt:lpstr>Wheat-1stage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Kofler</dc:creator>
  <cp:lastModifiedBy>Nicolas Jean Bernard Campion</cp:lastModifiedBy>
  <dcterms:created xsi:type="dcterms:W3CDTF">2023-06-13T12:01:39Z</dcterms:created>
  <dcterms:modified xsi:type="dcterms:W3CDTF">2023-08-02T12:18:15Z</dcterms:modified>
</cp:coreProperties>
</file>