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8_{D7FD4F09-C7CC-458D-9384-193AFD77F1E7}" xr6:coauthVersionLast="47" xr6:coauthVersionMax="47" xr10:uidLastSave="{00000000-0000-0000-0000-000000000000}"/>
  <bookViews>
    <workbookView xWindow="3000" yWindow="3000" windowWidth="17280" windowHeight="8880" firstSheet="2" activeTab="3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95" l="1"/>
  <c r="A18" i="95"/>
  <c r="H76" i="80"/>
  <c r="F76" i="80"/>
  <c r="H75" i="80"/>
  <c r="F75" i="80"/>
  <c r="H74" i="80"/>
  <c r="F74" i="80"/>
  <c r="H73" i="80"/>
  <c r="F73" i="80"/>
  <c r="H72" i="80"/>
  <c r="F72" i="80"/>
  <c r="H71" i="80"/>
  <c r="F71" i="80"/>
  <c r="H70" i="80"/>
  <c r="F70" i="80"/>
  <c r="H69" i="80"/>
  <c r="F69" i="80"/>
  <c r="H68" i="80"/>
  <c r="F68" i="80"/>
  <c r="H67" i="80"/>
  <c r="F67" i="80"/>
  <c r="H66" i="80"/>
  <c r="F66" i="80"/>
  <c r="H65" i="80"/>
  <c r="F65" i="80"/>
  <c r="H64" i="80"/>
  <c r="H63" i="80"/>
  <c r="F63" i="80"/>
  <c r="H62" i="80"/>
  <c r="H61" i="80"/>
  <c r="H60" i="80"/>
  <c r="F60" i="80"/>
  <c r="B60" i="80"/>
  <c r="B61" i="80" s="1"/>
  <c r="B62" i="80" s="1"/>
  <c r="B63" i="80" s="1"/>
  <c r="B64" i="80" s="1"/>
  <c r="B65" i="80" s="1"/>
  <c r="B66" i="80" s="1"/>
  <c r="B67" i="80" s="1"/>
  <c r="B68" i="80" s="1"/>
  <c r="B69" i="80" s="1"/>
  <c r="B70" i="80" s="1"/>
  <c r="B71" i="80" s="1"/>
  <c r="B72" i="80" s="1"/>
  <c r="B73" i="80" s="1"/>
  <c r="B74" i="80" s="1"/>
  <c r="B75" i="80" s="1"/>
  <c r="B76" i="80" s="1"/>
  <c r="H59" i="80"/>
  <c r="H58" i="80"/>
  <c r="F58" i="80"/>
  <c r="H57" i="80"/>
  <c r="F57" i="80"/>
  <c r="H56" i="80"/>
  <c r="F56" i="80"/>
  <c r="H55" i="80"/>
  <c r="F55" i="80"/>
  <c r="H54" i="80"/>
  <c r="F54" i="80"/>
  <c r="H53" i="80"/>
  <c r="F53" i="80"/>
  <c r="H52" i="80"/>
  <c r="F52" i="80"/>
  <c r="H51" i="80"/>
  <c r="F51" i="80"/>
  <c r="H50" i="80"/>
  <c r="F50" i="80"/>
  <c r="H49" i="80"/>
  <c r="F49" i="80"/>
  <c r="H48" i="80"/>
  <c r="F48" i="80"/>
  <c r="H47" i="80"/>
  <c r="F47" i="80"/>
  <c r="H46" i="80"/>
  <c r="H45" i="80"/>
  <c r="F45" i="80"/>
  <c r="H44" i="80"/>
  <c r="H43" i="80"/>
  <c r="H42" i="80"/>
  <c r="F42" i="80"/>
  <c r="B42" i="80"/>
  <c r="B43" i="80" s="1"/>
  <c r="B44" i="80" s="1"/>
  <c r="B45" i="80" s="1"/>
  <c r="B46" i="80" s="1"/>
  <c r="B47" i="80" s="1"/>
  <c r="B48" i="80" s="1"/>
  <c r="B49" i="80" s="1"/>
  <c r="B50" i="80" s="1"/>
  <c r="B51" i="80" s="1"/>
  <c r="B52" i="80" s="1"/>
  <c r="B53" i="80" s="1"/>
  <c r="B54" i="80" s="1"/>
  <c r="B55" i="80" s="1"/>
  <c r="B56" i="80" s="1"/>
  <c r="B57" i="80" s="1"/>
  <c r="B58" i="80" s="1"/>
  <c r="H41" i="80"/>
  <c r="H40" i="80"/>
  <c r="F40" i="80"/>
  <c r="H39" i="80"/>
  <c r="F39" i="80"/>
  <c r="H38" i="80"/>
  <c r="F38" i="80"/>
  <c r="H37" i="80"/>
  <c r="F37" i="80"/>
  <c r="H36" i="80"/>
  <c r="F36" i="80"/>
  <c r="H35" i="80"/>
  <c r="F35" i="80"/>
  <c r="H34" i="80"/>
  <c r="F34" i="80"/>
  <c r="H33" i="80"/>
  <c r="F33" i="80"/>
  <c r="H32" i="80"/>
  <c r="F32" i="80"/>
  <c r="H31" i="80"/>
  <c r="F31" i="80"/>
  <c r="H30" i="80"/>
  <c r="F30" i="80"/>
  <c r="H29" i="80"/>
  <c r="F29" i="80"/>
  <c r="H28" i="80"/>
  <c r="H27" i="80"/>
  <c r="F27" i="80"/>
  <c r="H26" i="80"/>
  <c r="H25" i="80"/>
  <c r="H24" i="80"/>
  <c r="F24" i="80"/>
  <c r="B24" i="80"/>
  <c r="B25" i="80" s="1"/>
  <c r="B26" i="80" s="1"/>
  <c r="B27" i="80" s="1"/>
  <c r="B28" i="80" s="1"/>
  <c r="B29" i="80" s="1"/>
  <c r="B30" i="80" s="1"/>
  <c r="B31" i="80" s="1"/>
  <c r="B32" i="80" s="1"/>
  <c r="B33" i="80" s="1"/>
  <c r="B34" i="80" s="1"/>
  <c r="B35" i="80" s="1"/>
  <c r="B36" i="80" s="1"/>
  <c r="B37" i="80" s="1"/>
  <c r="B38" i="80" s="1"/>
  <c r="B39" i="80" s="1"/>
  <c r="B40" i="80" s="1"/>
  <c r="H23" i="80"/>
  <c r="F22" i="80"/>
  <c r="F21" i="80"/>
  <c r="F20" i="80"/>
  <c r="F19" i="80"/>
  <c r="F18" i="80"/>
  <c r="F17" i="80"/>
  <c r="F16" i="80"/>
  <c r="F15" i="80"/>
  <c r="F14" i="80"/>
  <c r="F13" i="80"/>
  <c r="F11" i="80"/>
  <c r="F12" i="80"/>
  <c r="B8" i="80"/>
  <c r="B9" i="80" s="1"/>
  <c r="B10" i="80" s="1"/>
  <c r="B11" i="80" s="1"/>
  <c r="B12" i="80" s="1"/>
  <c r="B13" i="80" s="1"/>
  <c r="B14" i="80" s="1"/>
  <c r="B15" i="80" s="1"/>
  <c r="B16" i="80" s="1"/>
  <c r="B17" i="80" s="1"/>
  <c r="B18" i="80" s="1"/>
  <c r="B19" i="80" s="1"/>
  <c r="B20" i="80" s="1"/>
  <c r="B21" i="80" s="1"/>
  <c r="B22" i="80" s="1"/>
  <c r="B7" i="80"/>
  <c r="B6" i="80"/>
  <c r="F9" i="80"/>
  <c r="F6" i="80"/>
  <c r="H22" i="80"/>
  <c r="H7" i="80"/>
  <c r="A4" i="82" l="1"/>
  <c r="R69" i="82" l="1"/>
  <c r="Q69" i="82"/>
  <c r="P69" i="82"/>
  <c r="R68" i="82"/>
  <c r="Q68" i="82"/>
  <c r="P68" i="82"/>
  <c r="R64" i="82"/>
  <c r="Q64" i="82"/>
  <c r="P64" i="82"/>
  <c r="R63" i="82"/>
  <c r="Q63" i="82"/>
  <c r="P63" i="82"/>
  <c r="R62" i="82"/>
  <c r="Q62" i="82"/>
  <c r="P62" i="82"/>
  <c r="R61" i="82"/>
  <c r="Q61" i="82"/>
  <c r="P61" i="82"/>
  <c r="R45" i="82"/>
  <c r="R43" i="82" s="1"/>
  <c r="Q45" i="82"/>
  <c r="Q43" i="82" s="1"/>
  <c r="P45" i="82"/>
  <c r="P44" i="82" s="1"/>
  <c r="R42" i="82"/>
  <c r="R40" i="82" s="1"/>
  <c r="Q42" i="82"/>
  <c r="P42" i="82"/>
  <c r="P41" i="82" s="1"/>
  <c r="Q41" i="82"/>
  <c r="Q40" i="82"/>
  <c r="R35" i="82"/>
  <c r="Q35" i="82"/>
  <c r="P35" i="82"/>
  <c r="R34" i="82"/>
  <c r="Q34" i="82"/>
  <c r="P34" i="82"/>
  <c r="R29" i="82"/>
  <c r="Q29" i="82"/>
  <c r="P29" i="82"/>
  <c r="R28" i="82"/>
  <c r="Q28" i="82"/>
  <c r="P28" i="82"/>
  <c r="R27" i="82"/>
  <c r="Q27" i="82"/>
  <c r="P27" i="82"/>
  <c r="R26" i="82"/>
  <c r="Q26" i="82"/>
  <c r="P26" i="82"/>
  <c r="R25" i="82"/>
  <c r="Q25" i="82"/>
  <c r="P25" i="82"/>
  <c r="R24" i="82"/>
  <c r="Q24" i="82"/>
  <c r="P24" i="82"/>
  <c r="R23" i="82"/>
  <c r="Q23" i="82"/>
  <c r="P23" i="82"/>
  <c r="R22" i="82"/>
  <c r="Q22" i="82"/>
  <c r="P22" i="82"/>
  <c r="R21" i="82"/>
  <c r="Q21" i="82"/>
  <c r="P21" i="82"/>
  <c r="R20" i="82"/>
  <c r="Q20" i="82"/>
  <c r="P20" i="82"/>
  <c r="R19" i="82"/>
  <c r="Q19" i="82"/>
  <c r="P19" i="82"/>
  <c r="R18" i="82"/>
  <c r="Q18" i="82"/>
  <c r="P18" i="82"/>
  <c r="R17" i="82"/>
  <c r="R33" i="82" s="1"/>
  <c r="Q17" i="82"/>
  <c r="Q33" i="82" s="1"/>
  <c r="P17" i="82"/>
  <c r="P33" i="82" s="1"/>
  <c r="R16" i="82"/>
  <c r="R32" i="82" s="1"/>
  <c r="Q16" i="82"/>
  <c r="Q32" i="82" s="1"/>
  <c r="P16" i="82"/>
  <c r="P32" i="82" s="1"/>
  <c r="R15" i="82"/>
  <c r="R31" i="82" s="1"/>
  <c r="Q15" i="82"/>
  <c r="Q31" i="82" s="1"/>
  <c r="P15" i="82"/>
  <c r="P31" i="82" s="1"/>
  <c r="R14" i="82"/>
  <c r="R30" i="82" s="1"/>
  <c r="Q14" i="82"/>
  <c r="Q30" i="82" s="1"/>
  <c r="P14" i="82"/>
  <c r="P30" i="82" s="1"/>
  <c r="R13" i="82"/>
  <c r="Q13" i="82"/>
  <c r="P13" i="82"/>
  <c r="R12" i="82"/>
  <c r="Q12" i="82"/>
  <c r="P12" i="82"/>
  <c r="R8" i="82"/>
  <c r="Q8" i="82"/>
  <c r="P8" i="82"/>
  <c r="R7" i="82"/>
  <c r="Q7" i="82"/>
  <c r="P7" i="82"/>
  <c r="R6" i="82"/>
  <c r="Q6" i="82"/>
  <c r="P6" i="82"/>
  <c r="R5" i="82"/>
  <c r="Q5" i="82"/>
  <c r="P5" i="82"/>
  <c r="G17" i="95"/>
  <c r="A17" i="95"/>
  <c r="P40" i="82" l="1"/>
  <c r="P43" i="82"/>
  <c r="R41" i="82"/>
  <c r="Q44" i="82"/>
  <c r="R44" i="82"/>
  <c r="G16" i="95" l="1"/>
  <c r="A16" i="95"/>
  <c r="G15" i="95"/>
  <c r="A15" i="95"/>
  <c r="G14" i="95"/>
  <c r="A14" i="95"/>
  <c r="G13" i="95"/>
  <c r="A13" i="95"/>
  <c r="H21" i="80" l="1"/>
  <c r="H20" i="80"/>
  <c r="H19" i="80"/>
  <c r="H18" i="80"/>
  <c r="H17" i="80"/>
  <c r="H16" i="80"/>
  <c r="H15" i="80"/>
  <c r="H14" i="80"/>
  <c r="H13" i="80"/>
  <c r="H12" i="80"/>
  <c r="H11" i="80"/>
  <c r="H10" i="80"/>
  <c r="H9" i="80"/>
  <c r="H8" i="80"/>
  <c r="H6" i="80"/>
  <c r="H5" i="80"/>
  <c r="G12" i="95" l="1"/>
  <c r="A12" i="95"/>
  <c r="G11" i="95"/>
  <c r="A11" i="95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G30" i="95" l="1"/>
  <c r="A30" i="95"/>
  <c r="G29" i="95"/>
  <c r="A29" i="95"/>
  <c r="G28" i="95"/>
  <c r="A28" i="95"/>
  <c r="A2" i="82"/>
  <c r="G39" i="95"/>
  <c r="A39" i="95"/>
  <c r="G38" i="95"/>
  <c r="A38" i="95"/>
  <c r="G37" i="95"/>
  <c r="A37" i="95"/>
  <c r="G36" i="95"/>
  <c r="A36" i="95"/>
  <c r="G35" i="95"/>
  <c r="A35" i="95"/>
  <c r="G34" i="95"/>
  <c r="A34" i="95"/>
  <c r="G33" i="95"/>
  <c r="A33" i="95"/>
  <c r="G32" i="95"/>
  <c r="A32" i="95"/>
  <c r="G31" i="95"/>
  <c r="A31" i="95"/>
  <c r="G27" i="95"/>
  <c r="A27" i="95"/>
  <c r="G26" i="95"/>
  <c r="A26" i="95"/>
  <c r="G25" i="95"/>
  <c r="A25" i="95"/>
  <c r="G24" i="95"/>
  <c r="A24" i="95"/>
  <c r="G23" i="95"/>
  <c r="A23" i="95"/>
  <c r="G22" i="95"/>
  <c r="A22" i="95"/>
  <c r="G21" i="95"/>
  <c r="A21" i="95"/>
  <c r="G20" i="95"/>
  <c r="A20" i="95"/>
  <c r="G19" i="95"/>
  <c r="A19" i="95"/>
  <c r="H4" i="80"/>
  <c r="A10" i="95"/>
  <c r="G10" i="95"/>
  <c r="A93" i="95"/>
  <c r="G93" i="95"/>
  <c r="I93" i="95"/>
  <c r="O64" i="82"/>
  <c r="O63" i="82"/>
  <c r="O62" i="82"/>
  <c r="O61" i="82"/>
  <c r="O35" i="82"/>
  <c r="O34" i="82"/>
  <c r="O29" i="82"/>
  <c r="O28" i="82"/>
  <c r="O27" i="82"/>
  <c r="O26" i="82"/>
  <c r="O25" i="82"/>
  <c r="O24" i="82"/>
  <c r="O20" i="82"/>
  <c r="O19" i="82"/>
  <c r="O18" i="82"/>
  <c r="O17" i="82"/>
  <c r="O33" i="82" s="1"/>
  <c r="O16" i="82"/>
  <c r="O32" i="82" s="1"/>
  <c r="O15" i="82"/>
  <c r="O31" i="82" s="1"/>
  <c r="O14" i="82"/>
  <c r="O30" i="82" s="1"/>
  <c r="O13" i="82"/>
  <c r="O12" i="82"/>
  <c r="O8" i="82"/>
  <c r="O7" i="82"/>
  <c r="O6" i="82"/>
  <c r="O5" i="82"/>
  <c r="B62" i="99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I73" i="95"/>
  <c r="G73" i="95"/>
  <c r="A73" i="95"/>
  <c r="I72" i="95"/>
  <c r="G72" i="95"/>
  <c r="A72" i="95"/>
  <c r="I71" i="95"/>
  <c r="G71" i="95"/>
  <c r="A71" i="95"/>
  <c r="I70" i="95"/>
  <c r="G70" i="95"/>
  <c r="A70" i="95"/>
  <c r="I69" i="95"/>
  <c r="G69" i="95"/>
  <c r="A69" i="95"/>
  <c r="DE70" i="79" l="1"/>
  <c r="DF70" i="79"/>
  <c r="DG70" i="79"/>
  <c r="DH70" i="79"/>
  <c r="DI70" i="79"/>
  <c r="DJ70" i="79"/>
  <c r="DK70" i="79"/>
  <c r="DY70" i="79"/>
  <c r="DZ70" i="79"/>
  <c r="EA70" i="79"/>
  <c r="EB70" i="79"/>
  <c r="EC70" i="79"/>
  <c r="ED70" i="79"/>
  <c r="EE70" i="79"/>
  <c r="FP73" i="79"/>
  <c r="FM21" i="79"/>
  <c r="FN21" i="79"/>
  <c r="FO21" i="79"/>
  <c r="FP21" i="79"/>
  <c r="FQ21" i="79"/>
  <c r="FR21" i="79"/>
  <c r="FS21" i="79"/>
  <c r="FM22" i="79"/>
  <c r="FN22" i="79"/>
  <c r="FO22" i="79"/>
  <c r="FP22" i="79"/>
  <c r="FQ22" i="79"/>
  <c r="FR22" i="79"/>
  <c r="FS22" i="79"/>
  <c r="FM30" i="79"/>
  <c r="FM29" i="79"/>
  <c r="FM31" i="79" s="1"/>
  <c r="FM28" i="79"/>
  <c r="FM27" i="79"/>
  <c r="FO29" i="79"/>
  <c r="FO28" i="79"/>
  <c r="FO27" i="79"/>
  <c r="FO31" i="79" s="1"/>
  <c r="FQ30" i="79"/>
  <c r="FQ29" i="79"/>
  <c r="FQ31" i="79" s="1"/>
  <c r="FQ28" i="79"/>
  <c r="FQ27" i="79"/>
  <c r="FS29" i="79"/>
  <c r="FS28" i="79"/>
  <c r="FS27" i="79"/>
  <c r="FS30" i="79" s="1"/>
  <c r="DA30" i="79"/>
  <c r="DA29" i="79"/>
  <c r="DA28" i="79"/>
  <c r="DA27" i="79"/>
  <c r="DA31" i="79" s="1"/>
  <c r="CY29" i="79"/>
  <c r="CY28" i="79"/>
  <c r="CY27" i="79"/>
  <c r="CY31" i="79" s="1"/>
  <c r="CW30" i="79"/>
  <c r="CW29" i="79"/>
  <c r="CW28" i="79"/>
  <c r="CW27" i="79"/>
  <c r="CW31" i="79" s="1"/>
  <c r="CU29" i="79"/>
  <c r="CU28" i="79"/>
  <c r="CU27" i="79"/>
  <c r="CU31" i="79" s="1"/>
  <c r="CQ31" i="79"/>
  <c r="CQ30" i="79"/>
  <c r="CO31" i="79"/>
  <c r="CO30" i="79"/>
  <c r="CY30" i="79" l="1"/>
  <c r="FS31" i="79"/>
  <c r="FO30" i="79"/>
  <c r="CU30" i="79"/>
  <c r="CK31" i="79"/>
  <c r="CK30" i="79"/>
  <c r="CM31" i="79"/>
  <c r="CM30" i="79"/>
  <c r="A40" i="95" l="1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I43" i="95"/>
  <c r="G43" i="95"/>
  <c r="I42" i="95"/>
  <c r="G42" i="95"/>
  <c r="I41" i="95"/>
  <c r="G41" i="95"/>
  <c r="I40" i="95"/>
  <c r="G40" i="95"/>
  <c r="A9" i="82" l="1"/>
  <c r="A10" i="82"/>
  <c r="A11" i="82"/>
  <c r="B13" i="82"/>
  <c r="B9" i="82"/>
  <c r="B10" i="82"/>
  <c r="B11" i="82"/>
  <c r="B12" i="82"/>
  <c r="EX15" i="79"/>
  <c r="EN15" i="79"/>
  <c r="EX14" i="79"/>
  <c r="EN14" i="79"/>
  <c r="EX13" i="79"/>
  <c r="EN13" i="79"/>
  <c r="I13" i="79"/>
  <c r="I14" i="79"/>
  <c r="I15" i="79"/>
  <c r="I12" i="79"/>
  <c r="E13" i="79"/>
  <c r="E14" i="79"/>
  <c r="E15" i="79"/>
  <c r="EX12" i="79"/>
  <c r="EN12" i="79"/>
  <c r="E12" i="79"/>
  <c r="DC17" i="79" l="1"/>
  <c r="DD17" i="79"/>
  <c r="DE17" i="79"/>
  <c r="DF17" i="79"/>
  <c r="DG17" i="79"/>
  <c r="DH17" i="79"/>
  <c r="DI17" i="79"/>
  <c r="DJ17" i="79"/>
  <c r="DK17" i="79"/>
  <c r="DC18" i="79"/>
  <c r="DD18" i="79"/>
  <c r="DE18" i="79"/>
  <c r="DF18" i="79"/>
  <c r="DG18" i="79"/>
  <c r="DH18" i="79"/>
  <c r="DI18" i="79"/>
  <c r="DJ18" i="79"/>
  <c r="DK18" i="79"/>
  <c r="DC19" i="79"/>
  <c r="DD19" i="79"/>
  <c r="DE19" i="79"/>
  <c r="DF19" i="79"/>
  <c r="DG19" i="79"/>
  <c r="DH19" i="79"/>
  <c r="DI19" i="79"/>
  <c r="DJ19" i="79"/>
  <c r="DK19" i="79"/>
  <c r="DC20" i="79"/>
  <c r="DD20" i="79"/>
  <c r="DE20" i="79"/>
  <c r="DF20" i="79"/>
  <c r="DG20" i="79"/>
  <c r="DH20" i="79"/>
  <c r="DI20" i="79"/>
  <c r="DJ20" i="79"/>
  <c r="DK20" i="79"/>
  <c r="DB20" i="79"/>
  <c r="DB19" i="79"/>
  <c r="DB18" i="79"/>
  <c r="DB17" i="79"/>
  <c r="H13" i="82" l="1"/>
  <c r="I13" i="82"/>
  <c r="J13" i="82"/>
  <c r="K13" i="82"/>
  <c r="L13" i="82"/>
  <c r="M13" i="82"/>
  <c r="N13" i="82"/>
  <c r="G13" i="82"/>
  <c r="A70" i="82"/>
  <c r="B70" i="82"/>
  <c r="A13" i="82"/>
  <c r="A14" i="82"/>
  <c r="B1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I16" i="79" l="1"/>
  <c r="E16" i="79"/>
  <c r="EX73" i="79" l="1"/>
  <c r="DA73" i="79"/>
  <c r="CZ73" i="79"/>
  <c r="CY73" i="79"/>
  <c r="CW73" i="79"/>
  <c r="CV73" i="79"/>
  <c r="CU73" i="79"/>
  <c r="CT73" i="79"/>
  <c r="CS73" i="79"/>
  <c r="CR73" i="79"/>
  <c r="CN73" i="79"/>
  <c r="CX73" i="79" s="1"/>
  <c r="E73" i="79"/>
  <c r="EX72" i="79"/>
  <c r="EN72" i="79"/>
  <c r="CD72" i="79"/>
  <c r="O72" i="79"/>
  <c r="E72" i="79"/>
  <c r="EX71" i="79"/>
  <c r="EN71" i="79"/>
  <c r="CD71" i="79"/>
  <c r="O71" i="79"/>
  <c r="E71" i="79"/>
  <c r="EN70" i="79"/>
  <c r="EL70" i="79"/>
  <c r="EJ70" i="79"/>
  <c r="EH70" i="79"/>
  <c r="EG70" i="79"/>
  <c r="EF70" i="79"/>
  <c r="DX70" i="79"/>
  <c r="DW70" i="79"/>
  <c r="DV70" i="79"/>
  <c r="DD70" i="79"/>
  <c r="DC70" i="79"/>
  <c r="DB70" i="79"/>
  <c r="CQ70" i="79"/>
  <c r="CP70" i="79"/>
  <c r="CO70" i="79"/>
  <c r="CN70" i="79"/>
  <c r="CM70" i="79"/>
  <c r="CL70" i="79"/>
  <c r="CK70" i="79"/>
  <c r="CJ70" i="79"/>
  <c r="CI70" i="79"/>
  <c r="CH70" i="79"/>
  <c r="E70" i="79"/>
  <c r="EX69" i="79"/>
  <c r="EN69" i="79"/>
  <c r="E69" i="79"/>
  <c r="EX68" i="79"/>
  <c r="EV68" i="79"/>
  <c r="ET68" i="79"/>
  <c r="ER68" i="79"/>
  <c r="EQ68" i="79"/>
  <c r="EP68" i="79"/>
  <c r="EN68" i="79"/>
  <c r="O68" i="79"/>
  <c r="E68" i="79"/>
  <c r="O67" i="79"/>
  <c r="E67" i="79"/>
  <c r="CL66" i="79"/>
  <c r="O66" i="79"/>
  <c r="E66" i="79"/>
  <c r="O65" i="79"/>
  <c r="E65" i="79"/>
  <c r="O64" i="79"/>
  <c r="E64" i="79"/>
  <c r="EN63" i="79"/>
  <c r="EL63" i="79"/>
  <c r="EJ63" i="79"/>
  <c r="EH63" i="79"/>
  <c r="EG63" i="79"/>
  <c r="EF63" i="79"/>
  <c r="DK63" i="79"/>
  <c r="DJ63" i="79"/>
  <c r="DI63" i="79"/>
  <c r="DH63" i="79"/>
  <c r="DG63" i="79"/>
  <c r="DF63" i="79"/>
  <c r="DE63" i="79"/>
  <c r="DD63" i="79"/>
  <c r="DC63" i="79"/>
  <c r="DB63" i="79"/>
  <c r="O63" i="79"/>
  <c r="E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EX49" i="79"/>
  <c r="EN49" i="79"/>
  <c r="E49" i="79"/>
  <c r="EN48" i="79"/>
  <c r="DA48" i="79"/>
  <c r="CZ48" i="79"/>
  <c r="CY48" i="79"/>
  <c r="CX48" i="79"/>
  <c r="CW48" i="79"/>
  <c r="CV48" i="79"/>
  <c r="CU48" i="79"/>
  <c r="CT48" i="79"/>
  <c r="CS48" i="79"/>
  <c r="CR48" i="79"/>
  <c r="E48" i="79"/>
  <c r="O47" i="79"/>
  <c r="E47" i="79"/>
  <c r="E46" i="79"/>
  <c r="EX45" i="79"/>
  <c r="EN45" i="79"/>
  <c r="CZ45" i="79"/>
  <c r="CX45" i="79"/>
  <c r="CV45" i="79"/>
  <c r="CT45" i="79"/>
  <c r="CS45" i="79"/>
  <c r="CR45" i="79"/>
  <c r="CN45" i="79"/>
  <c r="E45" i="79"/>
  <c r="EX44" i="79"/>
  <c r="EN44" i="79"/>
  <c r="O44" i="79"/>
  <c r="E44" i="79"/>
  <c r="EX43" i="79"/>
  <c r="EN43" i="79"/>
  <c r="E43" i="79"/>
  <c r="EX42" i="79"/>
  <c r="EN42" i="79"/>
  <c r="O42" i="79"/>
  <c r="I42" i="79"/>
  <c r="E42" i="79"/>
  <c r="EX41" i="79"/>
  <c r="EN41" i="79"/>
  <c r="O41" i="79"/>
  <c r="E41" i="79"/>
  <c r="EX40" i="79"/>
  <c r="EN40" i="79"/>
  <c r="O40" i="79"/>
  <c r="E40" i="79"/>
  <c r="EX39" i="79"/>
  <c r="EN39" i="79"/>
  <c r="O39" i="79"/>
  <c r="E39" i="79"/>
  <c r="E38" i="79"/>
  <c r="EX37" i="79"/>
  <c r="EN37" i="79"/>
  <c r="O37" i="79"/>
  <c r="E37" i="79"/>
  <c r="EX36" i="79"/>
  <c r="EN36" i="79"/>
  <c r="E36" i="79"/>
  <c r="EX35" i="79"/>
  <c r="EN35" i="79"/>
  <c r="E35" i="79"/>
  <c r="EX34" i="79"/>
  <c r="EN34" i="79"/>
  <c r="E34" i="79"/>
  <c r="EX33" i="79"/>
  <c r="EN33" i="79"/>
  <c r="E33" i="79"/>
  <c r="EX32" i="79"/>
  <c r="EN32" i="79"/>
  <c r="O32" i="79"/>
  <c r="O33" i="79" s="1"/>
  <c r="O34" i="79" s="1"/>
  <c r="O35" i="79" s="1"/>
  <c r="O36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Y31" i="79"/>
  <c r="X31" i="79"/>
  <c r="W31" i="79"/>
  <c r="V31" i="79"/>
  <c r="U31" i="79"/>
  <c r="T31" i="79"/>
  <c r="S31" i="79"/>
  <c r="R31" i="79"/>
  <c r="Q31" i="79"/>
  <c r="P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Y29" i="79"/>
  <c r="X29" i="79"/>
  <c r="W29" i="79"/>
  <c r="V29" i="79"/>
  <c r="U29" i="79"/>
  <c r="T29" i="79"/>
  <c r="S29" i="79"/>
  <c r="R29" i="79"/>
  <c r="Q29" i="79"/>
  <c r="P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38" i="79" s="1"/>
  <c r="I28" i="79"/>
  <c r="E28" i="79"/>
  <c r="FR27" i="79"/>
  <c r="FP27" i="79"/>
  <c r="FP30" i="79" s="1"/>
  <c r="FN27" i="79"/>
  <c r="FL27" i="79"/>
  <c r="FK27" i="79"/>
  <c r="FK31" i="79" s="1"/>
  <c r="FJ27" i="79"/>
  <c r="EX27" i="79"/>
  <c r="EN27" i="79"/>
  <c r="EN31" i="79" s="1"/>
  <c r="CZ27" i="79"/>
  <c r="CX27" i="79"/>
  <c r="CX31" i="79" s="1"/>
  <c r="CV27" i="79"/>
  <c r="CV31" i="79" s="1"/>
  <c r="CT27" i="79"/>
  <c r="CS27" i="79"/>
  <c r="CS30" i="79" s="1"/>
  <c r="CR27" i="79"/>
  <c r="CN27" i="79"/>
  <c r="CN30" i="79" s="1"/>
  <c r="CD27" i="79"/>
  <c r="CD30" i="79" s="1"/>
  <c r="Y27" i="79"/>
  <c r="X27" i="79"/>
  <c r="W27" i="79"/>
  <c r="V27" i="79"/>
  <c r="U27" i="79"/>
  <c r="T27" i="79"/>
  <c r="S27" i="79"/>
  <c r="R27" i="79"/>
  <c r="Q27" i="79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FL22" i="79"/>
  <c r="FK22" i="79"/>
  <c r="FJ22" i="79"/>
  <c r="EX22" i="79"/>
  <c r="EN22" i="79"/>
  <c r="DA22" i="79"/>
  <c r="CZ22" i="79"/>
  <c r="CY22" i="79"/>
  <c r="CW22" i="79"/>
  <c r="CV22" i="79"/>
  <c r="CU22" i="79"/>
  <c r="CT22" i="79"/>
  <c r="CS22" i="79"/>
  <c r="CR22" i="79"/>
  <c r="CN22" i="79"/>
  <c r="CX22" i="79" s="1"/>
  <c r="Y22" i="79"/>
  <c r="X22" i="79"/>
  <c r="W22" i="79"/>
  <c r="V22" i="79"/>
  <c r="U22" i="79"/>
  <c r="T22" i="79"/>
  <c r="S22" i="79"/>
  <c r="R22" i="79"/>
  <c r="Q22" i="79"/>
  <c r="P22" i="79"/>
  <c r="O22" i="79"/>
  <c r="O23" i="79" s="1"/>
  <c r="I22" i="79"/>
  <c r="H22" i="79"/>
  <c r="E22" i="79"/>
  <c r="FL21" i="79"/>
  <c r="FK21" i="79"/>
  <c r="FJ21" i="79"/>
  <c r="EX21" i="79"/>
  <c r="EN21" i="79"/>
  <c r="DA21" i="79"/>
  <c r="CZ21" i="79"/>
  <c r="CY21" i="79"/>
  <c r="CX21" i="79"/>
  <c r="CW21" i="79"/>
  <c r="CV21" i="79"/>
  <c r="CU21" i="79"/>
  <c r="CT21" i="79"/>
  <c r="CS21" i="79"/>
  <c r="CR21" i="79"/>
  <c r="CN21" i="79"/>
  <c r="Y21" i="79"/>
  <c r="X21" i="79"/>
  <c r="W21" i="79"/>
  <c r="V21" i="79"/>
  <c r="U21" i="79"/>
  <c r="T21" i="79"/>
  <c r="S21" i="79"/>
  <c r="R21" i="79"/>
  <c r="Q21" i="79"/>
  <c r="P21" i="79"/>
  <c r="I21" i="79"/>
  <c r="H21" i="79"/>
  <c r="E21" i="79"/>
  <c r="I20" i="79"/>
  <c r="H20" i="79"/>
  <c r="E20" i="79"/>
  <c r="I19" i="79"/>
  <c r="H19" i="79"/>
  <c r="E19" i="79"/>
  <c r="I18" i="79"/>
  <c r="H18" i="79"/>
  <c r="E18" i="79"/>
  <c r="O17" i="79"/>
  <c r="O18" i="79" s="1"/>
  <c r="O19" i="79" s="1"/>
  <c r="O20" i="79" s="1"/>
  <c r="I17" i="79"/>
  <c r="H17" i="79"/>
  <c r="E17" i="79"/>
  <c r="EX11" i="79"/>
  <c r="EN11" i="79"/>
  <c r="CW11" i="79"/>
  <c r="CT11" i="79"/>
  <c r="CS11" i="79"/>
  <c r="CR11" i="79"/>
  <c r="CQ11" i="79"/>
  <c r="DA11" i="79" s="1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O16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ET60" i="79" l="1"/>
  <c r="ET14" i="79"/>
  <c r="EJ13" i="79"/>
  <c r="EJ15" i="79"/>
  <c r="ET15" i="79"/>
  <c r="EJ14" i="79"/>
  <c r="ET12" i="79"/>
  <c r="ET13" i="79"/>
  <c r="EJ12" i="79"/>
  <c r="CZ31" i="79"/>
  <c r="FR31" i="79"/>
  <c r="FK30" i="79"/>
  <c r="FP31" i="79"/>
  <c r="BY26" i="79"/>
  <c r="CR30" i="79"/>
  <c r="FJ30" i="79"/>
  <c r="CT30" i="79"/>
  <c r="FL30" i="79"/>
  <c r="CT31" i="79"/>
  <c r="EV69" i="79"/>
  <c r="EL13" i="79"/>
  <c r="EL14" i="79"/>
  <c r="EV15" i="79"/>
  <c r="EL15" i="79"/>
  <c r="EV12" i="79"/>
  <c r="EV13" i="79"/>
  <c r="EL12" i="79"/>
  <c r="EV14" i="79"/>
  <c r="FN30" i="79"/>
  <c r="EX31" i="79"/>
  <c r="ET9" i="79"/>
  <c r="EL10" i="79"/>
  <c r="EJ21" i="79"/>
  <c r="ET22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J34" i="79"/>
  <c r="EJ35" i="79"/>
  <c r="EJ36" i="79"/>
  <c r="EJ37" i="79"/>
  <c r="EV41" i="79"/>
  <c r="ET42" i="79"/>
  <c r="EV43" i="79"/>
  <c r="EV44" i="79"/>
  <c r="EV52" i="79"/>
  <c r="ET53" i="79"/>
  <c r="EL55" i="79"/>
  <c r="EJ56" i="79"/>
  <c r="EV60" i="79"/>
  <c r="ET61" i="79"/>
  <c r="EV9" i="79"/>
  <c r="EJ11" i="79"/>
  <c r="EL21" i="79"/>
  <c r="EV22" i="79"/>
  <c r="EL24" i="79"/>
  <c r="EV26" i="79"/>
  <c r="EL29" i="79"/>
  <c r="CX30" i="79"/>
  <c r="EL32" i="79"/>
  <c r="EL33" i="79"/>
  <c r="EL34" i="79"/>
  <c r="EL35" i="79"/>
  <c r="EL36" i="79"/>
  <c r="EL37" i="79"/>
  <c r="EV42" i="79"/>
  <c r="EV53" i="79"/>
  <c r="ET54" i="79"/>
  <c r="EL56" i="79"/>
  <c r="EJ57" i="79"/>
  <c r="EV61" i="79"/>
  <c r="ET62" i="79"/>
  <c r="EJ68" i="79"/>
  <c r="EJ71" i="79"/>
  <c r="ET10" i="79"/>
  <c r="EL11" i="79"/>
  <c r="EJ25" i="79"/>
  <c r="ET27" i="79"/>
  <c r="ET28" i="79"/>
  <c r="CZ30" i="79"/>
  <c r="EN30" i="79"/>
  <c r="CR31" i="79"/>
  <c r="FL31" i="79"/>
  <c r="EJ39" i="79"/>
  <c r="EJ40" i="79"/>
  <c r="EJ45" i="79"/>
  <c r="EJ49" i="79"/>
  <c r="EJ50" i="79"/>
  <c r="EV54" i="79"/>
  <c r="ET55" i="79"/>
  <c r="EL57" i="79"/>
  <c r="EJ58" i="79"/>
  <c r="EV62" i="79"/>
  <c r="EL68" i="79"/>
  <c r="EL71" i="79"/>
  <c r="EJ72" i="79"/>
  <c r="EV10" i="79"/>
  <c r="CN11" i="79"/>
  <c r="CX11" i="79" s="1"/>
  <c r="ET21" i="79"/>
  <c r="ET24" i="79"/>
  <c r="EL25" i="79"/>
  <c r="EV27" i="79"/>
  <c r="EV28" i="79"/>
  <c r="ET29" i="79"/>
  <c r="CS31" i="79"/>
  <c r="FN31" i="79"/>
  <c r="ET32" i="79"/>
  <c r="ET33" i="79"/>
  <c r="ET34" i="79"/>
  <c r="ET35" i="79"/>
  <c r="ET36" i="79"/>
  <c r="ET37" i="79"/>
  <c r="EL39" i="79"/>
  <c r="EL40" i="79"/>
  <c r="EL45" i="79"/>
  <c r="EL49" i="79"/>
  <c r="EL50" i="79"/>
  <c r="EJ51" i="79"/>
  <c r="EV55" i="79"/>
  <c r="ET56" i="79"/>
  <c r="EL58" i="79"/>
  <c r="EJ59" i="79"/>
  <c r="EJ69" i="79"/>
  <c r="EL72" i="79"/>
  <c r="ET11" i="79"/>
  <c r="EV21" i="79"/>
  <c r="EV24" i="79"/>
  <c r="EV29" i="79"/>
  <c r="EV32" i="79"/>
  <c r="EV33" i="79"/>
  <c r="EV34" i="79"/>
  <c r="EV35" i="79"/>
  <c r="EV36" i="79"/>
  <c r="EV37" i="79"/>
  <c r="EJ41" i="79"/>
  <c r="EJ43" i="79"/>
  <c r="EJ44" i="79"/>
  <c r="EL51" i="79"/>
  <c r="EJ52" i="79"/>
  <c r="EV56" i="79"/>
  <c r="ET57" i="79"/>
  <c r="EL59" i="79"/>
  <c r="EJ60" i="79"/>
  <c r="EL69" i="79"/>
  <c r="ET71" i="79"/>
  <c r="ET73" i="79"/>
  <c r="EJ9" i="79"/>
  <c r="EV11" i="79"/>
  <c r="EJ22" i="79"/>
  <c r="ET25" i="79"/>
  <c r="EJ26" i="79"/>
  <c r="O29" i="79"/>
  <c r="O31" i="79" s="1"/>
  <c r="ET39" i="79"/>
  <c r="ET40" i="79"/>
  <c r="EL41" i="79"/>
  <c r="EJ42" i="79"/>
  <c r="EL43" i="79"/>
  <c r="EL44" i="79"/>
  <c r="ET45" i="79"/>
  <c r="ET49" i="79"/>
  <c r="ET50" i="79"/>
  <c r="EL52" i="79"/>
  <c r="EJ53" i="79"/>
  <c r="EV57" i="79"/>
  <c r="ET58" i="79"/>
  <c r="EL60" i="79"/>
  <c r="EJ61" i="79"/>
  <c r="EV71" i="79"/>
  <c r="ET72" i="79"/>
  <c r="EV73" i="79"/>
  <c r="EL9" i="79"/>
  <c r="EL22" i="79"/>
  <c r="EV25" i="79"/>
  <c r="EL26" i="79"/>
  <c r="O30" i="79"/>
  <c r="EV39" i="79"/>
  <c r="EV40" i="79"/>
  <c r="EL42" i="79"/>
  <c r="EV45" i="79"/>
  <c r="EJ48" i="79"/>
  <c r="EV49" i="79"/>
  <c r="EV50" i="79"/>
  <c r="ET51" i="79"/>
  <c r="EL53" i="79"/>
  <c r="EJ54" i="79"/>
  <c r="EV58" i="79"/>
  <c r="ET59" i="79"/>
  <c r="EL61" i="79"/>
  <c r="EJ62" i="79"/>
  <c r="ET69" i="79"/>
  <c r="EV72" i="79"/>
  <c r="EJ10" i="79"/>
  <c r="EJ27" i="79"/>
  <c r="EJ28" i="79"/>
  <c r="ET41" i="79"/>
  <c r="ET43" i="79"/>
  <c r="ET44" i="79"/>
  <c r="EL48" i="79"/>
  <c r="EV51" i="79"/>
  <c r="ET52" i="79"/>
  <c r="EL54" i="79"/>
  <c r="EJ55" i="79"/>
  <c r="EV59" i="79"/>
  <c r="EL62" i="79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K42" i="82" l="1"/>
  <c r="D42" i="82"/>
  <c r="L42" i="82"/>
  <c r="J42" i="82"/>
  <c r="E42" i="82"/>
  <c r="M42" i="82"/>
  <c r="F42" i="82"/>
  <c r="N42" i="82"/>
  <c r="C42" i="82"/>
  <c r="C40" i="82" s="1"/>
  <c r="G42" i="82"/>
  <c r="O42" i="82"/>
  <c r="O41" i="82" s="1"/>
  <c r="H42" i="82"/>
  <c r="I42" i="82"/>
  <c r="O45" i="82"/>
  <c r="O43" i="82" s="1"/>
  <c r="C45" i="82"/>
  <c r="N45" i="82"/>
  <c r="I45" i="82"/>
  <c r="G45" i="82"/>
  <c r="M45" i="82"/>
  <c r="H45" i="82"/>
  <c r="L45" i="82"/>
  <c r="K45" i="82"/>
  <c r="F45" i="82"/>
  <c r="D45" i="82"/>
  <c r="J45" i="82"/>
  <c r="E45" i="82"/>
  <c r="EJ31" i="79"/>
  <c r="EJ30" i="79"/>
  <c r="EL31" i="79"/>
  <c r="EL30" i="79"/>
  <c r="EV30" i="79"/>
  <c r="EV31" i="79"/>
  <c r="ET30" i="79"/>
  <c r="ET31" i="79"/>
  <c r="O44" i="82" l="1"/>
  <c r="O40" i="82"/>
  <c r="C41" i="82"/>
  <c r="J43" i="82"/>
  <c r="J44" i="82"/>
  <c r="C44" i="82"/>
  <c r="C43" i="82"/>
  <c r="N41" i="82"/>
  <c r="N40" i="82"/>
  <c r="F41" i="82"/>
  <c r="F40" i="82"/>
  <c r="L43" i="82"/>
  <c r="L44" i="82"/>
  <c r="K41" i="82"/>
  <c r="K40" i="82"/>
  <c r="H44" i="82"/>
  <c r="H43" i="82"/>
  <c r="H41" i="82"/>
  <c r="H40" i="82"/>
  <c r="E43" i="82"/>
  <c r="E44" i="82"/>
  <c r="M44" i="82"/>
  <c r="M43" i="82"/>
  <c r="I40" i="82"/>
  <c r="I41" i="82"/>
  <c r="J40" i="82"/>
  <c r="J41" i="82"/>
  <c r="G40" i="82"/>
  <c r="G41" i="82"/>
  <c r="G43" i="82"/>
  <c r="G44" i="82"/>
  <c r="F43" i="82"/>
  <c r="F44" i="82"/>
  <c r="I43" i="82"/>
  <c r="I44" i="82"/>
  <c r="D41" i="82"/>
  <c r="D40" i="82"/>
  <c r="L41" i="82"/>
  <c r="L40" i="82"/>
  <c r="D44" i="82"/>
  <c r="D43" i="82"/>
  <c r="K43" i="82"/>
  <c r="K44" i="82"/>
  <c r="N44" i="82"/>
  <c r="N43" i="82"/>
  <c r="M41" i="82"/>
  <c r="M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M12" i="82" l="1"/>
  <c r="N12" i="82"/>
  <c r="M8" i="82"/>
  <c r="N8" i="82"/>
  <c r="M7" i="82"/>
  <c r="N7" i="82"/>
  <c r="M6" i="82"/>
  <c r="N6" i="82"/>
  <c r="M5" i="82"/>
  <c r="N5" i="82"/>
  <c r="G12" i="82" l="1"/>
  <c r="H12" i="82"/>
  <c r="I12" i="82"/>
  <c r="J12" i="82"/>
  <c r="K12" i="82"/>
  <c r="L12" i="82"/>
  <c r="D8" i="82"/>
  <c r="E8" i="82"/>
  <c r="G8" i="82"/>
  <c r="H8" i="82"/>
  <c r="I8" i="82"/>
  <c r="J8" i="82"/>
  <c r="K8" i="82"/>
  <c r="L8" i="82"/>
  <c r="C8" i="82"/>
  <c r="D7" i="82"/>
  <c r="E7" i="82"/>
  <c r="G7" i="82"/>
  <c r="H7" i="82"/>
  <c r="I7" i="82"/>
  <c r="J7" i="82"/>
  <c r="K7" i="82"/>
  <c r="L7" i="82"/>
  <c r="D6" i="82"/>
  <c r="E6" i="82"/>
  <c r="G6" i="82"/>
  <c r="H6" i="82"/>
  <c r="I6" i="82"/>
  <c r="J6" i="82"/>
  <c r="K6" i="82"/>
  <c r="L6" i="82"/>
  <c r="L5" i="82"/>
  <c r="I5" i="82"/>
  <c r="E5" i="82"/>
  <c r="A6" i="82"/>
  <c r="B7" i="82"/>
  <c r="B8" i="82"/>
  <c r="O23" i="82" l="1"/>
  <c r="O22" i="82"/>
  <c r="O21" i="82"/>
  <c r="D23" i="82"/>
  <c r="D22" i="82"/>
  <c r="D21" i="82"/>
  <c r="F22" i="82"/>
  <c r="E23" i="82"/>
  <c r="E21" i="82"/>
  <c r="C23" i="82"/>
  <c r="C22" i="82"/>
  <c r="C21" i="82"/>
  <c r="K22" i="82"/>
  <c r="F21" i="82"/>
  <c r="J22" i="82"/>
  <c r="N23" i="82"/>
  <c r="I23" i="82"/>
  <c r="N22" i="82"/>
  <c r="I22" i="82"/>
  <c r="N21" i="82"/>
  <c r="I21" i="82"/>
  <c r="G23" i="82"/>
  <c r="G22" i="82"/>
  <c r="L21" i="82"/>
  <c r="K23" i="82"/>
  <c r="K21" i="82"/>
  <c r="J23" i="82"/>
  <c r="J21" i="82"/>
  <c r="M23" i="82"/>
  <c r="H23" i="82"/>
  <c r="M22" i="82"/>
  <c r="H22" i="82"/>
  <c r="M21" i="82"/>
  <c r="H21" i="82"/>
  <c r="L23" i="82"/>
  <c r="L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B6" i="82" l="1"/>
  <c r="D5" i="82" l="1"/>
  <c r="G5" i="82"/>
  <c r="H5" i="82"/>
  <c r="J5" i="82"/>
  <c r="K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2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2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2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2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3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3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3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3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4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4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4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5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5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5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5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5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5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6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7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7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7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7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7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7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7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7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7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7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7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7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7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7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7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7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7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7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7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7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7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7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7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7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7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7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7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7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7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7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7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7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7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7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7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7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7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7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7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7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7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7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7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7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7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7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7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7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7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7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7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7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7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7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7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7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7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7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7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7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7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7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7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7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7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7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7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7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7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7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7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7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7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7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7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7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7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7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7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7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7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7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7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7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7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7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7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7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7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7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7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7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7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7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7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7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7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7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7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7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7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7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7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7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7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7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7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7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7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7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7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7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7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7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7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7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7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7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7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7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7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7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7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7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7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7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8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8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8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8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8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8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8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8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8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8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8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8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8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8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8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8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8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8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8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8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8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8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8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8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8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8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8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8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8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8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8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8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8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8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8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8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8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8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8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8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8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8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8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8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8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8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8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8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8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8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8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8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8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8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8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8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8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8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8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8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8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8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8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8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8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8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8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8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8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8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8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8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8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8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8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8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8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8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8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8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8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8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8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8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8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8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8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8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8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8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8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8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8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8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8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8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8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8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8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8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8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8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8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8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8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8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8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8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8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8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8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8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8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8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8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8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8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8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8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8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8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8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8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8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8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8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8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8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8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8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8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8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8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8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8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8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8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8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8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8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8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8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8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8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8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8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8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8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8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9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9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9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9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9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9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9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9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9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9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9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9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9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9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9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9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9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9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9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9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9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9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9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9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9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9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9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9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9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9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9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9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9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9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9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9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9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9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9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9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9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9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9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9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9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9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9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9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9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9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9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9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9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9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9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9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9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9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9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9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9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9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9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9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9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9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9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9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9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9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9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9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9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9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9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9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9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9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9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9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9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9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9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9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9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9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9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9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9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9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9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9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9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9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9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9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9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9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9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9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9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9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9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9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9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9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9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9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9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9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9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9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9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9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9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9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9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9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9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9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9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9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9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9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9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9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9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9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9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9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9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9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9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9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9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9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9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9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9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9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9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9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9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9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9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9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9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9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9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9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0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0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0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0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0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0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0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0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0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0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0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0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0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0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0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0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0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0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0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0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0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0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0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0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0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0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0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0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0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0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0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0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0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0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0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0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0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0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0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0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0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0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0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0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0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0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0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0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0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0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0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0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0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0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0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0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0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0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0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0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0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0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0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0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0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0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0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0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0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0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0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0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0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0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0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0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0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0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0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0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0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0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0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0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0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0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0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0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0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0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0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0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0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0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0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0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0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0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0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0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0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0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0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0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0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0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0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0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0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0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0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0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0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0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0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0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0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0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0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0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0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0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0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0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0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0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0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0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0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0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0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0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0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0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0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0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0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0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0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0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0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0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0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0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0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0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0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0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0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0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1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1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1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1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1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1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1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1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1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1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1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1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1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1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1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1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1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1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1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1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1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1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1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1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1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1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1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1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1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1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1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1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1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1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1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1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1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1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1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1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1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1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1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1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1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1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1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1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1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1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1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1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1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1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1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1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1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1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1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1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1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1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1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1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1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1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2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2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2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2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2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2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2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2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2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2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2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2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2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2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2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2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2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2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2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2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2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2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2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2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2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2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2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2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2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2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2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2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2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2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2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2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2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2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2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2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2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2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2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2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2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2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2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2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2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2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2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2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2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2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2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2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2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2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2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2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2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2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2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2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2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2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2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2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2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7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7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7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7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7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7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7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7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7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8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8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8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8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8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8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8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8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8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9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9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9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9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9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9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9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9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9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0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0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0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0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0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0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0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0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0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1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2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2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2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2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2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2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2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2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2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2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3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3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3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3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3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3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3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3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3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3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5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5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5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5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5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5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5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5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5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5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5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5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5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5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5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5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5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5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5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5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5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5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5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5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5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5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5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5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5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6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6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6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6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6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6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6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6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6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6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8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8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8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8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8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8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8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8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8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8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8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8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8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8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8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8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8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8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8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8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8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8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8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8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8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8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8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8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8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8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9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3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1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1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1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1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1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1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1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1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1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1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2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2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2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2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2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2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2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2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2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2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3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3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3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3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3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3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3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3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3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3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3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3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3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3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3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3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3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3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3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3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3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3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3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3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3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3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3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3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3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<sst xmlns="http://schemas.openxmlformats.org/spreadsheetml/2006/main" count="5909" uniqueCount="529">
  <si>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</si>
  <si>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</si>
  <si>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</si>
  <si>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</si>
  <si>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</si>
  <si>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</si>
  <si>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</si>
  <si>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</si>
  <si>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</si>
  <si>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</si>
  <si>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</si>
  <si>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</si>
  <si>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</si>
  <si>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</si>
  <si>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</si>
  <si>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</si>
  <si>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</si>
  <si>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</si>
  <si>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</si>
  <si>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</si>
  <si>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</si>
  <si>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</si>
  <si>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</si>
  <si>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</si>
  <si>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</si>
  <si>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</si>
  <si>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</si>
  <si>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</si>
  <si>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</si>
  <si>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</si>
  <si>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</si>
  <si>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</si>
  <si>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</si>
  <si>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</si>
  <si>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</si>
  <si>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</si>
  <si>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</si>
  <si>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</si>
  <si>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</si>
  <si>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</si>
  <si>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</si>
  <si>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</si>
  <si>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</si>
  <si>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</si>
  <si>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</si>
  <si>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</si>
  <si>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</si>
  <si>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</si>
  <si>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</si>
  <si>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</si>
  <si>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</si>
  <si>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</si>
  <si>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</si>
  <si>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</si>
  <si>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</si>
  <si>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</si>
  <si>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</si>
  <si>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</si>
  <si>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</si>
  <si>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</si>
  <si>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</si>
  <si>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</si>
  <si>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</si>
  <si>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</si>
  <si>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</si>
  <si>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</si>
  <si>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</si>
  <si>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</si>
  <si>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</si>
  <si>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</si>
  <si>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</si>
  <si>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</si>
  <si>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</si>
  <si>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</si>
  <si>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</si>
  <si>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</si>
  <si>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</si>
  <si>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</si>
  <si>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</si>
  <si>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</si>
  <si>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</si>
  <si>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</si>
  <si>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</si>
  <si>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</si>
  <si>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</si>
  <si>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</si>
  <si>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</si>
  <si>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</si>
  <si>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</si>
  <si>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</si>
  <si>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</si>
  <si>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</si>
  <si>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</si>
  <si>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</si>
  <si>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</si>
  <si>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</si>
  <si>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</si>
  <si>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</si>
  <si>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</si>
  <si>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</si>
  <si>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</si>
  <si>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</si>
  <si>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</si>
  <si>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</si>
  <si>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</si>
  <si>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</si>
  <si>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</si>
  <si>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</si>
  <si>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</si>
  <si>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</si>
  <si>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</si>
  <si>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</si>
  <si>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</si>
  <si>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</si>
  <si>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</si>
  <si>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</si>
  <si>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</si>
  <si>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</si>
  <si>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</si>
  <si>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</si>
  <si>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</si>
  <si>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</si>
  <si>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</si>
  <si>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</si>
  <si>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</si>
  <si>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</si>
  <si>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</si>
  <si>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</si>
  <si>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</si>
  <si>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</si>
  <si>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</si>
  <si>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</si>
  <si>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</si>
  <si>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</si>
  <si>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</si>
  <si>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</si>
  <si>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</si>
  <si>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</si>
  <si>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</si>
  <si>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</si>
  <si>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</si>
  <si>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</si>
  <si>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</si>
  <si>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</si>
  <si>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</si>
  <si>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</si>
  <si>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</si>
  <si>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</si>
  <si>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</si>
  <si>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</si>
  <si>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</si>
  <si>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</si>
  <si>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</si>
  <si>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</si>
  <si>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</si>
  <si>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</si>
  <si>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</si>
  <si>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</si>
  <si>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</si>
  <si>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</si>
  <si>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</si>
  <si>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</si>
  <si>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</si>
  <si>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</si>
  <si>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</si>
  <si>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</si>
  <si>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</si>
  <si>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</si>
  <si>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</si>
  <si>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</si>
  <si>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</si>
  <si>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</si>
  <si>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</si>
  <si>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</si>
  <si>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</si>
  <si>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</si>
  <si>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</si>
  <si>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</si>
  <si>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</si>
  <si>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</si>
  <si>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</si>
  <si>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</si>
  <si>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</si>
  <si>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</si>
  <si>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</si>
  <si>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</si>
  <si>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</si>
  <si>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</si>
  <si>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</si>
  <si>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</si>
  <si>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</si>
  <si>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</si>
  <si>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</si>
  <si>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</si>
  <si>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</si>
  <si>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</si>
  <si>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</si>
  <si>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</si>
  <si>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</si>
  <si>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</si>
  <si>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</si>
  <si>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</si>
  <si>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</si>
  <si>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</si>
  <si>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</si>
  <si>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</si>
  <si>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</si>
  <si>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</si>
  <si>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</si>
  <si>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</si>
  <si>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</si>
  <si>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</si>
  <si>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</si>
  <si>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</si>
  <si>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</si>
  <si>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</si>
  <si>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</si>
  <si>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</si>
  <si>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</si>
  <si>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</si>
  <si>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</si>
  <si>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</si>
  <si>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</si>
  <si>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</si>
  <si>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</si>
  <si>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</si>
  <si>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</si>
  <si>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</si>
  <si>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</si>
  <si>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</si>
  <si>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</si>
  <si>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</si>
  <si>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</si>
  <si>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</si>
  <si>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</si>
  <si>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</si>
  <si>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</si>
  <si>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</si>
  <si>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</si>
  <si>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</si>
  <si>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</si>
  <si>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</si>
  <si>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</si>
  <si>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</si>
  <si>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</si>
  <si>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</si>
  <si>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</si>
  <si>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</si>
  <si>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</si>
  <si>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</si>
  <si>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</si>
  <si>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</si>
  <si>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</si>
  <si>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</si>
  <si>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</si>
  <si>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</si>
  <si>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</si>
  <si>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</si>
  <si>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</si>
  <si>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</si>
  <si>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</si>
  <si>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</si>
  <si>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</si>
  <si>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</si>
  <si>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</si>
  <si>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</si>
  <si>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</si>
  <si>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</si>
  <si>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</si>
  <si>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</si>
  <si>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</si>
  <si>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</si>
  <si>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</si>
  <si>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</si>
  <si>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</si>
  <si>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</si>
  <si>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</si>
  <si>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</si>
  <si>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</si>
  <si>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</si>
  <si>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</si>
  <si>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</si>
  <si>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</si>
  <si>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</si>
  <si>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</si>
  <si>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</si>
  <si>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</si>
  <si>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</si>
  <si>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</si>
  <si>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</si>
  <si>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</si>
  <si>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</si>
  <si>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</si>
  <si>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</si>
  <si>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</si>
  <si>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</si>
  <si>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</si>
  <si>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</si>
  <si>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</si>
  <si>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</si>
  <si>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</si>
  <si>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</si>
  <si>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</si>
  <si>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</si>
  <si>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</si>
  <si>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</si>
  <si>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</si>
  <si>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</si>
  <si>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</si>
  <si>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</si>
  <si>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</si>
  <si>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</si>
  <si>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</si>
  <si>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</si>
  <si>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</si>
  <si>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</si>
  <si>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</si>
  <si>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</si>
  <si>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</si>
  <si>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</si>
  <si>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</si>
  <si>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</si>
  <si>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</si>
  <si>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</si>
  <si>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</si>
  <si>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</si>
  <si>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</si>
  <si>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</si>
  <si>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</si>
  <si>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</si>
  <si>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</si>
  <si>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</si>
  <si>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</si>
  <si>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</si>
  <si>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</si>
  <si>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</si>
  <si>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</si>
  <si>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</si>
  <si>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</si>
  <si>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</si>
  <si>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</si>
  <si>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</si>
  <si>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</si>
  <si>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</si>
  <si>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</si>
  <si>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</si>
  <si>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</si>
  <si>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</si>
  <si>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</si>
  <si>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</si>
  <si>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</si>
  <si>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</si>
  <si>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</si>
  <si>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</si>
  <si>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</si>
  <si>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</si>
  <si>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</si>
  <si>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</si>
  <si>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</si>
  <si>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</si>
  <si>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</si>
  <si>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</si>
  <si>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</si>
  <si>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</si>
  <si>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</si>
  <si>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</si>
  <si>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</si>
  <si>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</si>
  <si>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</si>
  <si>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</si>
  <si>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</si>
  <si>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</si>
  <si>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</si>
  <si>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</si>
  <si>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</si>
  <si>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</si>
  <si>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</si>
  <si>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</si>
  <si>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</si>
  <si>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</si>
  <si>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</si>
  <si>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</si>
  <si>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</si>
  <si>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</si>
  <si>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</si>
  <si>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</si>
  <si>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</si>
  <si>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</si>
  <si>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</si>
  <si>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</si>
  <si>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</si>
  <si>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</si>
  <si>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</si>
  <si>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</si>
  <si>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</si>
  <si>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</si>
  <si>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</si>
  <si>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</si>
  <si>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</si>
  <si>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</si>
  <si>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</si>
  <si>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</si>
  <si>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</si>
  <si>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</si>
  <si>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</si>
  <si>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</si>
  <si>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</si>
  <si>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</si>
  <si>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</si>
  <si>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</si>
  <si>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</si>
  <si>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</si>
  <si>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</si>
  <si>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</si>
  <si>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</si>
  <si>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</si>
  <si>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</si>
  <si>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</si>
  <si>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</si>
  <si>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</si>
  <si>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</si>
  <si>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</si>
  <si>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</si>
  <si>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</si>
  <si>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</si>
  <si>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</si>
  <si>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</si>
  <si>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</si>
  <si>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</si>
  <si>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</si>
  <si>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</si>
  <si>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</si>
  <si>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</si>
  <si>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</si>
  <si>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</si>
  <si>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</si>
  <si>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</si>
  <si>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</si>
  <si>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</si>
  <si>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</si>
  <si>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</si>
  <si>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</si>
  <si>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</si>
  <si>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</si>
  <si>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</si>
  <si>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</si>
  <si>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</si>
  <si>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</si>
  <si>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</si>
  <si>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</si>
  <si>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</si>
  <si>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</si>
  <si>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</si>
  <si>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</si>
  <si>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</si>
  <si>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</si>
  <si>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</si>
  <si>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</si>
  <si>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</si>
  <si>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</si>
  <si>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</si>
  <si>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</si>
  <si>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</si>
  <si>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</si>
  <si>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</si>
  <si>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</si>
  <si>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</si>
  <si>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</si>
  <si>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</si>
  <si>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</si>
  <si>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</si>
  <si>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</si>
  <si>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</si>
  <si>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</si>
  <si>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</si>
  <si>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</si>
  <si>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</si>
  <si>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</si>
  <si>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</si>
  <si>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</si>
  <si>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</si>
  <si>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</si>
  <si>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</si>
  <si>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</si>
  <si>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</si>
  <si>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</si>
  <si>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</si>
  <si>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</si>
  <si>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</si>
  <si>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</si>
  <si>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</si>
  <si>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</si>
  <si>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</si>
  <si>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</si>
  <si>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</si>
  <si>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</si>
  <si>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</si>
  <si>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</si>
  <si>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</si>
  <si>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</si>
  <si>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</si>
  <si>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</si>
  <si>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</si>
  <si>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</si>
  <si>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</si>
  <si>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</si>
  <si>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</si>
  <si>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Grid-connected</t>
  </si>
  <si>
    <t>2030 NH3 SOEC</t>
  </si>
  <si>
    <t>2030 NH3 AEC</t>
  </si>
  <si>
    <t>2030 NH3 Mix</t>
  </si>
  <si>
    <t>NH3-SOEC base case</t>
  </si>
  <si>
    <t>NH3-Mix base case</t>
  </si>
  <si>
    <t>NH3-AEC base case</t>
  </si>
  <si>
    <t>Base case</t>
  </si>
  <si>
    <t>Morocco</t>
  </si>
  <si>
    <t>2030 NH3 SOEC - MA</t>
  </si>
  <si>
    <t>2020ma</t>
  </si>
  <si>
    <t>Morocco - offshore</t>
  </si>
  <si>
    <t>Morocco - onshore</t>
  </si>
  <si>
    <t>Arica - offshore</t>
  </si>
  <si>
    <t>Ceduna - offshore</t>
  </si>
  <si>
    <t>Esbjerg - offshore</t>
  </si>
  <si>
    <t>2030 NH3 SOEC - AU</t>
  </si>
  <si>
    <t>2030 NH3 SOEC - CL</t>
  </si>
  <si>
    <t>2030 NH3 SOEC - DK</t>
  </si>
  <si>
    <t>Arica - onshore</t>
  </si>
  <si>
    <t>Ceduna - onshore</t>
  </si>
  <si>
    <t>Bornholm -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</si>
</sst>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7" borderId="1" xfId="0" applyFill="1" applyBorder="1"/>
    <xf numFmtId="0" fontId="0" fillId="7" borderId="2" xfId="0" applyFill="1" applyBorder="1"/>
    <xf numFmtId="0" fontId="4" fillId="0" borderId="0" xfId="0" applyFont="1" applyAlignment="1">
      <alignment horizontal="left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/>
    <xf numFmtId="9" fontId="0" fillId="7" borderId="0" xfId="1" applyFont="1" applyFill="1"/>
    <xf numFmtId="166" fontId="0" fillId="7" borderId="0" xfId="0" applyNumberFormat="1" applyFill="1"/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3" xfId="0" applyFill="1" applyBorder="1"/>
    <xf numFmtId="0" fontId="3" fillId="7" borderId="3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3" xfId="0" applyBorder="1"/>
    <xf numFmtId="0" fontId="0" fillId="7" borderId="0" xfId="0" applyFill="1" applyAlignment="1">
      <alignment horizontal="left"/>
    </xf>
    <xf numFmtId="0" fontId="3" fillId="7" borderId="0" xfId="0" applyFont="1" applyFill="1" applyAlignment="1">
      <alignment horizontal="right"/>
    </xf>
    <xf numFmtId="164" fontId="4" fillId="0" borderId="0" xfId="0" applyNumberFormat="1" applyFont="1"/>
    <xf numFmtId="0" fontId="0" fillId="4" borderId="0" xfId="0" quotePrefix="1" applyFill="1"/>
    <xf numFmtId="0" fontId="6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/>
    <xf numFmtId="0" fontId="4" fillId="0" borderId="6" xfId="0" applyFont="1" applyBorder="1" applyAlignment="1">
      <alignment horizontal="right"/>
    </xf>
    <xf numFmtId="0" fontId="0" fillId="7" borderId="6" xfId="0" applyFill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3"/>
  <sheetViews>
    <sheetView workbookViewId="0">
      <pane xSplit="5" ySplit="8" topLeftCell="FM12" activePane="bottomRight" state="frozen"/>
      <selection pane="topRight" activeCell="F1" sqref="F1"/>
      <selection pane="bottomLeft" activeCell="A12" sqref="A12"/>
      <selection pane="bottomRight" activeCell="FN24" sqref="FN24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107" t="s">
        <v>0</v>
      </c>
      <c r="B4" s="107"/>
      <c r="C4" s="107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105" t="s">
        <v>79</v>
      </c>
      <c r="Q4" s="105"/>
      <c r="R4" s="105"/>
      <c r="S4" s="105"/>
      <c r="T4" s="105"/>
      <c r="U4" s="105"/>
      <c r="V4" s="105"/>
      <c r="W4" s="105"/>
      <c r="X4" s="105"/>
      <c r="Y4" s="105"/>
      <c r="Z4" s="105" t="s">
        <v>80</v>
      </c>
      <c r="AA4" s="105"/>
      <c r="AB4" s="105"/>
      <c r="AC4" s="105"/>
      <c r="AD4" s="105"/>
      <c r="AE4" s="105"/>
      <c r="AF4" s="105"/>
      <c r="AG4" s="105"/>
      <c r="AH4" s="105"/>
      <c r="AI4" s="105"/>
      <c r="AJ4" s="105" t="s">
        <v>407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5" t="s">
        <v>81</v>
      </c>
      <c r="AU4" s="105"/>
      <c r="AV4" s="105"/>
      <c r="AW4" s="105"/>
      <c r="AX4" s="105"/>
      <c r="AY4" s="105"/>
      <c r="AZ4" s="105"/>
      <c r="BA4" s="105"/>
      <c r="BB4" s="105"/>
      <c r="BC4" s="29"/>
      <c r="BD4" s="105" t="s">
        <v>82</v>
      </c>
      <c r="BE4" s="105"/>
      <c r="BF4" s="105"/>
      <c r="BG4" s="105"/>
      <c r="BH4" s="105"/>
      <c r="BI4" s="105"/>
      <c r="BJ4" s="105"/>
      <c r="BK4" s="105"/>
      <c r="BL4" s="105"/>
      <c r="BM4" s="29"/>
      <c r="BN4" s="105" t="s">
        <v>83</v>
      </c>
      <c r="BO4" s="105"/>
      <c r="BP4" s="105"/>
      <c r="BQ4" s="105"/>
      <c r="BR4" s="105"/>
      <c r="BS4" s="105"/>
      <c r="BT4" s="105"/>
      <c r="BU4" s="105"/>
      <c r="BV4" s="105"/>
      <c r="BW4" s="29"/>
      <c r="BX4" s="105" t="s">
        <v>84</v>
      </c>
      <c r="BY4" s="105"/>
      <c r="BZ4" s="105"/>
      <c r="CA4" s="105"/>
      <c r="CB4" s="105"/>
      <c r="CC4" s="105"/>
      <c r="CD4" s="105"/>
      <c r="CE4" s="105"/>
      <c r="CF4" s="105"/>
      <c r="CG4" s="29"/>
      <c r="CH4" s="105" t="s">
        <v>183</v>
      </c>
      <c r="CI4" s="105"/>
      <c r="CJ4" s="105"/>
      <c r="CK4" s="105"/>
      <c r="CL4" s="105"/>
      <c r="CM4" s="105"/>
      <c r="CN4" s="105"/>
      <c r="CO4" s="105"/>
      <c r="CP4" s="105"/>
      <c r="CQ4" s="29"/>
      <c r="CR4" s="105" t="s">
        <v>184</v>
      </c>
      <c r="CS4" s="105"/>
      <c r="CT4" s="105"/>
      <c r="CU4" s="105"/>
      <c r="CV4" s="105"/>
      <c r="CW4" s="105"/>
      <c r="CX4" s="105"/>
      <c r="CY4" s="105"/>
      <c r="CZ4" s="105"/>
      <c r="DA4" s="29"/>
      <c r="DB4" s="105" t="s">
        <v>185</v>
      </c>
      <c r="DC4" s="105"/>
      <c r="DD4" s="105"/>
      <c r="DE4" s="105"/>
      <c r="DF4" s="105"/>
      <c r="DG4" s="105"/>
      <c r="DH4" s="105"/>
      <c r="DI4" s="105"/>
      <c r="DJ4" s="105"/>
      <c r="DK4" s="29"/>
      <c r="DL4" s="105" t="s">
        <v>186</v>
      </c>
      <c r="DM4" s="105"/>
      <c r="DN4" s="105"/>
      <c r="DO4" s="105"/>
      <c r="DP4" s="105"/>
      <c r="DQ4" s="105"/>
      <c r="DR4" s="105"/>
      <c r="DS4" s="105"/>
      <c r="DT4" s="105"/>
      <c r="DU4" s="29"/>
      <c r="DV4" s="105" t="s">
        <v>187</v>
      </c>
      <c r="DW4" s="105"/>
      <c r="DX4" s="105"/>
      <c r="DY4" s="105"/>
      <c r="DZ4" s="105"/>
      <c r="EA4" s="105"/>
      <c r="EB4" s="105"/>
      <c r="EC4" s="105"/>
      <c r="ED4" s="105"/>
      <c r="EE4" s="29"/>
      <c r="EF4" s="105" t="s">
        <v>132</v>
      </c>
      <c r="EG4" s="105"/>
      <c r="EH4" s="105"/>
      <c r="EI4" s="105"/>
      <c r="EJ4" s="105"/>
      <c r="EK4" s="105"/>
      <c r="EL4" s="105"/>
      <c r="EM4" s="105"/>
      <c r="EN4" s="105"/>
      <c r="EO4" s="29"/>
      <c r="EP4" s="105" t="s">
        <v>85</v>
      </c>
      <c r="EQ4" s="105"/>
      <c r="ER4" s="105"/>
      <c r="ES4" s="105"/>
      <c r="ET4" s="105"/>
      <c r="EU4" s="105"/>
      <c r="EV4" s="105"/>
      <c r="EW4" s="105"/>
      <c r="EX4" s="105"/>
      <c r="EY4" s="29"/>
      <c r="EZ4" s="105" t="s">
        <v>178</v>
      </c>
      <c r="FA4" s="105"/>
      <c r="FB4" s="105"/>
      <c r="FC4" s="105"/>
      <c r="FD4" s="105"/>
      <c r="FE4" s="105"/>
      <c r="FF4" s="105"/>
      <c r="FG4" s="105"/>
      <c r="FH4" s="105"/>
      <c r="FI4" s="29"/>
      <c r="FJ4" s="105" t="s">
        <v>86</v>
      </c>
      <c r="FK4" s="105"/>
      <c r="FL4" s="105"/>
      <c r="FM4" s="105"/>
      <c r="FN4" s="105"/>
      <c r="FO4" s="105"/>
      <c r="FP4" s="105"/>
      <c r="FQ4" s="105"/>
      <c r="FR4" s="105"/>
      <c r="FS4" s="105"/>
    </row>
    <row r="5" spans="1:175" s="5" customFormat="1" ht="15" customHeight="1" x14ac:dyDescent="0.3">
      <c r="A5" s="37"/>
      <c r="B5" s="108" t="s">
        <v>7</v>
      </c>
      <c r="C5" s="109" t="s">
        <v>8</v>
      </c>
      <c r="D5" s="108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8"/>
      <c r="C6" s="109"/>
      <c r="D6" s="108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63" customHeight="1" x14ac:dyDescent="0.3">
      <c r="A7" s="45"/>
      <c r="B7" s="108"/>
      <c r="C7" s="109"/>
      <c r="D7" s="108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8"/>
      <c r="C8" s="109"/>
      <c r="D8" s="108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106" t="s">
        <v>11</v>
      </c>
      <c r="B9" s="3" t="s">
        <v>135</v>
      </c>
      <c r="C9" s="11" t="s">
        <v>277</v>
      </c>
      <c r="D9" s="2" t="s">
        <v>77</v>
      </c>
      <c r="E9" s="9">
        <f t="shared" ref="E9:E73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29" si="6">$EG9*B$3</f>
        <v>0</v>
      </c>
      <c r="EK9">
        <v>0</v>
      </c>
      <c r="EL9">
        <f t="shared" ref="EL9:EL29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29" si="9">$EQ9*B$3</f>
        <v>5.6800000000000002E-3</v>
      </c>
      <c r="EU9">
        <v>0</v>
      </c>
      <c r="EV9">
        <f t="shared" ref="EV9:EV29" si="10">$EQ9*C$3</f>
        <v>5.6800000000000002E-3</v>
      </c>
      <c r="EW9">
        <v>0</v>
      </c>
      <c r="EX9">
        <f t="shared" ref="EX9:EX29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106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29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6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B32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106"/>
      <c r="B12" s="3" t="s">
        <v>135</v>
      </c>
      <c r="C12" s="11" t="s">
        <v>277</v>
      </c>
      <c r="D12" s="2" t="s">
        <v>436</v>
      </c>
      <c r="E12" s="9">
        <f t="shared" ref="E12:E15" si="14">ROW(D12)-ROW($E$8)</f>
        <v>4</v>
      </c>
      <c r="F12" s="13">
        <v>1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20000</v>
      </c>
      <c r="P12">
        <v>1.54</v>
      </c>
      <c r="Q12">
        <v>1.54</v>
      </c>
      <c r="R12">
        <v>1.54</v>
      </c>
      <c r="S12">
        <v>1.54</v>
      </c>
      <c r="T12">
        <v>1.54</v>
      </c>
      <c r="U12">
        <v>1.54</v>
      </c>
      <c r="V12">
        <v>1.54</v>
      </c>
      <c r="W12">
        <v>1.54</v>
      </c>
      <c r="X12">
        <v>1.54</v>
      </c>
      <c r="Y12">
        <v>1.54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0.18992999999999999</v>
      </c>
      <c r="DW12">
        <v>0.14244999999999999</v>
      </c>
      <c r="DX12">
        <v>9.4969999999999999E-2</v>
      </c>
      <c r="DY12">
        <v>0.18992999999999999</v>
      </c>
      <c r="DZ12">
        <v>0.14244999999999999</v>
      </c>
      <c r="EA12">
        <v>9.4969999999999999E-2</v>
      </c>
      <c r="EB12">
        <v>0.14244999999999999</v>
      </c>
      <c r="EC12">
        <v>0.18992999999999999</v>
      </c>
      <c r="ED12">
        <v>0.14244999999999999</v>
      </c>
      <c r="EE12">
        <v>9.4969999999999999E-2</v>
      </c>
      <c r="EF12">
        <v>3.560584789265715</v>
      </c>
      <c r="EG12">
        <v>3.560584789265715</v>
      </c>
      <c r="EH12">
        <v>3.560584789265715</v>
      </c>
      <c r="EI12">
        <v>0</v>
      </c>
      <c r="EJ12">
        <f t="shared" ref="EJ12" si="15">$EG12*B$3</f>
        <v>3.560584789265715</v>
      </c>
      <c r="EK12">
        <v>0</v>
      </c>
      <c r="EL12">
        <f t="shared" ref="EL12" si="16">$EG12*C$3</f>
        <v>3.560584789265715</v>
      </c>
      <c r="EM12">
        <v>0</v>
      </c>
      <c r="EN12">
        <f t="shared" ref="EN12" si="17">$EG12*D$3</f>
        <v>3.560584789265715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f t="shared" ref="ET12" si="18">$EQ12*B$3</f>
        <v>0</v>
      </c>
      <c r="EU12">
        <v>0</v>
      </c>
      <c r="EV12">
        <f t="shared" ref="EV12" si="19">$EQ12*C$3</f>
        <v>0</v>
      </c>
      <c r="EW12">
        <v>0</v>
      </c>
      <c r="EX12">
        <f t="shared" ref="EX12" si="20">$EQ12*D$3</f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6"/>
      <c r="B13" s="3" t="s">
        <v>135</v>
      </c>
      <c r="C13" s="11" t="s">
        <v>277</v>
      </c>
      <c r="D13" s="2" t="s">
        <v>437</v>
      </c>
      <c r="E13" s="9">
        <f t="shared" si="14"/>
        <v>5</v>
      </c>
      <c r="F13" s="13">
        <v>1</v>
      </c>
      <c r="G13" s="13" t="s">
        <v>437</v>
      </c>
      <c r="H13">
        <v>0</v>
      </c>
      <c r="I13" s="24" t="str">
        <f t="shared" ref="I13:I15" si="21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20000</v>
      </c>
      <c r="P13">
        <v>2.21</v>
      </c>
      <c r="Q13">
        <v>2.21</v>
      </c>
      <c r="R13">
        <v>2.21</v>
      </c>
      <c r="S13">
        <v>2.21</v>
      </c>
      <c r="T13">
        <v>2.21</v>
      </c>
      <c r="U13">
        <v>2.21</v>
      </c>
      <c r="V13">
        <v>2.21</v>
      </c>
      <c r="W13">
        <v>2.21</v>
      </c>
      <c r="X13">
        <v>2.21</v>
      </c>
      <c r="Y13">
        <v>2.21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1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0.18992999999999999</v>
      </c>
      <c r="DW13">
        <v>0.14244999999999999</v>
      </c>
      <c r="DX13">
        <v>9.4969999999999999E-2</v>
      </c>
      <c r="DY13">
        <v>0.18992999999999999</v>
      </c>
      <c r="DZ13">
        <v>0.14244999999999999</v>
      </c>
      <c r="EA13">
        <v>9.4969999999999999E-2</v>
      </c>
      <c r="EB13">
        <v>0.14244999999999999</v>
      </c>
      <c r="EC13">
        <v>0.18992999999999999</v>
      </c>
      <c r="ED13">
        <v>0.14244999999999999</v>
      </c>
      <c r="EE13">
        <v>9.4969999999999999E-2</v>
      </c>
      <c r="EF13">
        <v>3.560584789265715</v>
      </c>
      <c r="EG13">
        <v>3.560584789265715</v>
      </c>
      <c r="EH13">
        <v>3.560584789265715</v>
      </c>
      <c r="EI13">
        <v>0</v>
      </c>
      <c r="EJ13">
        <f t="shared" ref="EJ13:EJ15" si="22">$EG13*B$3</f>
        <v>3.560584789265715</v>
      </c>
      <c r="EK13">
        <v>0</v>
      </c>
      <c r="EL13">
        <f t="shared" ref="EL13:EL15" si="23">$EG13*C$3</f>
        <v>3.560584789265715</v>
      </c>
      <c r="EM13">
        <v>0</v>
      </c>
      <c r="EN13">
        <f t="shared" ref="EN13:EN15" si="24">$EG13*D$3</f>
        <v>3.560584789265715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f t="shared" ref="ET13:ET15" si="25">$EQ13*B$3</f>
        <v>0</v>
      </c>
      <c r="EU13">
        <v>0</v>
      </c>
      <c r="EV13">
        <f t="shared" ref="EV13:EV15" si="26">$EQ13*C$3</f>
        <v>0</v>
      </c>
      <c r="EW13">
        <v>0</v>
      </c>
      <c r="EX13">
        <f t="shared" ref="EX13:EX15" si="27">$EQ13*D$3</f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6"/>
      <c r="B14" s="3" t="s">
        <v>135</v>
      </c>
      <c r="C14" s="11" t="s">
        <v>277</v>
      </c>
      <c r="D14" s="2" t="s">
        <v>438</v>
      </c>
      <c r="E14" s="9">
        <f t="shared" si="14"/>
        <v>6</v>
      </c>
      <c r="F14" s="13">
        <v>1</v>
      </c>
      <c r="G14" s="13" t="s">
        <v>438</v>
      </c>
      <c r="H14">
        <v>0</v>
      </c>
      <c r="I14" s="24" t="str">
        <f t="shared" si="21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20000</v>
      </c>
      <c r="P14">
        <v>1.82</v>
      </c>
      <c r="Q14">
        <v>1.82</v>
      </c>
      <c r="R14">
        <v>1.82</v>
      </c>
      <c r="S14">
        <v>1.82</v>
      </c>
      <c r="T14">
        <v>1.82</v>
      </c>
      <c r="U14">
        <v>1.82</v>
      </c>
      <c r="V14">
        <v>1.82</v>
      </c>
      <c r="W14">
        <v>1.82</v>
      </c>
      <c r="X14">
        <v>1.82</v>
      </c>
      <c r="Y14">
        <v>1.82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0.13195000000000001</v>
      </c>
      <c r="DW14">
        <v>9.2799999999999994E-2</v>
      </c>
      <c r="DX14">
        <v>7.2499999999999995E-2</v>
      </c>
      <c r="DY14">
        <v>0.13195000000000001</v>
      </c>
      <c r="DZ14">
        <v>9.2799999999999994E-2</v>
      </c>
      <c r="EA14">
        <v>7.2499999999999995E-2</v>
      </c>
      <c r="EB14">
        <v>9.2799999999999994E-2</v>
      </c>
      <c r="EC14">
        <v>0.13195000000000001</v>
      </c>
      <c r="ED14">
        <v>9.2799999999999994E-2</v>
      </c>
      <c r="EE14">
        <v>7.2499999999999995E-2</v>
      </c>
      <c r="EF14">
        <v>3.560584789265715</v>
      </c>
      <c r="EG14">
        <v>3.560584789265715</v>
      </c>
      <c r="EH14">
        <v>3.560584789265715</v>
      </c>
      <c r="EI14">
        <v>0</v>
      </c>
      <c r="EJ14">
        <f t="shared" si="22"/>
        <v>3.560584789265715</v>
      </c>
      <c r="EK14">
        <v>0</v>
      </c>
      <c r="EL14">
        <f t="shared" si="23"/>
        <v>3.560584789265715</v>
      </c>
      <c r="EM14">
        <v>0</v>
      </c>
      <c r="EN14">
        <f t="shared" si="24"/>
        <v>3.560584789265715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f t="shared" si="25"/>
        <v>0</v>
      </c>
      <c r="EU14">
        <v>0</v>
      </c>
      <c r="EV14">
        <f t="shared" si="26"/>
        <v>0</v>
      </c>
      <c r="EW14">
        <v>0</v>
      </c>
      <c r="EX14">
        <f t="shared" si="27"/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6"/>
      <c r="B15" s="3" t="s">
        <v>135</v>
      </c>
      <c r="C15" s="11" t="s">
        <v>277</v>
      </c>
      <c r="D15" s="2" t="s">
        <v>439</v>
      </c>
      <c r="E15" s="9">
        <f t="shared" si="14"/>
        <v>7</v>
      </c>
      <c r="F15" s="13">
        <v>1</v>
      </c>
      <c r="G15" s="13" t="s">
        <v>439</v>
      </c>
      <c r="H15">
        <v>0</v>
      </c>
      <c r="I15" s="24" t="str">
        <f t="shared" si="21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20000</v>
      </c>
      <c r="P15">
        <v>2.54</v>
      </c>
      <c r="Q15">
        <v>2.54</v>
      </c>
      <c r="R15">
        <v>2.54</v>
      </c>
      <c r="S15">
        <v>2.54</v>
      </c>
      <c r="T15">
        <v>2.54</v>
      </c>
      <c r="U15">
        <v>2.54</v>
      </c>
      <c r="V15">
        <v>2.54</v>
      </c>
      <c r="W15">
        <v>2.54</v>
      </c>
      <c r="X15">
        <v>2.54</v>
      </c>
      <c r="Y15">
        <v>2.54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0.13195000000000001</v>
      </c>
      <c r="DW15">
        <v>9.2799999999999994E-2</v>
      </c>
      <c r="DX15">
        <v>7.2499999999999995E-2</v>
      </c>
      <c r="DY15">
        <v>0.13195000000000001</v>
      </c>
      <c r="DZ15">
        <v>9.2799999999999994E-2</v>
      </c>
      <c r="EA15">
        <v>7.2499999999999995E-2</v>
      </c>
      <c r="EB15">
        <v>9.2799999999999994E-2</v>
      </c>
      <c r="EC15">
        <v>0.13195000000000001</v>
      </c>
      <c r="ED15">
        <v>9.2799999999999994E-2</v>
      </c>
      <c r="EE15">
        <v>7.2499999999999995E-2</v>
      </c>
      <c r="EF15">
        <v>3.560584789265715</v>
      </c>
      <c r="EG15">
        <v>3.560584789265715</v>
      </c>
      <c r="EH15">
        <v>3.560584789265715</v>
      </c>
      <c r="EI15">
        <v>0</v>
      </c>
      <c r="EJ15">
        <f t="shared" si="22"/>
        <v>3.560584789265715</v>
      </c>
      <c r="EK15">
        <v>0</v>
      </c>
      <c r="EL15">
        <f t="shared" si="23"/>
        <v>3.560584789265715</v>
      </c>
      <c r="EM15">
        <v>0</v>
      </c>
      <c r="EN15">
        <f t="shared" si="24"/>
        <v>3.560584789265715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f t="shared" si="25"/>
        <v>0</v>
      </c>
      <c r="EU15">
        <v>0</v>
      </c>
      <c r="EV15">
        <f t="shared" si="26"/>
        <v>0</v>
      </c>
      <c r="EW15">
        <v>0</v>
      </c>
      <c r="EX15">
        <f t="shared" si="27"/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6"/>
      <c r="B16" s="3" t="s">
        <v>135</v>
      </c>
      <c r="C16" s="4" t="s">
        <v>434</v>
      </c>
      <c r="D16" s="2" t="s">
        <v>429</v>
      </c>
      <c r="E16" s="9">
        <f t="shared" si="5"/>
        <v>8</v>
      </c>
      <c r="F16" s="13">
        <v>1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f>O10</f>
        <v>40000</v>
      </c>
      <c r="P16">
        <v>0.35</v>
      </c>
      <c r="Q16">
        <v>0.35</v>
      </c>
      <c r="R16">
        <v>0.35</v>
      </c>
      <c r="S16">
        <v>0.35</v>
      </c>
      <c r="T16">
        <v>0.35</v>
      </c>
      <c r="U16">
        <v>0.35</v>
      </c>
      <c r="V16">
        <v>0.35</v>
      </c>
      <c r="W16">
        <v>0.35</v>
      </c>
      <c r="X16">
        <v>0.35</v>
      </c>
      <c r="Y16">
        <v>0.35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0.11849999999999999</v>
      </c>
      <c r="DN16">
        <v>0.16</v>
      </c>
      <c r="DO16">
        <v>0</v>
      </c>
      <c r="DP16">
        <v>0.11849999999999999</v>
      </c>
      <c r="DQ16">
        <v>0.16</v>
      </c>
      <c r="DR16">
        <v>0.11849999999999999</v>
      </c>
      <c r="DS16">
        <v>0</v>
      </c>
      <c r="DT16">
        <v>0.11849999999999999</v>
      </c>
      <c r="DU16">
        <v>0.16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106"/>
      <c r="B17" s="3" t="s">
        <v>134</v>
      </c>
      <c r="C17" s="4" t="s">
        <v>171</v>
      </c>
      <c r="D17" s="2" t="s">
        <v>403</v>
      </c>
      <c r="E17" s="13">
        <f t="shared" si="5"/>
        <v>9</v>
      </c>
      <c r="F17" s="13">
        <v>1</v>
      </c>
      <c r="G17" s="13" t="s">
        <v>419</v>
      </c>
      <c r="H17">
        <f>7500*8760</f>
        <v>65700000</v>
      </c>
      <c r="I17" s="24" t="str">
        <f>B33</f>
        <v>Reactant5</v>
      </c>
      <c r="J17">
        <v>0</v>
      </c>
      <c r="K17">
        <v>1</v>
      </c>
      <c r="L17">
        <v>1</v>
      </c>
      <c r="M17">
        <v>0</v>
      </c>
      <c r="N17">
        <v>0</v>
      </c>
      <c r="O17">
        <f>O11</f>
        <v>20000</v>
      </c>
      <c r="P17">
        <v>7.28</v>
      </c>
      <c r="Q17">
        <v>7.28</v>
      </c>
      <c r="R17">
        <v>7.28</v>
      </c>
      <c r="S17">
        <v>7.28</v>
      </c>
      <c r="T17">
        <v>7.28</v>
      </c>
      <c r="U17">
        <v>7.28</v>
      </c>
      <c r="V17">
        <v>7.28</v>
      </c>
      <c r="W17">
        <v>7.28</v>
      </c>
      <c r="X17">
        <v>7.28</v>
      </c>
      <c r="Y17">
        <v>7.28</v>
      </c>
      <c r="Z17">
        <v>1.54</v>
      </c>
      <c r="AA17">
        <v>1.54</v>
      </c>
      <c r="AB17">
        <v>1.54</v>
      </c>
      <c r="AC17">
        <v>1.54</v>
      </c>
      <c r="AD17">
        <v>1.54</v>
      </c>
      <c r="AE17">
        <v>1.54</v>
      </c>
      <c r="AF17">
        <v>1.54</v>
      </c>
      <c r="AG17">
        <v>1.54</v>
      </c>
      <c r="AH17">
        <v>1.54</v>
      </c>
      <c r="AI17">
        <v>1.54</v>
      </c>
      <c r="AJ17">
        <v>0.21</v>
      </c>
      <c r="AK17">
        <v>0.21</v>
      </c>
      <c r="AL17">
        <v>0.21</v>
      </c>
      <c r="AM17">
        <v>0.21</v>
      </c>
      <c r="AN17">
        <v>0.21</v>
      </c>
      <c r="AO17">
        <v>0.21</v>
      </c>
      <c r="AP17">
        <v>0.21</v>
      </c>
      <c r="AQ17">
        <v>0.21</v>
      </c>
      <c r="AR17">
        <v>0.21</v>
      </c>
      <c r="AS17">
        <v>0.21</v>
      </c>
      <c r="AT17" s="60">
        <v>0.5</v>
      </c>
      <c r="AU17" s="60">
        <v>0.5</v>
      </c>
      <c r="AV17" s="60">
        <v>0.5</v>
      </c>
      <c r="AW17" s="60">
        <v>0.5</v>
      </c>
      <c r="AX17" s="60">
        <v>0.5</v>
      </c>
      <c r="AY17" s="60">
        <v>0.5</v>
      </c>
      <c r="AZ17" s="60">
        <v>0.5</v>
      </c>
      <c r="BA17" s="60">
        <v>0.5</v>
      </c>
      <c r="BB17" s="60">
        <v>0.5</v>
      </c>
      <c r="BC17" s="60">
        <v>0.5</v>
      </c>
      <c r="BD17" s="60">
        <v>1</v>
      </c>
      <c r="BE17" s="60">
        <v>1</v>
      </c>
      <c r="BF17" s="60">
        <v>1</v>
      </c>
      <c r="BG17" s="60">
        <v>1</v>
      </c>
      <c r="BH17" s="60">
        <v>1</v>
      </c>
      <c r="BI17" s="60">
        <v>1</v>
      </c>
      <c r="BJ17" s="60">
        <v>1</v>
      </c>
      <c r="BK17" s="60">
        <v>1</v>
      </c>
      <c r="BL17" s="60">
        <v>1</v>
      </c>
      <c r="BM17" s="60">
        <v>1</v>
      </c>
      <c r="BN17" s="60">
        <v>1</v>
      </c>
      <c r="BO17" s="60">
        <v>1</v>
      </c>
      <c r="BP17" s="60">
        <v>1</v>
      </c>
      <c r="BQ17" s="60">
        <v>1</v>
      </c>
      <c r="BR17" s="60">
        <v>1</v>
      </c>
      <c r="BS17" s="60">
        <v>1</v>
      </c>
      <c r="BT17" s="60">
        <v>1</v>
      </c>
      <c r="BU17" s="60">
        <v>1</v>
      </c>
      <c r="BV17" s="60">
        <v>1</v>
      </c>
      <c r="BW17" s="60">
        <v>1</v>
      </c>
      <c r="BX17" s="57">
        <v>0.18</v>
      </c>
      <c r="BY17" s="57">
        <v>0.18</v>
      </c>
      <c r="BZ17" s="57">
        <v>0.18</v>
      </c>
      <c r="CA17" s="57">
        <v>0.18</v>
      </c>
      <c r="CB17" s="57">
        <v>0.18</v>
      </c>
      <c r="CC17" s="57">
        <v>0.18</v>
      </c>
      <c r="CD17" s="57">
        <v>0.18</v>
      </c>
      <c r="CE17" s="57">
        <v>0.18</v>
      </c>
      <c r="CF17" s="57">
        <v>0.18</v>
      </c>
      <c r="CG17" s="57">
        <v>0.18</v>
      </c>
      <c r="CH17">
        <v>12444.9</v>
      </c>
      <c r="CI17">
        <v>9955.92</v>
      </c>
      <c r="CJ17">
        <v>7466.94</v>
      </c>
      <c r="CK17">
        <v>12444.9</v>
      </c>
      <c r="CL17">
        <v>9955.92</v>
      </c>
      <c r="CM17">
        <v>7466.94</v>
      </c>
      <c r="CN17">
        <v>9955.92</v>
      </c>
      <c r="CO17">
        <v>12444.9</v>
      </c>
      <c r="CP17">
        <v>9955.92</v>
      </c>
      <c r="CQ17">
        <v>7466.94</v>
      </c>
      <c r="CR17">
        <v>1186</v>
      </c>
      <c r="CS17">
        <v>1036.6600000000001</v>
      </c>
      <c r="CT17">
        <v>887.32</v>
      </c>
      <c r="CU17">
        <v>1186</v>
      </c>
      <c r="CV17">
        <v>1036.6600000000001</v>
      </c>
      <c r="CW17">
        <v>887.32</v>
      </c>
      <c r="CX17">
        <v>1036.6600000000001</v>
      </c>
      <c r="CY17">
        <v>1186</v>
      </c>
      <c r="CZ17">
        <v>1036.6600000000001</v>
      </c>
      <c r="DA17">
        <v>887.32</v>
      </c>
      <c r="DB17">
        <f>3.95121089093762/1000</f>
        <v>3.9512108909376198E-3</v>
      </c>
      <c r="DC17">
        <f t="shared" ref="DC17:DK17" si="28">3.95121089093762/1000</f>
        <v>3.9512108909376198E-3</v>
      </c>
      <c r="DD17">
        <f t="shared" si="28"/>
        <v>3.9512108909376198E-3</v>
      </c>
      <c r="DE17">
        <f t="shared" si="28"/>
        <v>3.9512108909376198E-3</v>
      </c>
      <c r="DF17">
        <f t="shared" si="28"/>
        <v>3.9512108909376198E-3</v>
      </c>
      <c r="DG17">
        <f t="shared" si="28"/>
        <v>3.9512108909376198E-3</v>
      </c>
      <c r="DH17">
        <f t="shared" si="28"/>
        <v>3.9512108909376198E-3</v>
      </c>
      <c r="DI17">
        <f t="shared" si="28"/>
        <v>3.9512108909376198E-3</v>
      </c>
      <c r="DJ17">
        <f t="shared" si="28"/>
        <v>3.9512108909376198E-3</v>
      </c>
      <c r="DK17">
        <f t="shared" si="28"/>
        <v>3.9512108909376198E-3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18.474666666666668</v>
      </c>
      <c r="EG17">
        <v>18.474666666666668</v>
      </c>
      <c r="EH17">
        <v>18.474666666666668</v>
      </c>
      <c r="EI17">
        <v>18.474666666666668</v>
      </c>
      <c r="EJ17">
        <v>18.474666666666668</v>
      </c>
      <c r="EK17">
        <v>18.474666666666668</v>
      </c>
      <c r="EL17">
        <v>18.474666666666668</v>
      </c>
      <c r="EM17">
        <v>18.474666666666668</v>
      </c>
      <c r="EN17">
        <v>18.474666666666668</v>
      </c>
      <c r="EO17">
        <v>18.474666666666668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9.3678779051968114E-2</v>
      </c>
      <c r="FK17">
        <v>9.3678779051968114E-2</v>
      </c>
      <c r="FL17">
        <v>9.3678779051968114E-2</v>
      </c>
      <c r="FM17">
        <v>9.3678779051968114E-2</v>
      </c>
      <c r="FN17">
        <v>9.3678779051968114E-2</v>
      </c>
      <c r="FO17">
        <v>9.3678779051968114E-2</v>
      </c>
      <c r="FP17">
        <v>9.3678779051968114E-2</v>
      </c>
      <c r="FQ17">
        <v>9.3678779051968114E-2</v>
      </c>
      <c r="FR17">
        <v>9.3678779051968114E-2</v>
      </c>
      <c r="FS17">
        <v>9.3678779051968114E-2</v>
      </c>
    </row>
    <row r="18" spans="1:175" x14ac:dyDescent="0.3">
      <c r="A18" s="106"/>
      <c r="B18" s="3" t="s">
        <v>134</v>
      </c>
      <c r="C18" s="4" t="s">
        <v>171</v>
      </c>
      <c r="D18" s="2" t="s">
        <v>404</v>
      </c>
      <c r="E18" s="13">
        <f t="shared" si="5"/>
        <v>10</v>
      </c>
      <c r="F18" s="13">
        <v>1</v>
      </c>
      <c r="G18" s="13" t="s">
        <v>420</v>
      </c>
      <c r="H18">
        <f t="shared" ref="H18:H20" si="29">7500*8760</f>
        <v>65700000</v>
      </c>
      <c r="I18" s="24" t="str">
        <f>B34</f>
        <v>Reactant6</v>
      </c>
      <c r="J18">
        <v>0</v>
      </c>
      <c r="K18">
        <v>1</v>
      </c>
      <c r="L18">
        <v>1</v>
      </c>
      <c r="M18">
        <v>0</v>
      </c>
      <c r="N18">
        <v>0</v>
      </c>
      <c r="O18">
        <f>O17</f>
        <v>20000</v>
      </c>
      <c r="P18">
        <v>11.91</v>
      </c>
      <c r="Q18">
        <v>11.91</v>
      </c>
      <c r="R18">
        <v>11.91</v>
      </c>
      <c r="S18">
        <v>11.91</v>
      </c>
      <c r="T18">
        <v>11.91</v>
      </c>
      <c r="U18">
        <v>11.91</v>
      </c>
      <c r="V18">
        <v>11.91</v>
      </c>
      <c r="W18">
        <v>11.91</v>
      </c>
      <c r="X18">
        <v>11.91</v>
      </c>
      <c r="Y18">
        <v>11.91</v>
      </c>
      <c r="Z18">
        <v>0.51</v>
      </c>
      <c r="AA18">
        <v>0.51</v>
      </c>
      <c r="AB18">
        <v>0.51</v>
      </c>
      <c r="AC18">
        <v>0.51</v>
      </c>
      <c r="AD18">
        <v>0.51</v>
      </c>
      <c r="AE18">
        <v>0.51</v>
      </c>
      <c r="AF18">
        <v>0.51</v>
      </c>
      <c r="AG18">
        <v>0.51</v>
      </c>
      <c r="AH18">
        <v>0.51</v>
      </c>
      <c r="AI18">
        <v>0.51</v>
      </c>
      <c r="AJ18">
        <v>1.43</v>
      </c>
      <c r="AK18">
        <v>1.43</v>
      </c>
      <c r="AL18">
        <v>1.43</v>
      </c>
      <c r="AM18">
        <v>1.43</v>
      </c>
      <c r="AN18">
        <v>1.43</v>
      </c>
      <c r="AO18">
        <v>1.43</v>
      </c>
      <c r="AP18">
        <v>1.43</v>
      </c>
      <c r="AQ18">
        <v>1.43</v>
      </c>
      <c r="AR18">
        <v>1.43</v>
      </c>
      <c r="AS18">
        <v>1.43</v>
      </c>
      <c r="AT18" s="60">
        <v>0.5</v>
      </c>
      <c r="AU18" s="60">
        <v>0.5</v>
      </c>
      <c r="AV18" s="60">
        <v>0.5</v>
      </c>
      <c r="AW18" s="60">
        <v>0.5</v>
      </c>
      <c r="AX18" s="60">
        <v>0.5</v>
      </c>
      <c r="AY18" s="60">
        <v>0.5</v>
      </c>
      <c r="AZ18" s="60">
        <v>0.5</v>
      </c>
      <c r="BA18" s="60">
        <v>0.5</v>
      </c>
      <c r="BB18" s="60">
        <v>0.5</v>
      </c>
      <c r="BC18" s="60">
        <v>0.5</v>
      </c>
      <c r="BD18" s="60">
        <v>1</v>
      </c>
      <c r="BE18" s="60">
        <v>1</v>
      </c>
      <c r="BF18" s="60">
        <v>1</v>
      </c>
      <c r="BG18" s="60">
        <v>1</v>
      </c>
      <c r="BH18" s="60">
        <v>1</v>
      </c>
      <c r="BI18" s="60">
        <v>1</v>
      </c>
      <c r="BJ18" s="60">
        <v>1</v>
      </c>
      <c r="BK18" s="60">
        <v>1</v>
      </c>
      <c r="BL18" s="60">
        <v>1</v>
      </c>
      <c r="BM18" s="60">
        <v>1</v>
      </c>
      <c r="BN18" s="60">
        <v>1</v>
      </c>
      <c r="BO18" s="60">
        <v>1</v>
      </c>
      <c r="BP18" s="60">
        <v>1</v>
      </c>
      <c r="BQ18" s="60">
        <v>1</v>
      </c>
      <c r="BR18" s="60">
        <v>1</v>
      </c>
      <c r="BS18" s="60">
        <v>1</v>
      </c>
      <c r="BT18" s="60">
        <v>1</v>
      </c>
      <c r="BU18" s="60">
        <v>1</v>
      </c>
      <c r="BV18" s="60">
        <v>1</v>
      </c>
      <c r="BW18" s="60">
        <v>1</v>
      </c>
      <c r="BX18" s="57">
        <v>0.32</v>
      </c>
      <c r="BY18" s="57">
        <v>0.32</v>
      </c>
      <c r="BZ18" s="57">
        <v>0.32</v>
      </c>
      <c r="CA18" s="57">
        <v>0.32</v>
      </c>
      <c r="CB18" s="57">
        <v>0.32</v>
      </c>
      <c r="CC18" s="57">
        <v>0.32</v>
      </c>
      <c r="CD18" s="57">
        <v>0.32</v>
      </c>
      <c r="CE18" s="57">
        <v>0.32</v>
      </c>
      <c r="CF18" s="57">
        <v>0.32</v>
      </c>
      <c r="CG18" s="57">
        <v>0.32</v>
      </c>
      <c r="CH18">
        <v>16131.25</v>
      </c>
      <c r="CI18">
        <v>12905</v>
      </c>
      <c r="CJ18">
        <v>9678.75</v>
      </c>
      <c r="CK18">
        <v>16131.25</v>
      </c>
      <c r="CL18">
        <v>12905</v>
      </c>
      <c r="CM18">
        <v>9678.75</v>
      </c>
      <c r="CN18">
        <v>12789.46</v>
      </c>
      <c r="CO18">
        <v>16131.25</v>
      </c>
      <c r="CP18">
        <v>12905</v>
      </c>
      <c r="CQ18">
        <v>9678.75</v>
      </c>
      <c r="CR18">
        <v>1410.01</v>
      </c>
      <c r="CS18">
        <v>1216.44</v>
      </c>
      <c r="CT18">
        <v>1022.86</v>
      </c>
      <c r="CU18">
        <v>1209.51</v>
      </c>
      <c r="CV18">
        <v>1209.51</v>
      </c>
      <c r="CW18">
        <v>1209.51</v>
      </c>
      <c r="CX18">
        <v>1209.51</v>
      </c>
      <c r="CY18">
        <v>1209.51</v>
      </c>
      <c r="CZ18">
        <v>1209.51</v>
      </c>
      <c r="DA18">
        <v>1209.51</v>
      </c>
      <c r="DB18">
        <f>9.3267946332186/1000</f>
        <v>9.3267946332186002E-3</v>
      </c>
      <c r="DC18">
        <f t="shared" ref="DC18:DK18" si="30">9.3267946332186/1000</f>
        <v>9.3267946332186002E-3</v>
      </c>
      <c r="DD18">
        <f t="shared" si="30"/>
        <v>9.3267946332186002E-3</v>
      </c>
      <c r="DE18">
        <f t="shared" si="30"/>
        <v>9.3267946332186002E-3</v>
      </c>
      <c r="DF18">
        <f t="shared" si="30"/>
        <v>9.3267946332186002E-3</v>
      </c>
      <c r="DG18">
        <f t="shared" si="30"/>
        <v>9.3267946332186002E-3</v>
      </c>
      <c r="DH18">
        <f t="shared" si="30"/>
        <v>9.3267946332186002E-3</v>
      </c>
      <c r="DI18">
        <f t="shared" si="30"/>
        <v>9.3267946332186002E-3</v>
      </c>
      <c r="DJ18">
        <f t="shared" si="30"/>
        <v>9.3267946332186002E-3</v>
      </c>
      <c r="DK18">
        <f t="shared" si="30"/>
        <v>9.3267946332186002E-3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18.474666666666668</v>
      </c>
      <c r="EG18">
        <v>18.474666666666668</v>
      </c>
      <c r="EH18">
        <v>18.474666666666668</v>
      </c>
      <c r="EI18">
        <v>18.474666666666668</v>
      </c>
      <c r="EJ18">
        <v>18.474666666666668</v>
      </c>
      <c r="EK18">
        <v>18.474666666666668</v>
      </c>
      <c r="EL18">
        <v>18.474666666666668</v>
      </c>
      <c r="EM18">
        <v>18.474666666666668</v>
      </c>
      <c r="EN18">
        <v>18.474666666666668</v>
      </c>
      <c r="EO18">
        <v>18.474666666666668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9.3678779051968114E-2</v>
      </c>
      <c r="FK18">
        <v>9.3678779051968114E-2</v>
      </c>
      <c r="FL18">
        <v>9.3678779051968114E-2</v>
      </c>
      <c r="FM18">
        <v>9.3678779051968114E-2</v>
      </c>
      <c r="FN18">
        <v>9.3678779051968114E-2</v>
      </c>
      <c r="FO18">
        <v>9.3678779051968114E-2</v>
      </c>
      <c r="FP18">
        <v>9.3678779051968114E-2</v>
      </c>
      <c r="FQ18">
        <v>9.3678779051968114E-2</v>
      </c>
      <c r="FR18">
        <v>9.3678779051968114E-2</v>
      </c>
      <c r="FS18">
        <v>9.3678779051968114E-2</v>
      </c>
    </row>
    <row r="19" spans="1:175" x14ac:dyDescent="0.3">
      <c r="A19" s="106"/>
      <c r="B19" s="3" t="s">
        <v>134</v>
      </c>
      <c r="C19" s="4" t="s">
        <v>171</v>
      </c>
      <c r="D19" s="2" t="s">
        <v>405</v>
      </c>
      <c r="E19" s="13">
        <f t="shared" si="5"/>
        <v>11</v>
      </c>
      <c r="F19" s="13">
        <v>1</v>
      </c>
      <c r="G19" s="13" t="s">
        <v>421</v>
      </c>
      <c r="H19">
        <f t="shared" si="29"/>
        <v>65700000</v>
      </c>
      <c r="I19" s="24" t="str">
        <f t="shared" ref="I19:I20" si="31">B35</f>
        <v>Reactant7</v>
      </c>
      <c r="J19">
        <v>0</v>
      </c>
      <c r="K19">
        <v>1</v>
      </c>
      <c r="L19">
        <v>1</v>
      </c>
      <c r="M19">
        <v>0</v>
      </c>
      <c r="N19">
        <v>0</v>
      </c>
      <c r="O19">
        <f t="shared" ref="O19:O20" si="32">O18</f>
        <v>20000</v>
      </c>
      <c r="P19">
        <v>6.57</v>
      </c>
      <c r="Q19">
        <v>6.57</v>
      </c>
      <c r="R19">
        <v>6.57</v>
      </c>
      <c r="S19">
        <v>6.57</v>
      </c>
      <c r="T19">
        <v>6.57</v>
      </c>
      <c r="U19">
        <v>6.57</v>
      </c>
      <c r="V19">
        <v>6.57</v>
      </c>
      <c r="W19">
        <v>6.57</v>
      </c>
      <c r="X19">
        <v>6.57</v>
      </c>
      <c r="Y19">
        <v>6.57</v>
      </c>
      <c r="Z19">
        <v>1.66</v>
      </c>
      <c r="AA19">
        <v>1.66</v>
      </c>
      <c r="AB19">
        <v>1.66</v>
      </c>
      <c r="AC19">
        <v>1.66</v>
      </c>
      <c r="AD19">
        <v>1.66</v>
      </c>
      <c r="AE19">
        <v>1.66</v>
      </c>
      <c r="AF19">
        <v>1.66</v>
      </c>
      <c r="AG19">
        <v>1.66</v>
      </c>
      <c r="AH19">
        <v>1.66</v>
      </c>
      <c r="AI19">
        <v>1.66</v>
      </c>
      <c r="AJ19">
        <v>1.1000000000000001</v>
      </c>
      <c r="AK19">
        <v>1.1000000000000001</v>
      </c>
      <c r="AL19">
        <v>1.1000000000000001</v>
      </c>
      <c r="AM19">
        <v>1.1000000000000001</v>
      </c>
      <c r="AN19">
        <v>1.1000000000000001</v>
      </c>
      <c r="AO19">
        <v>1.1000000000000001</v>
      </c>
      <c r="AP19">
        <v>1.1000000000000001</v>
      </c>
      <c r="AQ19">
        <v>1.1000000000000001</v>
      </c>
      <c r="AR19">
        <v>1.1000000000000001</v>
      </c>
      <c r="AS19">
        <v>1.1000000000000001</v>
      </c>
      <c r="AT19" s="60">
        <v>0.5</v>
      </c>
      <c r="AU19" s="60">
        <v>0.5</v>
      </c>
      <c r="AV19" s="60">
        <v>0.5</v>
      </c>
      <c r="AW19" s="60">
        <v>0.5</v>
      </c>
      <c r="AX19" s="60">
        <v>0.5</v>
      </c>
      <c r="AY19" s="60">
        <v>0.5</v>
      </c>
      <c r="AZ19" s="60">
        <v>0.5</v>
      </c>
      <c r="BA19" s="60">
        <v>0.5</v>
      </c>
      <c r="BB19" s="60">
        <v>0.5</v>
      </c>
      <c r="BC19" s="60">
        <v>0.5</v>
      </c>
      <c r="BD19" s="60">
        <v>1</v>
      </c>
      <c r="BE19" s="60">
        <v>1</v>
      </c>
      <c r="BF19" s="60">
        <v>1</v>
      </c>
      <c r="BG19" s="60">
        <v>1</v>
      </c>
      <c r="BH19" s="60">
        <v>1</v>
      </c>
      <c r="BI19" s="60">
        <v>1</v>
      </c>
      <c r="BJ19" s="60">
        <v>1</v>
      </c>
      <c r="BK19" s="60">
        <v>1</v>
      </c>
      <c r="BL19" s="60">
        <v>1</v>
      </c>
      <c r="BM19" s="60">
        <v>1</v>
      </c>
      <c r="BN19" s="60">
        <v>1</v>
      </c>
      <c r="BO19" s="60">
        <v>1</v>
      </c>
      <c r="BP19" s="60">
        <v>1</v>
      </c>
      <c r="BQ19" s="60">
        <v>1</v>
      </c>
      <c r="BR19" s="60">
        <v>1</v>
      </c>
      <c r="BS19" s="60">
        <v>1</v>
      </c>
      <c r="BT19" s="60">
        <v>1</v>
      </c>
      <c r="BU19" s="60">
        <v>1</v>
      </c>
      <c r="BV19" s="60">
        <v>1</v>
      </c>
      <c r="BW19" s="60">
        <v>1</v>
      </c>
      <c r="BX19" s="57">
        <v>0.64</v>
      </c>
      <c r="BY19" s="57">
        <v>0.64</v>
      </c>
      <c r="BZ19" s="57">
        <v>0.64</v>
      </c>
      <c r="CA19" s="57">
        <v>0.64</v>
      </c>
      <c r="CB19" s="57">
        <v>0.64</v>
      </c>
      <c r="CC19" s="57">
        <v>0.64</v>
      </c>
      <c r="CD19" s="57">
        <v>0.64</v>
      </c>
      <c r="CE19" s="57">
        <v>0.64</v>
      </c>
      <c r="CF19" s="57">
        <v>0.64</v>
      </c>
      <c r="CG19" s="57">
        <v>0.64</v>
      </c>
      <c r="CH19">
        <v>15142.26</v>
      </c>
      <c r="CI19">
        <v>12113.81</v>
      </c>
      <c r="CJ19">
        <v>9085.35</v>
      </c>
      <c r="CK19">
        <v>15142.26</v>
      </c>
      <c r="CL19">
        <v>12113.81</v>
      </c>
      <c r="CM19">
        <v>9085.35</v>
      </c>
      <c r="CN19">
        <v>12113.81</v>
      </c>
      <c r="CO19">
        <v>15142.26</v>
      </c>
      <c r="CP19">
        <v>12113.81</v>
      </c>
      <c r="CQ19">
        <v>9085.35</v>
      </c>
      <c r="CR19">
        <v>1348.76</v>
      </c>
      <c r="CS19">
        <v>1167.05</v>
      </c>
      <c r="CT19">
        <v>985.35</v>
      </c>
      <c r="CU19">
        <v>1348.76</v>
      </c>
      <c r="CV19">
        <v>1167.05</v>
      </c>
      <c r="CW19">
        <v>985.35</v>
      </c>
      <c r="CX19">
        <v>1167.05</v>
      </c>
      <c r="CY19">
        <v>1348.76</v>
      </c>
      <c r="CZ19">
        <v>1167.05</v>
      </c>
      <c r="DA19">
        <v>985.35</v>
      </c>
      <c r="DB19">
        <f>4.04937222588/1000</f>
        <v>4.0493722258800003E-3</v>
      </c>
      <c r="DC19">
        <f t="shared" ref="DC19:DK19" si="33">4.04937222588/1000</f>
        <v>4.0493722258800003E-3</v>
      </c>
      <c r="DD19">
        <f t="shared" si="33"/>
        <v>4.0493722258800003E-3</v>
      </c>
      <c r="DE19">
        <f t="shared" si="33"/>
        <v>4.0493722258800003E-3</v>
      </c>
      <c r="DF19">
        <f t="shared" si="33"/>
        <v>4.0493722258800003E-3</v>
      </c>
      <c r="DG19">
        <f t="shared" si="33"/>
        <v>4.0493722258800003E-3</v>
      </c>
      <c r="DH19">
        <f t="shared" si="33"/>
        <v>4.0493722258800003E-3</v>
      </c>
      <c r="DI19">
        <f t="shared" si="33"/>
        <v>4.0493722258800003E-3</v>
      </c>
      <c r="DJ19">
        <f t="shared" si="33"/>
        <v>4.0493722258800003E-3</v>
      </c>
      <c r="DK19">
        <f t="shared" si="33"/>
        <v>4.0493722258800003E-3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18.474666666666668</v>
      </c>
      <c r="EG19">
        <v>18.474666666666668</v>
      </c>
      <c r="EH19">
        <v>18.474666666666668</v>
      </c>
      <c r="EI19">
        <v>18.474666666666668</v>
      </c>
      <c r="EJ19">
        <v>18.474666666666668</v>
      </c>
      <c r="EK19">
        <v>18.474666666666668</v>
      </c>
      <c r="EL19">
        <v>18.474666666666668</v>
      </c>
      <c r="EM19">
        <v>18.474666666666668</v>
      </c>
      <c r="EN19">
        <v>18.474666666666668</v>
      </c>
      <c r="EO19">
        <v>18.474666666666668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9.3678779051968114E-2</v>
      </c>
      <c r="FK19">
        <v>9.3678779051968114E-2</v>
      </c>
      <c r="FL19">
        <v>9.3678779051968114E-2</v>
      </c>
      <c r="FM19">
        <v>9.3678779051968114E-2</v>
      </c>
      <c r="FN19">
        <v>9.3678779051968114E-2</v>
      </c>
      <c r="FO19">
        <v>9.3678779051968114E-2</v>
      </c>
      <c r="FP19">
        <v>9.3678779051968114E-2</v>
      </c>
      <c r="FQ19">
        <v>9.3678779051968114E-2</v>
      </c>
      <c r="FR19">
        <v>9.3678779051968114E-2</v>
      </c>
      <c r="FS19">
        <v>9.3678779051968114E-2</v>
      </c>
    </row>
    <row r="20" spans="1:175" x14ac:dyDescent="0.3">
      <c r="A20" s="106"/>
      <c r="B20" s="3" t="s">
        <v>134</v>
      </c>
      <c r="C20" s="4" t="s">
        <v>171</v>
      </c>
      <c r="D20" s="2" t="s">
        <v>406</v>
      </c>
      <c r="E20" s="13">
        <f t="shared" si="5"/>
        <v>12</v>
      </c>
      <c r="F20" s="13">
        <v>1</v>
      </c>
      <c r="G20" s="13" t="s">
        <v>422</v>
      </c>
      <c r="H20">
        <f t="shared" si="29"/>
        <v>65700000</v>
      </c>
      <c r="I20" s="24" t="str">
        <f t="shared" si="31"/>
        <v>Reactant8</v>
      </c>
      <c r="J20">
        <v>0</v>
      </c>
      <c r="K20">
        <v>1</v>
      </c>
      <c r="L20">
        <v>1</v>
      </c>
      <c r="M20">
        <v>0</v>
      </c>
      <c r="N20">
        <v>0</v>
      </c>
      <c r="O20">
        <f t="shared" si="32"/>
        <v>20000</v>
      </c>
      <c r="P20">
        <v>8.5399999999999991</v>
      </c>
      <c r="Q20">
        <v>8.5399999999999991</v>
      </c>
      <c r="R20">
        <v>8.5399999999999991</v>
      </c>
      <c r="S20">
        <v>8.5399999999999991</v>
      </c>
      <c r="T20">
        <v>8.5399999999999991</v>
      </c>
      <c r="U20">
        <v>8.5399999999999991</v>
      </c>
      <c r="V20">
        <v>8.5399999999999991</v>
      </c>
      <c r="W20">
        <v>8.5399999999999991</v>
      </c>
      <c r="X20">
        <v>8.5399999999999991</v>
      </c>
      <c r="Y20">
        <v>8.5399999999999991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2.6</v>
      </c>
      <c r="AK20">
        <v>2.6</v>
      </c>
      <c r="AL20">
        <v>2.6</v>
      </c>
      <c r="AM20">
        <v>2.6</v>
      </c>
      <c r="AN20">
        <v>2.6</v>
      </c>
      <c r="AO20">
        <v>2.6</v>
      </c>
      <c r="AP20">
        <v>2.6</v>
      </c>
      <c r="AQ20">
        <v>2.6</v>
      </c>
      <c r="AR20">
        <v>2.6</v>
      </c>
      <c r="AS20">
        <v>2.6</v>
      </c>
      <c r="AT20" s="60">
        <v>0.5</v>
      </c>
      <c r="AU20" s="60">
        <v>0.5</v>
      </c>
      <c r="AV20" s="60">
        <v>0.5</v>
      </c>
      <c r="AW20" s="60">
        <v>0.5</v>
      </c>
      <c r="AX20" s="60">
        <v>0.5</v>
      </c>
      <c r="AY20" s="60">
        <v>0.5</v>
      </c>
      <c r="AZ20" s="60">
        <v>0.5</v>
      </c>
      <c r="BA20" s="60">
        <v>0.5</v>
      </c>
      <c r="BB20" s="60">
        <v>0.5</v>
      </c>
      <c r="BC20" s="60">
        <v>0.5</v>
      </c>
      <c r="BD20" s="60">
        <v>1</v>
      </c>
      <c r="BE20" s="60">
        <v>1</v>
      </c>
      <c r="BF20" s="60">
        <v>1</v>
      </c>
      <c r="BG20" s="60">
        <v>1</v>
      </c>
      <c r="BH20" s="60">
        <v>1</v>
      </c>
      <c r="BI20" s="60">
        <v>1</v>
      </c>
      <c r="BJ20" s="60">
        <v>1</v>
      </c>
      <c r="BK20" s="60">
        <v>1</v>
      </c>
      <c r="BL20" s="60">
        <v>1</v>
      </c>
      <c r="BM20" s="60">
        <v>1</v>
      </c>
      <c r="BN20" s="60">
        <v>1</v>
      </c>
      <c r="BO20" s="60">
        <v>1</v>
      </c>
      <c r="BP20" s="60">
        <v>1</v>
      </c>
      <c r="BQ20" s="60">
        <v>1</v>
      </c>
      <c r="BR20" s="60">
        <v>1</v>
      </c>
      <c r="BS20" s="60">
        <v>1</v>
      </c>
      <c r="BT20" s="60">
        <v>1</v>
      </c>
      <c r="BU20" s="60">
        <v>1</v>
      </c>
      <c r="BV20" s="60">
        <v>1</v>
      </c>
      <c r="BW20" s="60">
        <v>1</v>
      </c>
      <c r="BX20" s="57">
        <v>0.83</v>
      </c>
      <c r="BY20" s="57">
        <v>0.83</v>
      </c>
      <c r="BZ20" s="57">
        <v>0.83</v>
      </c>
      <c r="CA20" s="57">
        <v>0.83</v>
      </c>
      <c r="CB20" s="57">
        <v>0.83</v>
      </c>
      <c r="CC20" s="57">
        <v>0.83</v>
      </c>
      <c r="CD20" s="57">
        <v>0.83</v>
      </c>
      <c r="CE20" s="57">
        <v>0.83</v>
      </c>
      <c r="CF20" s="57">
        <v>0.83</v>
      </c>
      <c r="CG20" s="57">
        <v>0.83</v>
      </c>
      <c r="CH20">
        <v>20860.61</v>
      </c>
      <c r="CI20">
        <v>16688.490000000002</v>
      </c>
      <c r="CJ20">
        <v>12516.37</v>
      </c>
      <c r="CK20">
        <v>20860.61</v>
      </c>
      <c r="CL20">
        <v>16688.490000000002</v>
      </c>
      <c r="CM20">
        <v>12516.37</v>
      </c>
      <c r="CN20">
        <v>16688.490000000002</v>
      </c>
      <c r="CO20">
        <v>20860.61</v>
      </c>
      <c r="CP20">
        <v>16688.490000000002</v>
      </c>
      <c r="CQ20">
        <v>12516.37</v>
      </c>
      <c r="CR20">
        <v>1698.86</v>
      </c>
      <c r="CS20">
        <v>1448.53</v>
      </c>
      <c r="CT20">
        <v>1198.2</v>
      </c>
      <c r="CU20">
        <v>1698.86</v>
      </c>
      <c r="CV20">
        <v>1448.53</v>
      </c>
      <c r="CW20">
        <v>1198.2</v>
      </c>
      <c r="CX20">
        <v>1448.53</v>
      </c>
      <c r="CY20">
        <v>1698.86</v>
      </c>
      <c r="CZ20">
        <v>1448.53</v>
      </c>
      <c r="DA20">
        <v>1198.2</v>
      </c>
      <c r="DB20">
        <f>12.2828620590846/1000</f>
        <v>1.22828620590846E-2</v>
      </c>
      <c r="DC20">
        <f t="shared" ref="DC20:DK20" si="34">12.2828620590846/1000</f>
        <v>1.22828620590846E-2</v>
      </c>
      <c r="DD20">
        <f t="shared" si="34"/>
        <v>1.22828620590846E-2</v>
      </c>
      <c r="DE20">
        <f t="shared" si="34"/>
        <v>1.22828620590846E-2</v>
      </c>
      <c r="DF20">
        <f t="shared" si="34"/>
        <v>1.22828620590846E-2</v>
      </c>
      <c r="DG20">
        <f t="shared" si="34"/>
        <v>1.22828620590846E-2</v>
      </c>
      <c r="DH20">
        <f t="shared" si="34"/>
        <v>1.22828620590846E-2</v>
      </c>
      <c r="DI20">
        <f t="shared" si="34"/>
        <v>1.22828620590846E-2</v>
      </c>
      <c r="DJ20">
        <f t="shared" si="34"/>
        <v>1.22828620590846E-2</v>
      </c>
      <c r="DK20">
        <f t="shared" si="34"/>
        <v>1.22828620590846E-2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18.474666666666668</v>
      </c>
      <c r="EG20">
        <v>18.474666666666668</v>
      </c>
      <c r="EH20">
        <v>18.474666666666668</v>
      </c>
      <c r="EI20">
        <v>18.474666666666668</v>
      </c>
      <c r="EJ20">
        <v>18.474666666666668</v>
      </c>
      <c r="EK20">
        <v>18.474666666666668</v>
      </c>
      <c r="EL20">
        <v>18.474666666666668</v>
      </c>
      <c r="EM20">
        <v>18.474666666666668</v>
      </c>
      <c r="EN20">
        <v>18.474666666666668</v>
      </c>
      <c r="EO20">
        <v>18.474666666666668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9.3678779051968114E-2</v>
      </c>
      <c r="FK20">
        <v>9.3678779051968114E-2</v>
      </c>
      <c r="FL20">
        <v>9.3678779051968114E-2</v>
      </c>
      <c r="FM20">
        <v>9.3678779051968114E-2</v>
      </c>
      <c r="FN20">
        <v>9.3678779051968114E-2</v>
      </c>
      <c r="FO20">
        <v>9.3678779051968114E-2</v>
      </c>
      <c r="FP20">
        <v>9.3678779051968114E-2</v>
      </c>
      <c r="FQ20">
        <v>9.3678779051968114E-2</v>
      </c>
      <c r="FR20">
        <v>9.3678779051968114E-2</v>
      </c>
      <c r="FS20">
        <v>9.3678779051968114E-2</v>
      </c>
    </row>
    <row r="21" spans="1:175" s="72" customFormat="1" x14ac:dyDescent="0.3">
      <c r="A21" s="106"/>
      <c r="B21" s="77" t="s">
        <v>135</v>
      </c>
      <c r="C21" s="78" t="s">
        <v>171</v>
      </c>
      <c r="D21" s="71" t="s">
        <v>94</v>
      </c>
      <c r="E21" s="70">
        <f t="shared" si="5"/>
        <v>13</v>
      </c>
      <c r="F21" s="70">
        <v>1</v>
      </c>
      <c r="G21" s="70" t="s">
        <v>90</v>
      </c>
      <c r="H21" s="79">
        <f>(2.2/(18.6/3.6))*10^9</f>
        <v>425806451.61290324</v>
      </c>
      <c r="I21" s="80" t="str">
        <f>B37</f>
        <v>Reactant9</v>
      </c>
      <c r="J21" s="72">
        <v>0</v>
      </c>
      <c r="K21" s="72">
        <v>1</v>
      </c>
      <c r="L21" s="72">
        <v>0</v>
      </c>
      <c r="M21" s="72">
        <v>0</v>
      </c>
      <c r="N21" s="72">
        <v>0</v>
      </c>
      <c r="O21" s="72">
        <v>20000</v>
      </c>
      <c r="P21" s="81">
        <f>1/0.18</f>
        <v>5.5555555555555554</v>
      </c>
      <c r="Q21" s="81">
        <f>1/0.18</f>
        <v>5.5555555555555554</v>
      </c>
      <c r="R21" s="81">
        <f t="shared" ref="R21:Y22" si="35">1/0.18</f>
        <v>5.5555555555555554</v>
      </c>
      <c r="S21" s="81">
        <f t="shared" si="35"/>
        <v>5.5555555555555554</v>
      </c>
      <c r="T21" s="81">
        <f t="shared" si="35"/>
        <v>5.5555555555555554</v>
      </c>
      <c r="U21" s="81">
        <f t="shared" si="35"/>
        <v>5.5555555555555554</v>
      </c>
      <c r="V21" s="81">
        <f t="shared" si="35"/>
        <v>5.5555555555555554</v>
      </c>
      <c r="W21" s="81">
        <f t="shared" si="35"/>
        <v>5.5555555555555554</v>
      </c>
      <c r="X21" s="81">
        <f t="shared" si="35"/>
        <v>5.5555555555555554</v>
      </c>
      <c r="Y21" s="81">
        <f t="shared" si="35"/>
        <v>5.5555555555555554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82">
        <v>0.4</v>
      </c>
      <c r="AU21" s="82">
        <v>0.4</v>
      </c>
      <c r="AV21" s="82">
        <v>0.1</v>
      </c>
      <c r="AW21" s="82">
        <v>0.4</v>
      </c>
      <c r="AX21" s="82">
        <v>0.2</v>
      </c>
      <c r="AY21" s="82">
        <v>0.1</v>
      </c>
      <c r="AZ21" s="82">
        <v>0.1</v>
      </c>
      <c r="BA21" s="82">
        <v>0.1</v>
      </c>
      <c r="BB21" s="82">
        <v>0.1</v>
      </c>
      <c r="BC21" s="82">
        <v>0.1</v>
      </c>
      <c r="BD21" s="82">
        <v>0.2</v>
      </c>
      <c r="BE21" s="82">
        <v>0.2</v>
      </c>
      <c r="BF21" s="82">
        <v>0.2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0.2</v>
      </c>
      <c r="BO21" s="82">
        <v>0.2</v>
      </c>
      <c r="BP21" s="82">
        <v>0.2</v>
      </c>
      <c r="BQ21" s="82">
        <v>1</v>
      </c>
      <c r="BR21" s="82">
        <v>1</v>
      </c>
      <c r="BS21" s="82">
        <v>1</v>
      </c>
      <c r="BT21" s="82">
        <v>1</v>
      </c>
      <c r="BU21" s="82">
        <v>1</v>
      </c>
      <c r="BV21" s="82">
        <v>1</v>
      </c>
      <c r="BW21" s="82">
        <v>1</v>
      </c>
      <c r="BX21" s="72">
        <v>0.47</v>
      </c>
      <c r="BY21" s="72">
        <v>0.47</v>
      </c>
      <c r="BZ21" s="72">
        <v>0.47</v>
      </c>
      <c r="CA21" s="72">
        <v>0.45</v>
      </c>
      <c r="CB21" s="72">
        <v>0.45</v>
      </c>
      <c r="CC21" s="72">
        <v>0.45</v>
      </c>
      <c r="CD21" s="72">
        <v>0.45</v>
      </c>
      <c r="CE21" s="72">
        <v>0.45</v>
      </c>
      <c r="CF21" s="72">
        <v>0.45</v>
      </c>
      <c r="CG21" s="72">
        <v>0.45</v>
      </c>
      <c r="CH21" s="72">
        <v>18057.96</v>
      </c>
      <c r="CI21" s="72">
        <v>18057.96</v>
      </c>
      <c r="CJ21" s="72">
        <v>18057.96</v>
      </c>
      <c r="CK21" s="72">
        <v>6662.16</v>
      </c>
      <c r="CL21" s="72">
        <v>6662.16</v>
      </c>
      <c r="CM21" s="72">
        <v>6662.16</v>
      </c>
      <c r="CN21" s="72">
        <f>(CL21+CP21)/2</f>
        <v>5873.2199999999993</v>
      </c>
      <c r="CO21" s="72">
        <v>5084.28</v>
      </c>
      <c r="CP21" s="72">
        <v>5084.28</v>
      </c>
      <c r="CQ21" s="72">
        <v>5084.28</v>
      </c>
      <c r="CR21" s="72">
        <f t="shared" ref="CR21:DA22" si="36">CH21*4%</f>
        <v>722.3184</v>
      </c>
      <c r="CS21" s="72">
        <f t="shared" si="36"/>
        <v>722.3184</v>
      </c>
      <c r="CT21" s="72">
        <f t="shared" si="36"/>
        <v>722.3184</v>
      </c>
      <c r="CU21" s="72">
        <f t="shared" si="36"/>
        <v>266.4864</v>
      </c>
      <c r="CV21" s="72">
        <f t="shared" si="36"/>
        <v>266.4864</v>
      </c>
      <c r="CW21" s="72">
        <f t="shared" si="36"/>
        <v>266.4864</v>
      </c>
      <c r="CX21" s="72">
        <f t="shared" si="36"/>
        <v>234.92879999999997</v>
      </c>
      <c r="CY21" s="72">
        <f t="shared" si="36"/>
        <v>203.37119999999999</v>
      </c>
      <c r="CZ21" s="72">
        <f t="shared" si="36"/>
        <v>203.37119999999999</v>
      </c>
      <c r="DA21" s="72">
        <f t="shared" si="36"/>
        <v>203.37119999999999</v>
      </c>
      <c r="DB21" s="72">
        <v>0</v>
      </c>
      <c r="DC21" s="72">
        <v>0</v>
      </c>
      <c r="DD21" s="72">
        <v>0</v>
      </c>
      <c r="DE21" s="72">
        <v>0</v>
      </c>
      <c r="DF21" s="72">
        <v>0</v>
      </c>
      <c r="DG21" s="72">
        <v>0</v>
      </c>
      <c r="DH21" s="72">
        <v>0</v>
      </c>
      <c r="DI21" s="72">
        <v>0</v>
      </c>
      <c r="DJ21" s="72">
        <v>0</v>
      </c>
      <c r="DK21" s="72">
        <v>0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72">
        <v>0</v>
      </c>
      <c r="DS21" s="72">
        <v>0</v>
      </c>
      <c r="DT21" s="72">
        <v>0</v>
      </c>
      <c r="DU21" s="72">
        <v>0</v>
      </c>
      <c r="DV21" s="72">
        <v>0</v>
      </c>
      <c r="DW21" s="72">
        <v>0</v>
      </c>
      <c r="DX21" s="72">
        <v>0</v>
      </c>
      <c r="DY21" s="72">
        <v>0</v>
      </c>
      <c r="DZ21" s="72">
        <v>0</v>
      </c>
      <c r="EA21" s="72">
        <v>0</v>
      </c>
      <c r="EB21" s="72">
        <v>0</v>
      </c>
      <c r="EC21" s="72">
        <v>0</v>
      </c>
      <c r="ED21" s="72">
        <v>0</v>
      </c>
      <c r="EE21" s="72">
        <v>0</v>
      </c>
      <c r="EF21" s="72">
        <v>22.714018844166667</v>
      </c>
      <c r="EG21" s="72">
        <v>22.714018844166667</v>
      </c>
      <c r="EH21" s="72">
        <v>22.714018844166667</v>
      </c>
      <c r="EI21" s="72">
        <v>0</v>
      </c>
      <c r="EJ21" s="72">
        <f t="shared" si="6"/>
        <v>22.714018844166667</v>
      </c>
      <c r="EK21" s="72">
        <v>0</v>
      </c>
      <c r="EL21" s="72">
        <f t="shared" si="7"/>
        <v>22.714018844166667</v>
      </c>
      <c r="EM21" s="72">
        <v>0</v>
      </c>
      <c r="EN21" s="72">
        <f t="shared" si="12"/>
        <v>22.714018844166667</v>
      </c>
      <c r="EO21" s="72">
        <v>0</v>
      </c>
      <c r="EP21" s="72">
        <v>0</v>
      </c>
      <c r="EQ21" s="72">
        <v>0</v>
      </c>
      <c r="ER21" s="72">
        <v>0</v>
      </c>
      <c r="ES21" s="72">
        <v>0</v>
      </c>
      <c r="ET21" s="72">
        <f t="shared" si="9"/>
        <v>0</v>
      </c>
      <c r="EU21" s="72">
        <v>0</v>
      </c>
      <c r="EV21" s="72">
        <f t="shared" si="10"/>
        <v>0</v>
      </c>
      <c r="EW21" s="72">
        <v>0</v>
      </c>
      <c r="EX21" s="72">
        <f t="shared" si="11"/>
        <v>0</v>
      </c>
      <c r="EY21" s="72">
        <v>0</v>
      </c>
      <c r="EZ21" s="72">
        <v>0</v>
      </c>
      <c r="FA21" s="72">
        <v>0</v>
      </c>
      <c r="FB21" s="72">
        <v>0</v>
      </c>
      <c r="FC21" s="72">
        <v>0</v>
      </c>
      <c r="FD21" s="72">
        <v>0</v>
      </c>
      <c r="FE21" s="72">
        <v>0</v>
      </c>
      <c r="FF21" s="72">
        <v>0</v>
      </c>
      <c r="FG21" s="72">
        <v>0</v>
      </c>
      <c r="FH21" s="72">
        <v>0</v>
      </c>
      <c r="FI21" s="72">
        <v>0</v>
      </c>
      <c r="FJ21" s="83">
        <f>1/11.3</f>
        <v>8.8495575221238937E-2</v>
      </c>
      <c r="FK21" s="83">
        <f t="shared" ref="FK21:FS22" si="37">1/11.3</f>
        <v>8.8495575221238937E-2</v>
      </c>
      <c r="FL21" s="83">
        <f t="shared" si="37"/>
        <v>8.8495575221238937E-2</v>
      </c>
      <c r="FM21" s="83">
        <f t="shared" si="37"/>
        <v>8.8495575221238937E-2</v>
      </c>
      <c r="FN21" s="83">
        <f t="shared" si="37"/>
        <v>8.8495575221238937E-2</v>
      </c>
      <c r="FO21" s="83">
        <f t="shared" si="37"/>
        <v>8.8495575221238937E-2</v>
      </c>
      <c r="FP21" s="83">
        <f t="shared" si="37"/>
        <v>8.8495575221238937E-2</v>
      </c>
      <c r="FQ21" s="83">
        <f t="shared" si="37"/>
        <v>8.8495575221238937E-2</v>
      </c>
      <c r="FR21" s="83">
        <f t="shared" si="37"/>
        <v>8.8495575221238937E-2</v>
      </c>
      <c r="FS21" s="83">
        <f t="shared" si="37"/>
        <v>8.8495575221238937E-2</v>
      </c>
    </row>
    <row r="22" spans="1:175" s="72" customFormat="1" x14ac:dyDescent="0.3">
      <c r="A22" s="106"/>
      <c r="B22" s="77" t="s">
        <v>135</v>
      </c>
      <c r="C22" s="78" t="s">
        <v>171</v>
      </c>
      <c r="D22" s="71" t="s">
        <v>95</v>
      </c>
      <c r="E22" s="70">
        <f>ROW(D22)-ROW($E$8)</f>
        <v>14</v>
      </c>
      <c r="F22" s="70">
        <v>1</v>
      </c>
      <c r="G22" s="70" t="s">
        <v>91</v>
      </c>
      <c r="H22" s="79">
        <f>(2.2/(18.6/3.6))*10^9</f>
        <v>425806451.61290324</v>
      </c>
      <c r="I22" s="80" t="str">
        <f>B37</f>
        <v>Reactant9</v>
      </c>
      <c r="J22" s="72">
        <v>0</v>
      </c>
      <c r="K22" s="72">
        <v>1</v>
      </c>
      <c r="L22" s="72">
        <v>0</v>
      </c>
      <c r="M22" s="72">
        <v>0</v>
      </c>
      <c r="N22" s="72">
        <v>0</v>
      </c>
      <c r="O22" s="72">
        <f>O21</f>
        <v>20000</v>
      </c>
      <c r="P22" s="81">
        <f t="shared" ref="P22:Q22" si="38">1/0.18</f>
        <v>5.5555555555555554</v>
      </c>
      <c r="Q22" s="81">
        <f t="shared" si="38"/>
        <v>5.5555555555555554</v>
      </c>
      <c r="R22" s="81">
        <f t="shared" si="35"/>
        <v>5.5555555555555554</v>
      </c>
      <c r="S22" s="81">
        <f t="shared" si="35"/>
        <v>5.5555555555555554</v>
      </c>
      <c r="T22" s="81">
        <f t="shared" si="35"/>
        <v>5.5555555555555554</v>
      </c>
      <c r="U22" s="81">
        <f t="shared" si="35"/>
        <v>5.5555555555555554</v>
      </c>
      <c r="V22" s="81">
        <f t="shared" si="35"/>
        <v>5.5555555555555554</v>
      </c>
      <c r="W22" s="81">
        <f t="shared" si="35"/>
        <v>5.5555555555555554</v>
      </c>
      <c r="X22" s="81">
        <f t="shared" si="35"/>
        <v>5.5555555555555554</v>
      </c>
      <c r="Y22" s="81">
        <f t="shared" si="35"/>
        <v>5.5555555555555554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72">
        <v>0</v>
      </c>
      <c r="AT22" s="82">
        <v>0.4</v>
      </c>
      <c r="AU22" s="82">
        <v>0.4</v>
      </c>
      <c r="AV22" s="82">
        <v>0.1</v>
      </c>
      <c r="AW22" s="82">
        <v>0.4</v>
      </c>
      <c r="AX22" s="82">
        <v>0.2</v>
      </c>
      <c r="AY22" s="82">
        <v>0.1</v>
      </c>
      <c r="AZ22" s="82">
        <v>0.1</v>
      </c>
      <c r="BA22" s="82">
        <v>0.1</v>
      </c>
      <c r="BB22" s="82">
        <v>0.1</v>
      </c>
      <c r="BC22" s="82">
        <v>0.1</v>
      </c>
      <c r="BD22" s="82">
        <v>0.2</v>
      </c>
      <c r="BE22" s="82">
        <v>0.2</v>
      </c>
      <c r="BF22" s="82">
        <v>0.2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0.2</v>
      </c>
      <c r="BO22" s="82">
        <v>0.2</v>
      </c>
      <c r="BP22" s="82">
        <v>0.2</v>
      </c>
      <c r="BQ22" s="82">
        <v>1</v>
      </c>
      <c r="BR22" s="82">
        <v>1</v>
      </c>
      <c r="BS22" s="82">
        <v>1</v>
      </c>
      <c r="BT22" s="82">
        <v>1</v>
      </c>
      <c r="BU22" s="82">
        <v>1</v>
      </c>
      <c r="BV22" s="82">
        <v>1</v>
      </c>
      <c r="BW22" s="82">
        <v>1</v>
      </c>
      <c r="BX22" s="72">
        <v>0.61</v>
      </c>
      <c r="BY22" s="72">
        <v>0.61</v>
      </c>
      <c r="BZ22" s="72">
        <v>0.61</v>
      </c>
      <c r="CA22" s="72">
        <v>0.59</v>
      </c>
      <c r="CB22" s="72">
        <v>0.59</v>
      </c>
      <c r="CC22" s="72">
        <v>0.59</v>
      </c>
      <c r="CD22" s="72">
        <v>0.59</v>
      </c>
      <c r="CE22" s="72">
        <v>0.59</v>
      </c>
      <c r="CF22" s="72">
        <v>0.59</v>
      </c>
      <c r="CG22" s="72">
        <v>0.59</v>
      </c>
      <c r="CH22" s="72">
        <v>18057.96</v>
      </c>
      <c r="CI22" s="72">
        <v>18057.96</v>
      </c>
      <c r="CJ22" s="72">
        <v>18057.96</v>
      </c>
      <c r="CK22" s="72">
        <v>6662.16</v>
      </c>
      <c r="CL22" s="72">
        <v>6662.16</v>
      </c>
      <c r="CM22" s="72">
        <v>6662.16</v>
      </c>
      <c r="CN22" s="72">
        <f>(CL22+CP22)/2</f>
        <v>5873.2199999999993</v>
      </c>
      <c r="CO22" s="72">
        <v>5084.28</v>
      </c>
      <c r="CP22" s="72">
        <v>5084.28</v>
      </c>
      <c r="CQ22" s="72">
        <v>5084.28</v>
      </c>
      <c r="CR22" s="72">
        <f>CH22*4%</f>
        <v>722.3184</v>
      </c>
      <c r="CS22" s="72">
        <f t="shared" si="36"/>
        <v>722.3184</v>
      </c>
      <c r="CT22" s="72">
        <f t="shared" si="36"/>
        <v>722.3184</v>
      </c>
      <c r="CU22" s="72">
        <f t="shared" si="36"/>
        <v>266.4864</v>
      </c>
      <c r="CV22" s="72">
        <f t="shared" si="36"/>
        <v>266.4864</v>
      </c>
      <c r="CW22" s="72">
        <f t="shared" si="36"/>
        <v>266.4864</v>
      </c>
      <c r="CX22" s="72">
        <f t="shared" si="36"/>
        <v>234.92879999999997</v>
      </c>
      <c r="CY22" s="72">
        <f t="shared" si="36"/>
        <v>203.37119999999999</v>
      </c>
      <c r="CZ22" s="72">
        <f t="shared" si="36"/>
        <v>203.37119999999999</v>
      </c>
      <c r="DA22" s="72">
        <f t="shared" si="36"/>
        <v>203.37119999999999</v>
      </c>
      <c r="DB22" s="72">
        <v>0</v>
      </c>
      <c r="DC22" s="72">
        <v>0</v>
      </c>
      <c r="DD22" s="72">
        <v>0</v>
      </c>
      <c r="DE22" s="72">
        <v>0</v>
      </c>
      <c r="DF22" s="72">
        <v>0</v>
      </c>
      <c r="DG22" s="72">
        <v>0</v>
      </c>
      <c r="DH22" s="72">
        <v>0</v>
      </c>
      <c r="DI22" s="72">
        <v>0</v>
      </c>
      <c r="DJ22" s="72">
        <v>0</v>
      </c>
      <c r="DK22" s="72">
        <v>0</v>
      </c>
      <c r="DL22" s="72">
        <v>0</v>
      </c>
      <c r="DM22" s="72">
        <v>0</v>
      </c>
      <c r="DN22" s="72">
        <v>0</v>
      </c>
      <c r="DO22" s="72">
        <v>0</v>
      </c>
      <c r="DP22" s="72">
        <v>0</v>
      </c>
      <c r="DQ22" s="72">
        <v>0</v>
      </c>
      <c r="DR22" s="72">
        <v>0</v>
      </c>
      <c r="DS22" s="72">
        <v>0</v>
      </c>
      <c r="DT22" s="72">
        <v>0</v>
      </c>
      <c r="DU22" s="72">
        <v>0</v>
      </c>
      <c r="DV22" s="72">
        <v>0</v>
      </c>
      <c r="DW22" s="72">
        <v>0</v>
      </c>
      <c r="DX22" s="72">
        <v>0</v>
      </c>
      <c r="DY22" s="72">
        <v>0</v>
      </c>
      <c r="DZ22" s="72">
        <v>0</v>
      </c>
      <c r="EA22" s="72">
        <v>0</v>
      </c>
      <c r="EB22" s="72">
        <v>0</v>
      </c>
      <c r="EC22" s="72">
        <v>0</v>
      </c>
      <c r="ED22" s="72">
        <v>0</v>
      </c>
      <c r="EE22" s="72">
        <v>0</v>
      </c>
      <c r="EF22" s="81">
        <v>22.714018844166667</v>
      </c>
      <c r="EG22" s="81">
        <v>22.714018844166667</v>
      </c>
      <c r="EH22" s="81">
        <v>22.714018844166667</v>
      </c>
      <c r="EI22" s="72">
        <v>0</v>
      </c>
      <c r="EJ22" s="72">
        <f t="shared" si="6"/>
        <v>22.714018844166667</v>
      </c>
      <c r="EK22" s="72">
        <v>0</v>
      </c>
      <c r="EL22" s="72">
        <f t="shared" si="7"/>
        <v>22.714018844166667</v>
      </c>
      <c r="EM22" s="72">
        <v>0</v>
      </c>
      <c r="EN22" s="72">
        <f t="shared" si="12"/>
        <v>22.714018844166667</v>
      </c>
      <c r="EO22" s="72">
        <v>0</v>
      </c>
      <c r="EP22" s="81">
        <v>0</v>
      </c>
      <c r="EQ22" s="81">
        <v>0</v>
      </c>
      <c r="ER22" s="81">
        <v>0</v>
      </c>
      <c r="ES22" s="72">
        <v>0</v>
      </c>
      <c r="ET22" s="72">
        <f t="shared" si="9"/>
        <v>0</v>
      </c>
      <c r="EU22" s="72">
        <v>0</v>
      </c>
      <c r="EV22" s="72">
        <f t="shared" si="10"/>
        <v>0</v>
      </c>
      <c r="EW22" s="72">
        <v>0</v>
      </c>
      <c r="EX22" s="72">
        <f t="shared" si="11"/>
        <v>0</v>
      </c>
      <c r="EY22" s="72">
        <v>0</v>
      </c>
      <c r="EZ22" s="72">
        <v>0</v>
      </c>
      <c r="FA22" s="72">
        <v>0</v>
      </c>
      <c r="FB22" s="72">
        <v>0</v>
      </c>
      <c r="FC22" s="72">
        <v>0</v>
      </c>
      <c r="FD22" s="72">
        <v>0</v>
      </c>
      <c r="FE22" s="72">
        <v>0</v>
      </c>
      <c r="FF22" s="72">
        <v>0</v>
      </c>
      <c r="FG22" s="72">
        <v>0</v>
      </c>
      <c r="FH22" s="72">
        <v>0</v>
      </c>
      <c r="FI22" s="72">
        <v>0</v>
      </c>
      <c r="FJ22" s="83">
        <f>1/11.3</f>
        <v>8.8495575221238937E-2</v>
      </c>
      <c r="FK22" s="83">
        <f t="shared" si="37"/>
        <v>8.8495575221238937E-2</v>
      </c>
      <c r="FL22" s="83">
        <f t="shared" si="37"/>
        <v>8.8495575221238937E-2</v>
      </c>
      <c r="FM22" s="83">
        <f t="shared" si="37"/>
        <v>8.8495575221238937E-2</v>
      </c>
      <c r="FN22" s="83">
        <f t="shared" si="37"/>
        <v>8.8495575221238937E-2</v>
      </c>
      <c r="FO22" s="83">
        <f t="shared" si="37"/>
        <v>8.8495575221238937E-2</v>
      </c>
      <c r="FP22" s="83">
        <f t="shared" si="37"/>
        <v>8.8495575221238937E-2</v>
      </c>
      <c r="FQ22" s="83">
        <f t="shared" si="37"/>
        <v>8.8495575221238937E-2</v>
      </c>
      <c r="FR22" s="83">
        <f t="shared" si="37"/>
        <v>8.8495575221238937E-2</v>
      </c>
      <c r="FS22" s="83">
        <f t="shared" si="37"/>
        <v>8.8495575221238937E-2</v>
      </c>
    </row>
    <row r="23" spans="1:175" x14ac:dyDescent="0.3">
      <c r="A23" s="106"/>
      <c r="B23" s="3" t="s">
        <v>135</v>
      </c>
      <c r="C23" s="4" t="s">
        <v>171</v>
      </c>
      <c r="D23" s="2" t="s">
        <v>251</v>
      </c>
      <c r="E23" s="9">
        <f>ROW(D23)-ROW($E$8)</f>
        <v>15</v>
      </c>
      <c r="F23" s="13">
        <v>1</v>
      </c>
      <c r="G23" s="13" t="s">
        <v>252</v>
      </c>
      <c r="H23" s="15">
        <f>(2.2/(120/3.6))*10^9</f>
        <v>66000000</v>
      </c>
      <c r="I23" s="24" t="str">
        <f>B38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f>O22</f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106"/>
      <c r="B24" s="25" t="s">
        <v>426</v>
      </c>
      <c r="C24" s="11" t="s">
        <v>277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39">CH24*0.03</f>
        <v>4.8396239999999997</v>
      </c>
      <c r="CS24">
        <f t="shared" si="39"/>
        <v>4.4363219999999997</v>
      </c>
      <c r="CT24">
        <f t="shared" si="39"/>
        <v>4.0330199999999996</v>
      </c>
      <c r="CU24">
        <f t="shared" si="39"/>
        <v>4.4363219999999997</v>
      </c>
      <c r="CV24">
        <f t="shared" si="39"/>
        <v>4.0330199999999996</v>
      </c>
      <c r="CW24">
        <f t="shared" si="39"/>
        <v>4.0330199999999996</v>
      </c>
      <c r="CX24">
        <f t="shared" si="39"/>
        <v>4.0330199999999996</v>
      </c>
      <c r="CY24">
        <f t="shared" si="39"/>
        <v>4.0330199999999996</v>
      </c>
      <c r="CZ24">
        <f t="shared" si="39"/>
        <v>4.0330199999999996</v>
      </c>
      <c r="DA24">
        <f t="shared" si="39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106"/>
      <c r="B25" s="25" t="str">
        <f>B24</f>
        <v>Reactant11</v>
      </c>
      <c r="C25" s="11" t="s">
        <v>277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39"/>
        <v>4.0330199999999996</v>
      </c>
      <c r="CS25">
        <f t="shared" si="39"/>
        <v>3.6297947999999995</v>
      </c>
      <c r="CT25">
        <f t="shared" si="39"/>
        <v>3.2265695999999999</v>
      </c>
      <c r="CU25">
        <f t="shared" si="39"/>
        <v>3.6297947999999995</v>
      </c>
      <c r="CV25">
        <f t="shared" si="39"/>
        <v>3.2265695999999999</v>
      </c>
      <c r="CW25">
        <f t="shared" si="39"/>
        <v>3.2265695999999999</v>
      </c>
      <c r="CX25">
        <f t="shared" si="39"/>
        <v>3.2265695999999999</v>
      </c>
      <c r="CY25">
        <f t="shared" si="39"/>
        <v>3.2265695999999999</v>
      </c>
      <c r="CZ25">
        <f t="shared" si="39"/>
        <v>3.2265695999999999</v>
      </c>
      <c r="DA25">
        <f t="shared" si="39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106"/>
      <c r="B26" s="25" t="str">
        <f>B24</f>
        <v>Reactant11</v>
      </c>
      <c r="C26" s="11" t="s">
        <v>277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39"/>
        <v>2.4199272000000001</v>
      </c>
      <c r="CS26">
        <f t="shared" si="39"/>
        <v>2.1779346000000004</v>
      </c>
      <c r="CT26">
        <f t="shared" si="39"/>
        <v>1.9359420000000001</v>
      </c>
      <c r="CU26">
        <f t="shared" si="39"/>
        <v>2.1779346000000004</v>
      </c>
      <c r="CV26">
        <f t="shared" si="39"/>
        <v>1.9359420000000001</v>
      </c>
      <c r="CW26">
        <f t="shared" si="39"/>
        <v>1.9359420000000001</v>
      </c>
      <c r="CX26">
        <f t="shared" si="39"/>
        <v>1.9359420000000001</v>
      </c>
      <c r="CY26">
        <f t="shared" si="39"/>
        <v>1.9359420000000001</v>
      </c>
      <c r="CZ26">
        <f t="shared" si="39"/>
        <v>1.9359420000000001</v>
      </c>
      <c r="DA26">
        <f t="shared" si="39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106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 s="27">
        <f t="shared" ref="P27:Y31" si="40">(1/9)*0.8</f>
        <v>8.8888888888888892E-2</v>
      </c>
      <c r="Q27">
        <f t="shared" si="40"/>
        <v>8.8888888888888892E-2</v>
      </c>
      <c r="R27">
        <f t="shared" si="40"/>
        <v>8.8888888888888892E-2</v>
      </c>
      <c r="S27">
        <f t="shared" si="40"/>
        <v>8.8888888888888892E-2</v>
      </c>
      <c r="T27">
        <f t="shared" si="40"/>
        <v>8.8888888888888892E-2</v>
      </c>
      <c r="U27">
        <f t="shared" si="40"/>
        <v>8.8888888888888892E-2</v>
      </c>
      <c r="V27">
        <f t="shared" si="40"/>
        <v>8.8888888888888892E-2</v>
      </c>
      <c r="W27">
        <f t="shared" si="40"/>
        <v>8.8888888888888892E-2</v>
      </c>
      <c r="X27">
        <f t="shared" si="40"/>
        <v>8.8888888888888892E-2</v>
      </c>
      <c r="Y27">
        <f t="shared" si="40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41">10%*CH27</f>
        <v>5844.0827173081707</v>
      </c>
      <c r="CS27">
        <f t="shared" si="41"/>
        <v>5500</v>
      </c>
      <c r="CT27">
        <f t="shared" si="41"/>
        <v>5262.9637979510735</v>
      </c>
      <c r="CU27">
        <f t="shared" si="41"/>
        <v>3984</v>
      </c>
      <c r="CV27">
        <f t="shared" si="41"/>
        <v>3984</v>
      </c>
      <c r="CW27">
        <f t="shared" si="41"/>
        <v>3984</v>
      </c>
      <c r="CX27">
        <f t="shared" si="41"/>
        <v>3237</v>
      </c>
      <c r="CY27">
        <f t="shared" ref="CY27:DA27" si="42">10%*CO27</f>
        <v>2490</v>
      </c>
      <c r="CZ27">
        <f t="shared" si="42"/>
        <v>2490</v>
      </c>
      <c r="DA27">
        <f t="shared" si="42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1">
        <f>1/11.3</f>
        <v>8.8495575221238937E-2</v>
      </c>
      <c r="FK27" s="51">
        <f t="shared" ref="FK27:FS29" si="43">1/11.3</f>
        <v>8.8495575221238937E-2</v>
      </c>
      <c r="FL27" s="51">
        <f t="shared" si="43"/>
        <v>8.8495575221238937E-2</v>
      </c>
      <c r="FM27" s="51">
        <f t="shared" si="43"/>
        <v>8.8495575221238937E-2</v>
      </c>
      <c r="FN27" s="51">
        <f t="shared" si="43"/>
        <v>8.8495575221238937E-2</v>
      </c>
      <c r="FO27" s="51">
        <f t="shared" si="43"/>
        <v>8.8495575221238937E-2</v>
      </c>
      <c r="FP27" s="51">
        <f t="shared" si="43"/>
        <v>8.8495575221238937E-2</v>
      </c>
      <c r="FQ27" s="51">
        <f t="shared" si="43"/>
        <v>8.8495575221238937E-2</v>
      </c>
      <c r="FR27" s="51">
        <f t="shared" si="43"/>
        <v>8.8495575221238937E-2</v>
      </c>
      <c r="FS27" s="51">
        <f t="shared" si="43"/>
        <v>8.8495575221238937E-2</v>
      </c>
    </row>
    <row r="28" spans="1:175" x14ac:dyDescent="0.3">
      <c r="A28" s="106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40"/>
        <v>8.8888888888888892E-2</v>
      </c>
      <c r="Q28">
        <f t="shared" si="40"/>
        <v>8.8888888888888892E-2</v>
      </c>
      <c r="R28">
        <f t="shared" si="40"/>
        <v>8.8888888888888892E-2</v>
      </c>
      <c r="S28">
        <f t="shared" si="40"/>
        <v>8.8888888888888892E-2</v>
      </c>
      <c r="T28">
        <f t="shared" si="40"/>
        <v>8.8888888888888892E-2</v>
      </c>
      <c r="U28">
        <f t="shared" si="40"/>
        <v>8.8888888888888892E-2</v>
      </c>
      <c r="V28">
        <f t="shared" si="40"/>
        <v>8.8888888888888892E-2</v>
      </c>
      <c r="W28">
        <f t="shared" si="40"/>
        <v>8.8888888888888892E-2</v>
      </c>
      <c r="X28">
        <f t="shared" si="40"/>
        <v>8.8888888888888892E-2</v>
      </c>
      <c r="Y28">
        <f t="shared" si="40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37.9</v>
      </c>
      <c r="BY28" s="1">
        <v>37.9</v>
      </c>
      <c r="BZ28" s="1">
        <v>37.9</v>
      </c>
      <c r="CA28" s="1">
        <v>37.9</v>
      </c>
      <c r="CB28" s="1">
        <v>37.9</v>
      </c>
      <c r="CC28" s="1">
        <v>37.9</v>
      </c>
      <c r="CD28" s="1">
        <v>37.9</v>
      </c>
      <c r="CE28" s="1">
        <v>37.9</v>
      </c>
      <c r="CF28" s="1">
        <v>37.9</v>
      </c>
      <c r="CG28" s="1">
        <v>37.9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44">8.55%*CH28</f>
        <v>8999.7300000000014</v>
      </c>
      <c r="CS28" s="1">
        <f t="shared" si="44"/>
        <v>8999.7300000000014</v>
      </c>
      <c r="CT28" s="1">
        <f t="shared" si="44"/>
        <v>8999.7300000000014</v>
      </c>
      <c r="CU28" s="1">
        <f t="shared" si="44"/>
        <v>3384.4301285569013</v>
      </c>
      <c r="CV28" s="1">
        <f t="shared" si="44"/>
        <v>3384.4301285569013</v>
      </c>
      <c r="CW28" s="1">
        <f t="shared" si="44"/>
        <v>3384.4301285569013</v>
      </c>
      <c r="CX28" s="1">
        <f t="shared" si="44"/>
        <v>2342.0150642784506</v>
      </c>
      <c r="CY28" s="1">
        <f t="shared" ref="CY28:DA29" si="45">8.55%*CO28</f>
        <v>1299.6000000000001</v>
      </c>
      <c r="CZ28" s="1">
        <f t="shared" si="45"/>
        <v>1299.6000000000001</v>
      </c>
      <c r="DA28" s="1">
        <f t="shared" si="45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1">
        <f>1/11.3</f>
        <v>8.8495575221238937E-2</v>
      </c>
      <c r="FK28" s="51">
        <f t="shared" si="43"/>
        <v>8.8495575221238937E-2</v>
      </c>
      <c r="FL28" s="51">
        <f t="shared" si="43"/>
        <v>8.8495575221238937E-2</v>
      </c>
      <c r="FM28" s="51">
        <f t="shared" si="43"/>
        <v>8.8495575221238937E-2</v>
      </c>
      <c r="FN28" s="51">
        <f t="shared" si="43"/>
        <v>8.8495575221238937E-2</v>
      </c>
      <c r="FO28" s="51">
        <f t="shared" si="43"/>
        <v>8.8495575221238937E-2</v>
      </c>
      <c r="FP28" s="51">
        <f t="shared" si="43"/>
        <v>8.8495575221238937E-2</v>
      </c>
      <c r="FQ28" s="51">
        <f t="shared" si="43"/>
        <v>8.8495575221238937E-2</v>
      </c>
      <c r="FR28" s="51">
        <f t="shared" si="43"/>
        <v>8.8495575221238937E-2</v>
      </c>
      <c r="FS28" s="51">
        <f t="shared" si="43"/>
        <v>8.8495575221238937E-2</v>
      </c>
    </row>
    <row r="29" spans="1:175" x14ac:dyDescent="0.3">
      <c r="A29" s="106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40"/>
        <v>8.8888888888888892E-2</v>
      </c>
      <c r="Q29">
        <f t="shared" si="40"/>
        <v>8.8888888888888892E-2</v>
      </c>
      <c r="R29">
        <f t="shared" si="40"/>
        <v>8.8888888888888892E-2</v>
      </c>
      <c r="S29">
        <f t="shared" si="40"/>
        <v>8.8888888888888892E-2</v>
      </c>
      <c r="T29">
        <f t="shared" si="40"/>
        <v>8.8888888888888892E-2</v>
      </c>
      <c r="U29">
        <f t="shared" si="40"/>
        <v>8.8888888888888892E-2</v>
      </c>
      <c r="V29">
        <f t="shared" si="40"/>
        <v>8.8888888888888892E-2</v>
      </c>
      <c r="W29">
        <f t="shared" si="40"/>
        <v>8.8888888888888892E-2</v>
      </c>
      <c r="X29">
        <f t="shared" si="40"/>
        <v>8.8888888888888892E-2</v>
      </c>
      <c r="Y29">
        <f t="shared" si="40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46">8.55%*CI29</f>
        <v>8999.7300000000014</v>
      </c>
      <c r="CT29" s="1">
        <f t="shared" si="46"/>
        <v>8999.7300000000014</v>
      </c>
      <c r="CU29" s="1">
        <f t="shared" ref="CU29:CW29" si="47">8.55%*CK29</f>
        <v>3384.4301285569013</v>
      </c>
      <c r="CV29" s="1">
        <f t="shared" si="47"/>
        <v>3384.4301285569013</v>
      </c>
      <c r="CW29" s="1">
        <f t="shared" si="47"/>
        <v>3384.4301285569013</v>
      </c>
      <c r="CX29" s="1">
        <f t="shared" ref="CX29" si="48">8.55%*CN29</f>
        <v>2342.0150642784506</v>
      </c>
      <c r="CY29" s="1">
        <f t="shared" si="45"/>
        <v>1299.6000000000001</v>
      </c>
      <c r="CZ29" s="1">
        <f t="shared" si="45"/>
        <v>1299.6000000000001</v>
      </c>
      <c r="DA29" s="1">
        <f t="shared" si="45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1">
        <f>1/11.3</f>
        <v>8.8495575221238937E-2</v>
      </c>
      <c r="FK29" s="51">
        <f t="shared" si="43"/>
        <v>8.8495575221238937E-2</v>
      </c>
      <c r="FL29" s="51">
        <f t="shared" si="43"/>
        <v>8.8495575221238937E-2</v>
      </c>
      <c r="FM29" s="51">
        <f t="shared" si="43"/>
        <v>8.8495575221238937E-2</v>
      </c>
      <c r="FN29" s="51">
        <f t="shared" si="43"/>
        <v>8.8495575221238937E-2</v>
      </c>
      <c r="FO29" s="51">
        <f t="shared" si="43"/>
        <v>8.8495575221238937E-2</v>
      </c>
      <c r="FP29" s="51">
        <f t="shared" si="43"/>
        <v>8.8495575221238937E-2</v>
      </c>
      <c r="FQ29" s="51">
        <f t="shared" si="43"/>
        <v>8.8495575221238937E-2</v>
      </c>
      <c r="FR29" s="51">
        <f t="shared" si="43"/>
        <v>8.8495575221238937E-2</v>
      </c>
      <c r="FS29" s="51">
        <f t="shared" si="43"/>
        <v>8.8495575221238937E-2</v>
      </c>
    </row>
    <row r="30" spans="1:175" x14ac:dyDescent="0.3">
      <c r="A30" s="106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40"/>
        <v>8.8888888888888892E-2</v>
      </c>
      <c r="Q30">
        <f t="shared" si="40"/>
        <v>8.8888888888888892E-2</v>
      </c>
      <c r="R30">
        <f t="shared" si="40"/>
        <v>8.8888888888888892E-2</v>
      </c>
      <c r="S30">
        <f t="shared" si="40"/>
        <v>8.8888888888888892E-2</v>
      </c>
      <c r="T30">
        <f t="shared" si="40"/>
        <v>8.8888888888888892E-2</v>
      </c>
      <c r="U30">
        <f t="shared" si="40"/>
        <v>8.8888888888888892E-2</v>
      </c>
      <c r="V30">
        <f t="shared" si="40"/>
        <v>8.8888888888888892E-2</v>
      </c>
      <c r="W30">
        <f t="shared" si="40"/>
        <v>8.8888888888888892E-2</v>
      </c>
      <c r="X30">
        <f t="shared" si="40"/>
        <v>8.8888888888888892E-2</v>
      </c>
      <c r="Y30">
        <f t="shared" si="40"/>
        <v>8.8888888888888892E-2</v>
      </c>
      <c r="Z30">
        <f>Z27*0.75</f>
        <v>5.5965000000000007</v>
      </c>
      <c r="AA30">
        <f t="shared" ref="AA30:AI30" si="49">AA27*0.75</f>
        <v>5.3025000000000002</v>
      </c>
      <c r="AB30">
        <f t="shared" si="49"/>
        <v>5.0400000000000009</v>
      </c>
      <c r="AC30">
        <f t="shared" si="49"/>
        <v>4.2569999999999997</v>
      </c>
      <c r="AD30">
        <f t="shared" si="49"/>
        <v>4.2569999999999997</v>
      </c>
      <c r="AE30">
        <f t="shared" si="49"/>
        <v>4.2569999999999997</v>
      </c>
      <c r="AF30">
        <f t="shared" si="49"/>
        <v>3.4612500000000002</v>
      </c>
      <c r="AG30">
        <f t="shared" si="49"/>
        <v>2.7</v>
      </c>
      <c r="AH30">
        <f t="shared" si="49"/>
        <v>2.7</v>
      </c>
      <c r="AI30">
        <f t="shared" si="49"/>
        <v>2.7</v>
      </c>
      <c r="AJ30">
        <f>AJ27*0.75</f>
        <v>5.5965000000000007</v>
      </c>
      <c r="AK30">
        <f t="shared" ref="AK30:AS30" si="50">AK27*0.75</f>
        <v>5.3025000000000002</v>
      </c>
      <c r="AL30">
        <f t="shared" si="50"/>
        <v>5.0400000000000009</v>
      </c>
      <c r="AM30">
        <f t="shared" si="50"/>
        <v>4.2569999999999997</v>
      </c>
      <c r="AN30">
        <f t="shared" si="50"/>
        <v>4.2569999999999997</v>
      </c>
      <c r="AO30">
        <f t="shared" si="50"/>
        <v>4.2569999999999997</v>
      </c>
      <c r="AP30">
        <f t="shared" si="50"/>
        <v>3.4612500000000002</v>
      </c>
      <c r="AQ30">
        <f t="shared" si="50"/>
        <v>2.7</v>
      </c>
      <c r="AR30">
        <f t="shared" si="50"/>
        <v>2.7</v>
      </c>
      <c r="AS30">
        <f t="shared" si="50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49.449999999999996</v>
      </c>
      <c r="BY30" s="1">
        <f t="shared" ref="BY30:CG30" si="51">BY27*0.75+BY28*0.25</f>
        <v>48.1</v>
      </c>
      <c r="BZ30" s="1">
        <f t="shared" si="51"/>
        <v>46.975000000000001</v>
      </c>
      <c r="CA30" s="1">
        <f t="shared" si="51"/>
        <v>48.250000000000007</v>
      </c>
      <c r="CB30" s="1">
        <f t="shared" si="51"/>
        <v>46.824999999999996</v>
      </c>
      <c r="CC30" s="1">
        <f t="shared" si="51"/>
        <v>44.949999999999996</v>
      </c>
      <c r="CD30" s="1">
        <f t="shared" si="51"/>
        <v>46.524999999999999</v>
      </c>
      <c r="CE30" s="1">
        <f t="shared" si="51"/>
        <v>46.225000000000001</v>
      </c>
      <c r="CF30" s="1">
        <f t="shared" si="51"/>
        <v>46.225000000000001</v>
      </c>
      <c r="CG30" s="1">
        <f t="shared" si="51"/>
        <v>43.225000000000001</v>
      </c>
      <c r="CH30" s="1">
        <f>CH27*0.75+CH28*0.25</f>
        <v>70145.620379811284</v>
      </c>
      <c r="CI30" s="1">
        <f t="shared" ref="CI30:CK30" si="52">CI27*0.75+CI28*0.25</f>
        <v>67565</v>
      </c>
      <c r="CJ30" s="1">
        <f t="shared" si="52"/>
        <v>65787.228484633059</v>
      </c>
      <c r="CK30" s="1">
        <f t="shared" si="52"/>
        <v>39775.994527944153</v>
      </c>
      <c r="CL30" s="1">
        <f t="shared" ref="CL30:CM30" si="53">CL27*0.75+CL28*0.25</f>
        <v>39775.994527944153</v>
      </c>
      <c r="CM30" s="1">
        <f t="shared" si="53"/>
        <v>39775.994527944153</v>
      </c>
      <c r="CN30" s="1">
        <f t="shared" ref="CN30" si="54">CN27*0.75+CN28*0.25</f>
        <v>31125.497263972076</v>
      </c>
      <c r="CO30" s="1">
        <f t="shared" ref="CO30:CP30" si="55">CO27*0.75+CO28*0.25</f>
        <v>22475</v>
      </c>
      <c r="CP30" s="1">
        <f t="shared" si="55"/>
        <v>22475</v>
      </c>
      <c r="CQ30" s="1">
        <f t="shared" ref="CQ30" si="56">CQ27*0.75+CQ28*0.25</f>
        <v>22475</v>
      </c>
      <c r="CR30" s="1">
        <f>CR27*0.75+CR28*0.25</f>
        <v>6632.9945379811288</v>
      </c>
      <c r="CS30" s="1">
        <f t="shared" ref="CS30:CT30" si="57">CS27*0.75+CS28*0.25</f>
        <v>6374.9325000000008</v>
      </c>
      <c r="CT30" s="1">
        <f t="shared" si="57"/>
        <v>6197.1553484633059</v>
      </c>
      <c r="CU30" s="1">
        <f t="shared" ref="CU30:CV30" si="58">CU27*0.75+CU28*0.25</f>
        <v>3834.1075321392254</v>
      </c>
      <c r="CV30" s="1">
        <f t="shared" si="58"/>
        <v>3834.1075321392254</v>
      </c>
      <c r="CW30" s="1">
        <f t="shared" ref="CW30" si="59">CW27*0.75+CW28*0.25</f>
        <v>3834.1075321392254</v>
      </c>
      <c r="CX30" s="1">
        <f t="shared" ref="CX30" si="60">CX27*0.75+CX28*0.25</f>
        <v>3013.2537660696125</v>
      </c>
      <c r="CY30" s="1">
        <f t="shared" ref="CY30:CZ30" si="61">CY27*0.75+CY28*0.25</f>
        <v>2192.4</v>
      </c>
      <c r="CZ30" s="1">
        <f t="shared" si="61"/>
        <v>2192.4</v>
      </c>
      <c r="DA30" s="1">
        <f t="shared" ref="DA30" si="62">DA27*0.75+DA28*0.25</f>
        <v>2192.4</v>
      </c>
      <c r="DB30" s="1">
        <f t="shared" ref="DB30:DD30" si="63">DB27*0.75+DB28*0.25</f>
        <v>0</v>
      </c>
      <c r="DC30" s="1">
        <f t="shared" si="63"/>
        <v>0</v>
      </c>
      <c r="DD30" s="1">
        <f t="shared" si="63"/>
        <v>0</v>
      </c>
      <c r="DE30">
        <v>0</v>
      </c>
      <c r="DF30" s="1">
        <f t="shared" ref="DF30" si="64">DF27*0.75+DF28*0.25</f>
        <v>0</v>
      </c>
      <c r="DG30">
        <v>0</v>
      </c>
      <c r="DH30" s="1">
        <f t="shared" ref="DH30" si="65">DH27*0.75+DH28*0.25</f>
        <v>0</v>
      </c>
      <c r="DI30">
        <v>0</v>
      </c>
      <c r="DJ30" s="1">
        <f t="shared" ref="DJ30" si="66">DJ27*0.75+DJ28*0.25</f>
        <v>0</v>
      </c>
      <c r="DK30">
        <v>0</v>
      </c>
      <c r="DL30" s="1">
        <f t="shared" ref="DL30:DN30" si="67">DL27*0.75+DL28*0.25</f>
        <v>0</v>
      </c>
      <c r="DM30" s="1">
        <f t="shared" si="67"/>
        <v>0</v>
      </c>
      <c r="DN30" s="1">
        <f t="shared" si="67"/>
        <v>0</v>
      </c>
      <c r="DO30">
        <v>0</v>
      </c>
      <c r="DP30" s="1">
        <f t="shared" ref="DP30" si="68">DP27*0.75+DP28*0.25</f>
        <v>0</v>
      </c>
      <c r="DQ30">
        <v>0</v>
      </c>
      <c r="DR30" s="1">
        <f t="shared" ref="DR30" si="69">DR27*0.75+DR28*0.25</f>
        <v>0</v>
      </c>
      <c r="DS30">
        <v>0</v>
      </c>
      <c r="DT30" s="1">
        <f t="shared" ref="DT30" si="70">DT27*0.75+DT28*0.25</f>
        <v>0</v>
      </c>
      <c r="DU30">
        <v>0</v>
      </c>
      <c r="DV30" s="1">
        <f t="shared" ref="DV30:DX30" si="71">DV27*0.75+DV28*0.25</f>
        <v>0</v>
      </c>
      <c r="DW30" s="1">
        <f t="shared" si="71"/>
        <v>0</v>
      </c>
      <c r="DX30" s="1">
        <f t="shared" si="71"/>
        <v>0</v>
      </c>
      <c r="DY30">
        <v>0</v>
      </c>
      <c r="DZ30" s="1">
        <f t="shared" ref="DZ30" si="72">DZ27*0.75+DZ28*0.25</f>
        <v>0</v>
      </c>
      <c r="EA30">
        <v>0</v>
      </c>
      <c r="EB30" s="1">
        <f t="shared" ref="EB30" si="73">EB27*0.75+EB28*0.25</f>
        <v>0</v>
      </c>
      <c r="EC30">
        <v>0</v>
      </c>
      <c r="ED30" s="1">
        <f t="shared" ref="ED30" si="74">ED27*0.75+ED28*0.25</f>
        <v>0</v>
      </c>
      <c r="EE30">
        <v>0</v>
      </c>
      <c r="EF30" s="1">
        <f t="shared" ref="EF30:EH30" si="75">EF27*0.75+EF28*0.25</f>
        <v>123.18516478109692</v>
      </c>
      <c r="EG30" s="1">
        <f t="shared" si="75"/>
        <v>116.74670054442417</v>
      </c>
      <c r="EH30" s="1">
        <f t="shared" si="75"/>
        <v>110.95904681586784</v>
      </c>
      <c r="EI30">
        <v>0</v>
      </c>
      <c r="EJ30" s="1">
        <f t="shared" ref="EJ30" si="76">EJ27*0.75+EJ28*0.25</f>
        <v>116.74670054442417</v>
      </c>
      <c r="EK30">
        <v>0</v>
      </c>
      <c r="EL30" s="1">
        <f t="shared" ref="EL30" si="77">EL27*0.75+EL28*0.25</f>
        <v>116.74670054442417</v>
      </c>
      <c r="EM30">
        <v>0</v>
      </c>
      <c r="EN30" s="1">
        <f t="shared" ref="EN30" si="78">EN27*0.75+EN28*0.25</f>
        <v>116.74670054442417</v>
      </c>
      <c r="EO30">
        <v>0</v>
      </c>
      <c r="EP30" s="1">
        <f t="shared" ref="EP30:ER30" si="79">EP27*0.75+EP28*0.25</f>
        <v>0</v>
      </c>
      <c r="EQ30" s="1">
        <f t="shared" si="79"/>
        <v>0</v>
      </c>
      <c r="ER30" s="1">
        <f t="shared" si="79"/>
        <v>0</v>
      </c>
      <c r="ES30">
        <v>0</v>
      </c>
      <c r="ET30" s="1">
        <f t="shared" ref="ET30" si="80">ET27*0.75+ET28*0.25</f>
        <v>0</v>
      </c>
      <c r="EU30">
        <v>0</v>
      </c>
      <c r="EV30" s="1">
        <f t="shared" ref="EV30" si="81">EV27*0.75+EV28*0.25</f>
        <v>0</v>
      </c>
      <c r="EW30">
        <v>0</v>
      </c>
      <c r="EX30" s="1">
        <f t="shared" ref="EX30" si="82">EX27*0.75+EX28*0.25</f>
        <v>0</v>
      </c>
      <c r="EY30">
        <v>0</v>
      </c>
      <c r="EZ30" s="1">
        <f t="shared" ref="EZ30:FM30" si="83">EZ27*0.75+EZ28*0.25</f>
        <v>20.791499999999999</v>
      </c>
      <c r="FA30" s="1">
        <f t="shared" si="83"/>
        <v>20.791499999999999</v>
      </c>
      <c r="FB30" s="1">
        <f t="shared" si="83"/>
        <v>20.791499999999999</v>
      </c>
      <c r="FC30" s="1">
        <f t="shared" si="83"/>
        <v>20.791499999999999</v>
      </c>
      <c r="FD30" s="1">
        <f t="shared" si="83"/>
        <v>20.791499999999999</v>
      </c>
      <c r="FE30" s="1">
        <f t="shared" si="83"/>
        <v>20.791499999999999</v>
      </c>
      <c r="FF30" s="1">
        <f t="shared" si="83"/>
        <v>20.791499999999999</v>
      </c>
      <c r="FG30" s="1">
        <f t="shared" si="83"/>
        <v>20.791499999999999</v>
      </c>
      <c r="FH30" s="1">
        <f t="shared" si="83"/>
        <v>20.791499999999999</v>
      </c>
      <c r="FI30" s="1">
        <f t="shared" si="83"/>
        <v>20.791499999999999</v>
      </c>
      <c r="FJ30" s="1">
        <f t="shared" si="83"/>
        <v>8.8495575221238937E-2</v>
      </c>
      <c r="FK30" s="1">
        <f t="shared" si="83"/>
        <v>8.8495575221238937E-2</v>
      </c>
      <c r="FL30" s="1">
        <f t="shared" si="83"/>
        <v>8.8495575221238937E-2</v>
      </c>
      <c r="FM30" s="1">
        <f t="shared" si="83"/>
        <v>8.8495575221238937E-2</v>
      </c>
      <c r="FN30" s="1">
        <f t="shared" ref="FN30:FO30" si="84">FN27*0.75+FN28*0.25</f>
        <v>8.8495575221238937E-2</v>
      </c>
      <c r="FO30" s="1">
        <f t="shared" si="84"/>
        <v>8.8495575221238937E-2</v>
      </c>
      <c r="FP30" s="1">
        <f t="shared" ref="FP30:FQ30" si="85">FP27*0.75+FP28*0.25</f>
        <v>8.8495575221238937E-2</v>
      </c>
      <c r="FQ30" s="1">
        <f t="shared" si="85"/>
        <v>8.8495575221238937E-2</v>
      </c>
      <c r="FR30" s="1">
        <f t="shared" ref="FR30:FS30" si="86">FR27*0.75+FR28*0.25</f>
        <v>8.8495575221238937E-2</v>
      </c>
      <c r="FS30" s="1">
        <f t="shared" si="86"/>
        <v>8.8495575221238937E-2</v>
      </c>
    </row>
    <row r="31" spans="1:175" x14ac:dyDescent="0.3">
      <c r="A31" s="106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40"/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f>Z27*0.75</f>
        <v>5.5965000000000007</v>
      </c>
      <c r="AA31">
        <f t="shared" ref="AA31:AF31" si="87">AA27*0.75</f>
        <v>5.3025000000000002</v>
      </c>
      <c r="AB31">
        <f t="shared" si="87"/>
        <v>5.0400000000000009</v>
      </c>
      <c r="AC31">
        <f t="shared" si="87"/>
        <v>4.2569999999999997</v>
      </c>
      <c r="AD31">
        <f t="shared" si="87"/>
        <v>4.2569999999999997</v>
      </c>
      <c r="AE31">
        <f t="shared" si="87"/>
        <v>4.2569999999999997</v>
      </c>
      <c r="AF31">
        <f t="shared" si="87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88">AK27*0.75</f>
        <v>5.3025000000000002</v>
      </c>
      <c r="AL31">
        <f t="shared" si="88"/>
        <v>5.0400000000000009</v>
      </c>
      <c r="AM31">
        <f t="shared" si="88"/>
        <v>4.2569999999999997</v>
      </c>
      <c r="AN31">
        <f t="shared" si="88"/>
        <v>4.2569999999999997</v>
      </c>
      <c r="AO31">
        <f t="shared" si="88"/>
        <v>4.2569999999999997</v>
      </c>
      <c r="AP31">
        <f t="shared" si="88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89">BY27*0.75+0.25*BY29</f>
        <v>49.625</v>
      </c>
      <c r="BZ31" s="1">
        <f t="shared" si="89"/>
        <v>48.5</v>
      </c>
      <c r="CA31" s="1">
        <f t="shared" si="89"/>
        <v>49.575000000000003</v>
      </c>
      <c r="CB31" s="1">
        <f t="shared" si="89"/>
        <v>48.149999999999991</v>
      </c>
      <c r="CC31" s="1">
        <f t="shared" si="89"/>
        <v>46.274999999999991</v>
      </c>
      <c r="CD31" s="1">
        <f t="shared" si="89"/>
        <v>47.449999999999996</v>
      </c>
      <c r="CE31" s="1">
        <f t="shared" si="89"/>
        <v>46.75</v>
      </c>
      <c r="CF31" s="1">
        <f t="shared" si="89"/>
        <v>46.75</v>
      </c>
      <c r="CG31" s="1">
        <f t="shared" si="89"/>
        <v>43.75</v>
      </c>
      <c r="CH31" s="1">
        <f>CH27*0.75+CH29*0.25</f>
        <v>70145.620379811284</v>
      </c>
      <c r="CI31" s="1">
        <f t="shared" ref="CI31:CP31" si="90">CI27*0.75+CI29*0.25</f>
        <v>67565</v>
      </c>
      <c r="CJ31" s="1">
        <f t="shared" si="90"/>
        <v>65787.228484633059</v>
      </c>
      <c r="CK31" s="1">
        <f t="shared" ref="CK31" si="91">CK27*0.75+CK29*0.25</f>
        <v>39775.994527944153</v>
      </c>
      <c r="CL31" s="1">
        <f t="shared" si="90"/>
        <v>39775.994527944153</v>
      </c>
      <c r="CM31" s="1">
        <f t="shared" ref="CM31" si="92">CM27*0.75+CM29*0.25</f>
        <v>39775.994527944153</v>
      </c>
      <c r="CN31" s="1">
        <f t="shared" si="90"/>
        <v>31125.497263972076</v>
      </c>
      <c r="CO31" s="1">
        <f t="shared" ref="CO31" si="93">CO27*0.75+CO29*0.25</f>
        <v>22475</v>
      </c>
      <c r="CP31" s="1">
        <f t="shared" si="90"/>
        <v>22475</v>
      </c>
      <c r="CQ31" s="1">
        <f t="shared" ref="CQ31" si="94">CQ27*0.75+CQ29*0.25</f>
        <v>22475</v>
      </c>
      <c r="CR31" s="1">
        <f>CR27*0.75+CR29*0.25</f>
        <v>6632.9945379811288</v>
      </c>
      <c r="CS31" s="1">
        <f t="shared" ref="CS31:FP31" si="95">CS27*0.75+CS29*0.25</f>
        <v>6374.9325000000008</v>
      </c>
      <c r="CT31" s="1">
        <f t="shared" si="95"/>
        <v>6197.1553484633059</v>
      </c>
      <c r="CU31" s="1">
        <f t="shared" ref="CU31" si="96">CU27*0.75+CU29*0.25</f>
        <v>3834.1075321392254</v>
      </c>
      <c r="CV31" s="1">
        <f t="shared" si="95"/>
        <v>3834.1075321392254</v>
      </c>
      <c r="CW31" s="1">
        <f t="shared" ref="CW31" si="97">CW27*0.75+CW29*0.25</f>
        <v>3834.1075321392254</v>
      </c>
      <c r="CX31" s="1">
        <f t="shared" si="95"/>
        <v>3013.2537660696125</v>
      </c>
      <c r="CY31" s="1">
        <f t="shared" ref="CY31" si="98">CY27*0.75+CY29*0.25</f>
        <v>2192.4</v>
      </c>
      <c r="CZ31" s="1">
        <f t="shared" si="95"/>
        <v>2192.4</v>
      </c>
      <c r="DA31" s="1">
        <f t="shared" ref="DA31" si="99">DA27*0.75+DA29*0.25</f>
        <v>2192.4</v>
      </c>
      <c r="DB31" s="1">
        <f t="shared" si="95"/>
        <v>0</v>
      </c>
      <c r="DC31" s="1">
        <f t="shared" si="95"/>
        <v>0</v>
      </c>
      <c r="DD31" s="1">
        <f t="shared" si="95"/>
        <v>0</v>
      </c>
      <c r="DE31">
        <v>0</v>
      </c>
      <c r="DF31" s="1">
        <f t="shared" si="95"/>
        <v>0</v>
      </c>
      <c r="DG31">
        <v>0</v>
      </c>
      <c r="DH31" s="1">
        <f t="shared" si="95"/>
        <v>0</v>
      </c>
      <c r="DI31">
        <v>0</v>
      </c>
      <c r="DJ31" s="1">
        <f t="shared" si="95"/>
        <v>0</v>
      </c>
      <c r="DK31">
        <v>0</v>
      </c>
      <c r="DL31" s="1">
        <f t="shared" si="95"/>
        <v>0</v>
      </c>
      <c r="DM31" s="1">
        <f t="shared" si="95"/>
        <v>0</v>
      </c>
      <c r="DN31" s="1">
        <f t="shared" si="95"/>
        <v>0</v>
      </c>
      <c r="DO31">
        <v>0</v>
      </c>
      <c r="DP31" s="1">
        <f t="shared" si="95"/>
        <v>0</v>
      </c>
      <c r="DQ31">
        <v>0</v>
      </c>
      <c r="DR31" s="1">
        <f t="shared" si="95"/>
        <v>0</v>
      </c>
      <c r="DS31">
        <v>0</v>
      </c>
      <c r="DT31" s="1">
        <f t="shared" si="95"/>
        <v>0</v>
      </c>
      <c r="DU31">
        <v>0</v>
      </c>
      <c r="DV31" s="1">
        <f t="shared" si="95"/>
        <v>0</v>
      </c>
      <c r="DW31" s="1">
        <f t="shared" si="95"/>
        <v>0</v>
      </c>
      <c r="DX31" s="1">
        <f t="shared" si="95"/>
        <v>0</v>
      </c>
      <c r="DY31">
        <v>0</v>
      </c>
      <c r="DZ31" s="1">
        <f t="shared" si="95"/>
        <v>0</v>
      </c>
      <c r="EA31">
        <v>0</v>
      </c>
      <c r="EB31" s="1">
        <f t="shared" si="95"/>
        <v>0</v>
      </c>
      <c r="EC31">
        <v>0</v>
      </c>
      <c r="ED31" s="1">
        <f t="shared" si="95"/>
        <v>0</v>
      </c>
      <c r="EE31">
        <v>0</v>
      </c>
      <c r="EF31" s="1">
        <f t="shared" si="95"/>
        <v>123.18516478109692</v>
      </c>
      <c r="EG31" s="1">
        <f t="shared" si="95"/>
        <v>116.74670054442417</v>
      </c>
      <c r="EH31" s="1">
        <f t="shared" si="95"/>
        <v>110.95904681586784</v>
      </c>
      <c r="EI31">
        <v>0</v>
      </c>
      <c r="EJ31" s="1">
        <f t="shared" si="95"/>
        <v>116.74670054442417</v>
      </c>
      <c r="EK31">
        <v>0</v>
      </c>
      <c r="EL31" s="1">
        <f t="shared" si="95"/>
        <v>116.74670054442417</v>
      </c>
      <c r="EM31">
        <v>0</v>
      </c>
      <c r="EN31" s="1">
        <f t="shared" si="95"/>
        <v>116.74670054442417</v>
      </c>
      <c r="EO31">
        <v>0</v>
      </c>
      <c r="EP31" s="1">
        <f t="shared" si="95"/>
        <v>0</v>
      </c>
      <c r="EQ31" s="1">
        <f t="shared" si="95"/>
        <v>0</v>
      </c>
      <c r="ER31" s="1">
        <f t="shared" si="95"/>
        <v>0</v>
      </c>
      <c r="ES31">
        <v>0</v>
      </c>
      <c r="ET31" s="1">
        <f t="shared" si="95"/>
        <v>0</v>
      </c>
      <c r="EU31">
        <v>0</v>
      </c>
      <c r="EV31" s="1">
        <f t="shared" si="95"/>
        <v>0</v>
      </c>
      <c r="EW31">
        <v>0</v>
      </c>
      <c r="EX31" s="1">
        <f t="shared" si="95"/>
        <v>0</v>
      </c>
      <c r="EY31">
        <v>0</v>
      </c>
      <c r="EZ31" s="1">
        <f t="shared" si="95"/>
        <v>20.791499999999999</v>
      </c>
      <c r="FA31" s="1">
        <f t="shared" si="95"/>
        <v>20.791499999999999</v>
      </c>
      <c r="FB31" s="1">
        <f t="shared" si="95"/>
        <v>20.791499999999999</v>
      </c>
      <c r="FC31" s="1">
        <f t="shared" si="95"/>
        <v>20.791499999999999</v>
      </c>
      <c r="FD31" s="1">
        <f t="shared" si="95"/>
        <v>20.791499999999999</v>
      </c>
      <c r="FE31" s="1">
        <f t="shared" si="95"/>
        <v>20.791499999999999</v>
      </c>
      <c r="FF31" s="1">
        <f t="shared" si="95"/>
        <v>20.791499999999999</v>
      </c>
      <c r="FG31" s="1">
        <f t="shared" si="95"/>
        <v>20.791499999999999</v>
      </c>
      <c r="FH31" s="1">
        <f t="shared" si="95"/>
        <v>20.791499999999999</v>
      </c>
      <c r="FI31" s="1">
        <f t="shared" si="95"/>
        <v>20.791499999999999</v>
      </c>
      <c r="FJ31" s="1">
        <f t="shared" si="95"/>
        <v>8.8495575221238937E-2</v>
      </c>
      <c r="FK31" s="1">
        <f t="shared" si="95"/>
        <v>8.8495575221238937E-2</v>
      </c>
      <c r="FL31" s="1">
        <f t="shared" si="95"/>
        <v>8.8495575221238937E-2</v>
      </c>
      <c r="FM31" s="1">
        <f t="shared" ref="FM31" si="100">FM27*0.75+FM29*0.25</f>
        <v>8.8495575221238937E-2</v>
      </c>
      <c r="FN31" s="1">
        <f t="shared" si="95"/>
        <v>8.8495575221238937E-2</v>
      </c>
      <c r="FO31" s="1">
        <f t="shared" ref="FO31" si="101">FO27*0.75+FO29*0.25</f>
        <v>8.8495575221238937E-2</v>
      </c>
      <c r="FP31" s="1">
        <f t="shared" si="95"/>
        <v>8.8495575221238937E-2</v>
      </c>
      <c r="FQ31" s="1">
        <f t="shared" ref="FQ31" si="102">FQ27*0.75+FQ29*0.25</f>
        <v>8.8495575221238937E-2</v>
      </c>
      <c r="FR31" s="1">
        <f t="shared" ref="FR31:FS31" si="103">FR27*0.75+FR29*0.25</f>
        <v>8.8495575221238937E-2</v>
      </c>
      <c r="FS31" s="1">
        <f t="shared" si="103"/>
        <v>8.8495575221238937E-2</v>
      </c>
    </row>
    <row r="32" spans="1:175" x14ac:dyDescent="0.3">
      <c r="A32" s="106"/>
      <c r="B32" s="25" t="s">
        <v>136</v>
      </c>
      <c r="C32" s="11" t="s">
        <v>277</v>
      </c>
      <c r="D32" s="2" t="s">
        <v>75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7" si="104">$EG32*B$3</f>
        <v>0</v>
      </c>
      <c r="EK32">
        <v>0</v>
      </c>
      <c r="EL32">
        <f t="shared" ref="EL32:EL37" si="105">$EG32*C$3</f>
        <v>0</v>
      </c>
      <c r="EM32">
        <v>0</v>
      </c>
      <c r="EN32">
        <f t="shared" ref="EN32:EN37" si="106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7" si="107">$EQ32*B$3</f>
        <v>0</v>
      </c>
      <c r="EU32">
        <v>0</v>
      </c>
      <c r="EV32">
        <f t="shared" ref="EV32:EV37" si="108">$EQ32*C$3</f>
        <v>0</v>
      </c>
      <c r="EW32">
        <v>0</v>
      </c>
      <c r="EX32">
        <f t="shared" ref="EX32:EX37" si="109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106"/>
      <c r="B33" s="25" t="s">
        <v>137</v>
      </c>
      <c r="C33" s="11" t="s">
        <v>277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>
        <f>O32</f>
        <v>20000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104"/>
        <v>0</v>
      </c>
      <c r="EK33">
        <v>0</v>
      </c>
      <c r="EL33">
        <f t="shared" si="105"/>
        <v>0</v>
      </c>
      <c r="EM33">
        <v>0</v>
      </c>
      <c r="EN33">
        <f t="shared" si="106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107"/>
        <v>0</v>
      </c>
      <c r="EU33">
        <v>0</v>
      </c>
      <c r="EV33">
        <f t="shared" si="108"/>
        <v>0</v>
      </c>
      <c r="EW33">
        <v>0</v>
      </c>
      <c r="EX33">
        <f t="shared" si="109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106"/>
      <c r="B34" s="25" t="s">
        <v>138</v>
      </c>
      <c r="C34" s="11" t="s">
        <v>277</v>
      </c>
      <c r="D34" s="2" t="s">
        <v>410</v>
      </c>
      <c r="E34" s="9">
        <f t="shared" si="5"/>
        <v>26</v>
      </c>
      <c r="F34" s="13">
        <v>1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O33</f>
        <v>20000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f t="shared" si="104"/>
        <v>0</v>
      </c>
      <c r="EK34">
        <v>0</v>
      </c>
      <c r="EL34">
        <f t="shared" si="105"/>
        <v>0</v>
      </c>
      <c r="EM34">
        <v>0</v>
      </c>
      <c r="EN34">
        <f t="shared" si="106"/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f t="shared" si="107"/>
        <v>0</v>
      </c>
      <c r="EU34">
        <v>0</v>
      </c>
      <c r="EV34">
        <f t="shared" si="108"/>
        <v>0</v>
      </c>
      <c r="EW34">
        <v>0</v>
      </c>
      <c r="EX34">
        <f t="shared" si="109"/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106"/>
      <c r="B35" s="25" t="s">
        <v>139</v>
      </c>
      <c r="C35" s="11" t="s">
        <v>277</v>
      </c>
      <c r="D35" s="2" t="s">
        <v>411</v>
      </c>
      <c r="E35" s="9">
        <f t="shared" si="5"/>
        <v>27</v>
      </c>
      <c r="F35" s="13">
        <v>1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-1</v>
      </c>
      <c r="N35">
        <v>0</v>
      </c>
      <c r="O35">
        <f>O34</f>
        <v>20000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 t="shared" si="104"/>
        <v>0</v>
      </c>
      <c r="EK35">
        <v>0</v>
      </c>
      <c r="EL35">
        <f t="shared" si="105"/>
        <v>0</v>
      </c>
      <c r="EM35">
        <v>0</v>
      </c>
      <c r="EN35">
        <f t="shared" si="106"/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si="107"/>
        <v>0</v>
      </c>
      <c r="EU35">
        <v>0</v>
      </c>
      <c r="EV35">
        <f t="shared" si="108"/>
        <v>0</v>
      </c>
      <c r="EW35">
        <v>0</v>
      </c>
      <c r="EX35">
        <f t="shared" si="109"/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106"/>
      <c r="B36" s="25" t="s">
        <v>250</v>
      </c>
      <c r="C36" s="11" t="s">
        <v>277</v>
      </c>
      <c r="D36" s="2" t="s">
        <v>412</v>
      </c>
      <c r="E36" s="9">
        <f t="shared" si="5"/>
        <v>28</v>
      </c>
      <c r="F36" s="13">
        <v>1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O35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si="104"/>
        <v>0</v>
      </c>
      <c r="EK36">
        <v>0</v>
      </c>
      <c r="EL36">
        <f t="shared" si="105"/>
        <v>0</v>
      </c>
      <c r="EM36">
        <v>0</v>
      </c>
      <c r="EN36">
        <f t="shared" si="106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107"/>
        <v>0</v>
      </c>
      <c r="EU36">
        <v>0</v>
      </c>
      <c r="EV36">
        <f t="shared" si="108"/>
        <v>0</v>
      </c>
      <c r="EW36">
        <v>0</v>
      </c>
      <c r="EX36">
        <f t="shared" si="109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6"/>
      <c r="B37" s="25" t="s">
        <v>417</v>
      </c>
      <c r="C37" s="11" t="s">
        <v>277</v>
      </c>
      <c r="D37" s="2" t="s">
        <v>36</v>
      </c>
      <c r="E37" s="9">
        <f t="shared" si="5"/>
        <v>29</v>
      </c>
      <c r="F37" s="13">
        <v>1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O27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6"/>
      <c r="B38" s="25" t="s">
        <v>418</v>
      </c>
      <c r="C38" s="11" t="s">
        <v>277</v>
      </c>
      <c r="D38" s="2" t="s">
        <v>253</v>
      </c>
      <c r="E38" s="9">
        <f t="shared" si="5"/>
        <v>30</v>
      </c>
      <c r="F38" s="13">
        <v>1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O28</f>
        <v>20000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1</v>
      </c>
      <c r="BE38" s="60">
        <v>1</v>
      </c>
      <c r="BF38" s="60">
        <v>1</v>
      </c>
      <c r="BG38" s="60">
        <v>1</v>
      </c>
      <c r="BH38" s="60">
        <v>1</v>
      </c>
      <c r="BI38" s="60">
        <v>1</v>
      </c>
      <c r="BJ38" s="60">
        <v>1</v>
      </c>
      <c r="BK38" s="60">
        <v>1</v>
      </c>
      <c r="BL38" s="60">
        <v>1</v>
      </c>
      <c r="BM38" s="60">
        <v>1</v>
      </c>
      <c r="BN38" s="60">
        <v>1</v>
      </c>
      <c r="BO38" s="60">
        <v>1</v>
      </c>
      <c r="BP38" s="60">
        <v>1</v>
      </c>
      <c r="BQ38" s="60">
        <v>1</v>
      </c>
      <c r="BR38" s="60">
        <v>1</v>
      </c>
      <c r="BS38" s="60">
        <v>1</v>
      </c>
      <c r="BT38" s="60">
        <v>1</v>
      </c>
      <c r="BU38" s="60">
        <v>1</v>
      </c>
      <c r="BV38" s="60">
        <v>1</v>
      </c>
      <c r="BW38" s="60">
        <v>1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106"/>
      <c r="B39" s="3" t="s">
        <v>29</v>
      </c>
      <c r="C39" s="4" t="s">
        <v>31</v>
      </c>
      <c r="D39" s="2" t="s">
        <v>37</v>
      </c>
      <c r="E39" s="9">
        <f t="shared" si="5"/>
        <v>31</v>
      </c>
      <c r="F39" s="13">
        <v>1</v>
      </c>
      <c r="G39" s="13" t="s">
        <v>20</v>
      </c>
      <c r="H39" s="10">
        <v>0</v>
      </c>
      <c r="I39" t="s">
        <v>12</v>
      </c>
      <c r="J39">
        <v>0</v>
      </c>
      <c r="K39">
        <v>1</v>
      </c>
      <c r="L39">
        <v>0</v>
      </c>
      <c r="M39">
        <v>0</v>
      </c>
      <c r="N39">
        <v>0</v>
      </c>
      <c r="O39">
        <f>O49</f>
        <v>2000000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>$EG39*B$3</f>
        <v>0</v>
      </c>
      <c r="EK39">
        <v>0</v>
      </c>
      <c r="EL39">
        <f t="shared" ref="EL39:EL45" si="110">$EG39*C$3</f>
        <v>0</v>
      </c>
      <c r="EM39">
        <v>0</v>
      </c>
      <c r="EN39">
        <f t="shared" ref="EN39:EN45" si="111">$EG39*D$3</f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ref="ET39:ET45" si="112">$EQ39*B$3</f>
        <v>0</v>
      </c>
      <c r="EU39">
        <v>0</v>
      </c>
      <c r="EV39">
        <f t="shared" ref="EV39:EV45" si="113">$EQ39*C$3</f>
        <v>0</v>
      </c>
      <c r="EW39">
        <v>0</v>
      </c>
      <c r="EX39">
        <f t="shared" ref="EX39:EX45" si="114">$EQ39*D$3</f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6"/>
      <c r="B40" s="3" t="s">
        <v>30</v>
      </c>
      <c r="C40" s="4" t="s">
        <v>32</v>
      </c>
      <c r="D40" s="2" t="s">
        <v>38</v>
      </c>
      <c r="E40" s="9">
        <f t="shared" si="5"/>
        <v>32</v>
      </c>
      <c r="F40" s="13">
        <v>1</v>
      </c>
      <c r="G40" s="13" t="s">
        <v>21</v>
      </c>
      <c r="H40" s="10">
        <v>0</v>
      </c>
      <c r="I40" t="s">
        <v>12</v>
      </c>
      <c r="J40" s="10">
        <v>0</v>
      </c>
      <c r="K40">
        <v>-1</v>
      </c>
      <c r="L40">
        <v>0</v>
      </c>
      <c r="M40" s="10">
        <v>0</v>
      </c>
      <c r="N40">
        <v>0</v>
      </c>
      <c r="O40">
        <f>O49</f>
        <v>2000000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0.02</v>
      </c>
      <c r="DN40" s="10">
        <v>3.3500000000000002E-2</v>
      </c>
      <c r="DO40" s="28">
        <v>0</v>
      </c>
      <c r="DP40" s="28">
        <v>0.02</v>
      </c>
      <c r="DQ40" s="10">
        <v>3.3500000000000002E-2</v>
      </c>
      <c r="DR40" s="10">
        <v>0.02</v>
      </c>
      <c r="DS40" s="28">
        <v>0</v>
      </c>
      <c r="DT40" s="28">
        <v>0.02</v>
      </c>
      <c r="DU40" s="10">
        <v>3.3500000000000002E-2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ref="EJ40:EJ45" si="115">$EG40*B$3</f>
        <v>0</v>
      </c>
      <c r="EK40">
        <v>0</v>
      </c>
      <c r="EL40">
        <f t="shared" si="110"/>
        <v>0</v>
      </c>
      <c r="EM40">
        <v>0</v>
      </c>
      <c r="EN40">
        <f t="shared" si="111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12"/>
        <v>0</v>
      </c>
      <c r="EU40">
        <v>0</v>
      </c>
      <c r="EV40">
        <f t="shared" si="113"/>
        <v>0</v>
      </c>
      <c r="EW40">
        <v>0</v>
      </c>
      <c r="EX40">
        <f t="shared" si="114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6"/>
      <c r="B41" t="s">
        <v>277</v>
      </c>
      <c r="C41" s="4" t="s">
        <v>435</v>
      </c>
      <c r="D41" s="2" t="s">
        <v>427</v>
      </c>
      <c r="E41" s="9">
        <f t="shared" si="5"/>
        <v>33</v>
      </c>
      <c r="F41" s="13">
        <v>1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-1</v>
      </c>
      <c r="M41" s="10">
        <v>0</v>
      </c>
      <c r="N41" s="10">
        <v>0</v>
      </c>
      <c r="O41">
        <f>O50</f>
        <v>2000000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0.02</v>
      </c>
      <c r="DM41" s="28">
        <v>3.3500000000000002E-2</v>
      </c>
      <c r="DN41" s="28">
        <v>6.7000000000000004E-2</v>
      </c>
      <c r="DO41" s="28">
        <v>0.02</v>
      </c>
      <c r="DP41" s="28">
        <v>3.3500000000000002E-2</v>
      </c>
      <c r="DQ41" s="28">
        <v>6.7000000000000004E-2</v>
      </c>
      <c r="DR41" s="28">
        <v>3.3500000000000002E-2</v>
      </c>
      <c r="DS41" s="28">
        <v>0.02</v>
      </c>
      <c r="DT41" s="28">
        <v>3.3500000000000002E-2</v>
      </c>
      <c r="DU41" s="28">
        <v>6.7000000000000004E-2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15"/>
        <v>0</v>
      </c>
      <c r="EK41">
        <v>1</v>
      </c>
      <c r="EL41">
        <f t="shared" si="110"/>
        <v>0</v>
      </c>
      <c r="EM41">
        <v>1</v>
      </c>
      <c r="EN41">
        <f t="shared" si="111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12"/>
        <v>0</v>
      </c>
      <c r="EU41">
        <v>1</v>
      </c>
      <c r="EV41">
        <f t="shared" si="113"/>
        <v>0</v>
      </c>
      <c r="EW41">
        <v>1</v>
      </c>
      <c r="EX41">
        <f t="shared" si="114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6"/>
      <c r="B42" s="3" t="s">
        <v>135</v>
      </c>
      <c r="C42" s="4" t="s">
        <v>130</v>
      </c>
      <c r="D42" s="2" t="s">
        <v>39</v>
      </c>
      <c r="E42" s="9">
        <f t="shared" si="5"/>
        <v>34</v>
      </c>
      <c r="F42" s="13">
        <v>1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f>9*O27</f>
        <v>180000</v>
      </c>
      <c r="P42">
        <v>8</v>
      </c>
      <c r="Q42">
        <v>8</v>
      </c>
      <c r="R42">
        <v>8</v>
      </c>
      <c r="S42">
        <v>8</v>
      </c>
      <c r="T42">
        <v>8</v>
      </c>
      <c r="U42">
        <v>8</v>
      </c>
      <c r="V42">
        <v>8</v>
      </c>
      <c r="W42">
        <v>8</v>
      </c>
      <c r="X42">
        <v>8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2.7E-2</v>
      </c>
      <c r="DM42">
        <v>0.05</v>
      </c>
      <c r="DN42">
        <v>0.15</v>
      </c>
      <c r="DO42">
        <v>2.7E-2</v>
      </c>
      <c r="DP42">
        <v>0.05</v>
      </c>
      <c r="DQ42">
        <v>0.15</v>
      </c>
      <c r="DR42">
        <v>0.05</v>
      </c>
      <c r="DS42">
        <v>2.7E-2</v>
      </c>
      <c r="DT42">
        <v>0.05</v>
      </c>
      <c r="DU42">
        <v>0.15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15"/>
        <v>0</v>
      </c>
      <c r="EK42">
        <v>0</v>
      </c>
      <c r="EL42">
        <f t="shared" si="110"/>
        <v>0</v>
      </c>
      <c r="EM42">
        <v>0</v>
      </c>
      <c r="EN42">
        <f t="shared" si="111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12"/>
        <v>0</v>
      </c>
      <c r="EU42">
        <v>0</v>
      </c>
      <c r="EV42">
        <f t="shared" si="113"/>
        <v>0</v>
      </c>
      <c r="EW42">
        <v>0</v>
      </c>
      <c r="EX42">
        <f t="shared" si="114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106"/>
      <c r="B43" s="3" t="s">
        <v>15</v>
      </c>
      <c r="C43" s="11" t="s">
        <v>277</v>
      </c>
      <c r="D43" s="2" t="s">
        <v>40</v>
      </c>
      <c r="E43" s="9">
        <f t="shared" si="5"/>
        <v>35</v>
      </c>
      <c r="F43" s="13">
        <v>1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-1</v>
      </c>
      <c r="N43">
        <v>0</v>
      </c>
      <c r="O43">
        <v>20000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4</v>
      </c>
      <c r="BY43">
        <v>3.5</v>
      </c>
      <c r="BZ43">
        <v>3.5</v>
      </c>
      <c r="CA43">
        <v>3.5</v>
      </c>
      <c r="CB43">
        <v>3.5</v>
      </c>
      <c r="CC43">
        <v>3.5</v>
      </c>
      <c r="CD43">
        <v>3.5</v>
      </c>
      <c r="CE43">
        <v>3.5</v>
      </c>
      <c r="CF43">
        <v>3.5</v>
      </c>
      <c r="CG43">
        <v>3.5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f t="shared" si="115"/>
        <v>0</v>
      </c>
      <c r="EK43">
        <v>0</v>
      </c>
      <c r="EL43">
        <f t="shared" si="110"/>
        <v>0</v>
      </c>
      <c r="EM43">
        <v>0</v>
      </c>
      <c r="EN43">
        <f t="shared" si="111"/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f t="shared" si="112"/>
        <v>0</v>
      </c>
      <c r="EU43">
        <v>0</v>
      </c>
      <c r="EV43">
        <f t="shared" si="113"/>
        <v>0</v>
      </c>
      <c r="EW43">
        <v>0</v>
      </c>
      <c r="EX43">
        <f t="shared" si="114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106"/>
      <c r="B44" s="3" t="s">
        <v>16</v>
      </c>
      <c r="C44" s="11" t="s">
        <v>277</v>
      </c>
      <c r="D44" s="2" t="s">
        <v>41</v>
      </c>
      <c r="E44" s="9">
        <f t="shared" si="5"/>
        <v>36</v>
      </c>
      <c r="F44" s="13">
        <v>1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1</v>
      </c>
      <c r="N44">
        <v>0</v>
      </c>
      <c r="O44">
        <f>O43</f>
        <v>20000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f t="shared" si="115"/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106"/>
      <c r="B45" s="3" t="s">
        <v>17</v>
      </c>
      <c r="C45" s="11" t="s">
        <v>277</v>
      </c>
      <c r="D45" s="6" t="s">
        <v>42</v>
      </c>
      <c r="E45" s="9">
        <f t="shared" si="5"/>
        <v>37</v>
      </c>
      <c r="F45" s="13">
        <v>1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20000000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0.03</v>
      </c>
      <c r="AU45" s="14">
        <v>0.03</v>
      </c>
      <c r="AV45" s="14">
        <v>0.03</v>
      </c>
      <c r="AW45" s="14">
        <v>0.03</v>
      </c>
      <c r="AX45" s="14">
        <v>0.03</v>
      </c>
      <c r="AY45" s="14">
        <v>0.03</v>
      </c>
      <c r="AZ45" s="14">
        <v>0.03</v>
      </c>
      <c r="BA45" s="14">
        <v>0.03</v>
      </c>
      <c r="BB45" s="14">
        <v>0.03</v>
      </c>
      <c r="BC45" s="14">
        <v>0.03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1000</v>
      </c>
      <c r="CI45">
        <v>900</v>
      </c>
      <c r="CJ45">
        <v>900</v>
      </c>
      <c r="CK45">
        <v>800</v>
      </c>
      <c r="CL45">
        <v>800</v>
      </c>
      <c r="CM45">
        <v>800</v>
      </c>
      <c r="CN45">
        <f>(CP45+CL45)/2</f>
        <v>650</v>
      </c>
      <c r="CO45">
        <v>500</v>
      </c>
      <c r="CP45">
        <v>500</v>
      </c>
      <c r="CQ45">
        <v>500</v>
      </c>
      <c r="CR45">
        <f>CH45*0.04</f>
        <v>40</v>
      </c>
      <c r="CS45">
        <f>CI45*0.03</f>
        <v>27</v>
      </c>
      <c r="CT45">
        <f>CJ45*0.03</f>
        <v>27</v>
      </c>
      <c r="CU45">
        <v>0</v>
      </c>
      <c r="CV45">
        <f>CL45*0.03</f>
        <v>24</v>
      </c>
      <c r="CW45">
        <v>0</v>
      </c>
      <c r="CX45">
        <f>CN45*0.03</f>
        <v>19.5</v>
      </c>
      <c r="CY45">
        <v>0</v>
      </c>
      <c r="CZ45">
        <f t="shared" ref="CZ45" si="116">CP45*0.03</f>
        <v>15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6.2260740740740748E-3</v>
      </c>
      <c r="EG45">
        <v>6.2260740740740748E-3</v>
      </c>
      <c r="EH45">
        <v>6.2260740740740748E-3</v>
      </c>
      <c r="EI45">
        <v>0</v>
      </c>
      <c r="EJ45">
        <f t="shared" si="115"/>
        <v>6.2260740740740748E-3</v>
      </c>
      <c r="EK45">
        <v>0</v>
      </c>
      <c r="EL45">
        <f t="shared" si="110"/>
        <v>6.2260740740740748E-3</v>
      </c>
      <c r="EM45">
        <v>0</v>
      </c>
      <c r="EN45">
        <f t="shared" si="111"/>
        <v>6.2260740740740748E-3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si="112"/>
        <v>0</v>
      </c>
      <c r="EU45">
        <v>0</v>
      </c>
      <c r="EV45">
        <f t="shared" si="113"/>
        <v>0</v>
      </c>
      <c r="EW45">
        <v>0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0.14902948869707539</v>
      </c>
      <c r="FK45">
        <v>0.14902948869707539</v>
      </c>
      <c r="FL45">
        <v>0.14902948869707539</v>
      </c>
      <c r="FM45">
        <v>0.14902948869707539</v>
      </c>
      <c r="FN45">
        <v>0.14902948869707539</v>
      </c>
      <c r="FO45">
        <v>0.14902948869707539</v>
      </c>
      <c r="FP45">
        <v>0.14902948869707539</v>
      </c>
      <c r="FQ45">
        <v>0.14902948869707539</v>
      </c>
      <c r="FR45">
        <v>0.14902948869707539</v>
      </c>
      <c r="FS45">
        <v>0.14902948869707539</v>
      </c>
    </row>
    <row r="46" spans="1:175" x14ac:dyDescent="0.3">
      <c r="A46" s="106"/>
      <c r="B46" s="3" t="s">
        <v>15</v>
      </c>
      <c r="C46" s="11" t="s">
        <v>277</v>
      </c>
      <c r="D46" s="6" t="s">
        <v>158</v>
      </c>
      <c r="E46" s="9">
        <f t="shared" si="5"/>
        <v>38</v>
      </c>
      <c r="F46" s="13">
        <v>1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-1</v>
      </c>
      <c r="N46">
        <v>0</v>
      </c>
      <c r="O46">
        <v>20000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0.94</v>
      </c>
      <c r="BY46">
        <v>0.94</v>
      </c>
      <c r="BZ46">
        <v>0.94</v>
      </c>
      <c r="CA46">
        <v>0.94</v>
      </c>
      <c r="CB46">
        <v>0.94</v>
      </c>
      <c r="CC46">
        <v>0.94</v>
      </c>
      <c r="CD46">
        <v>0.94</v>
      </c>
      <c r="CE46">
        <v>0.94</v>
      </c>
      <c r="CF46">
        <v>0.94</v>
      </c>
      <c r="CG46">
        <v>0.94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9.3678779051968114E-2</v>
      </c>
      <c r="FK46">
        <v>9.3678779051968114E-2</v>
      </c>
      <c r="FL46">
        <v>9.3678779051968114E-2</v>
      </c>
      <c r="FM46">
        <v>9.3678779051968114E-2</v>
      </c>
      <c r="FN46">
        <v>9.3678779051968114E-2</v>
      </c>
      <c r="FO46">
        <v>9.3678779051968114E-2</v>
      </c>
      <c r="FP46">
        <v>9.3678779051968114E-2</v>
      </c>
      <c r="FQ46">
        <v>9.3678779051968114E-2</v>
      </c>
      <c r="FR46">
        <v>9.3678779051968114E-2</v>
      </c>
      <c r="FS46">
        <v>9.3678779051968114E-2</v>
      </c>
    </row>
    <row r="47" spans="1:175" x14ac:dyDescent="0.3">
      <c r="A47" s="106"/>
      <c r="B47" s="3" t="s">
        <v>16</v>
      </c>
      <c r="C47" s="11" t="s">
        <v>277</v>
      </c>
      <c r="D47" s="6" t="s">
        <v>160</v>
      </c>
      <c r="E47" s="9">
        <f t="shared" si="5"/>
        <v>39</v>
      </c>
      <c r="F47" s="13">
        <v>1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1</v>
      </c>
      <c r="N47">
        <v>0</v>
      </c>
      <c r="O47">
        <f>O43</f>
        <v>20000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6"/>
      <c r="B48" s="3" t="s">
        <v>17</v>
      </c>
      <c r="C48" s="11" t="s">
        <v>277</v>
      </c>
      <c r="D48" s="6" t="s">
        <v>162</v>
      </c>
      <c r="E48" s="9">
        <f t="shared" si="5"/>
        <v>40</v>
      </c>
      <c r="F48" s="13">
        <v>1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20000000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0.09</v>
      </c>
      <c r="AU48" s="14">
        <v>0.09</v>
      </c>
      <c r="AV48" s="14">
        <v>0.09</v>
      </c>
      <c r="AW48" s="14">
        <v>0.09</v>
      </c>
      <c r="AX48" s="14">
        <v>0.09</v>
      </c>
      <c r="AY48" s="14">
        <v>0.09</v>
      </c>
      <c r="AZ48" s="14">
        <v>0.09</v>
      </c>
      <c r="BA48" s="14">
        <v>0.09</v>
      </c>
      <c r="BB48" s="14">
        <v>0.09</v>
      </c>
      <c r="BC48" s="14">
        <v>0.09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460.75542459148141</v>
      </c>
      <c r="CI48">
        <v>250</v>
      </c>
      <c r="CJ48">
        <v>250</v>
      </c>
      <c r="CK48">
        <v>250</v>
      </c>
      <c r="CL48">
        <v>250</v>
      </c>
      <c r="CM48">
        <v>250</v>
      </c>
      <c r="CN48">
        <v>250</v>
      </c>
      <c r="CO48">
        <v>250</v>
      </c>
      <c r="CP48">
        <v>250</v>
      </c>
      <c r="CQ48">
        <v>250</v>
      </c>
      <c r="CR48">
        <f>0.04*CH48</f>
        <v>18.430216983659257</v>
      </c>
      <c r="CS48">
        <f>0.03*CI48</f>
        <v>7.5</v>
      </c>
      <c r="CT48">
        <f>0.03*CJ48</f>
        <v>7.5</v>
      </c>
      <c r="CU48">
        <f t="shared" ref="CU48:DA48" si="117">0.03*CK48</f>
        <v>7.5</v>
      </c>
      <c r="CV48">
        <f t="shared" si="117"/>
        <v>7.5</v>
      </c>
      <c r="CW48">
        <f t="shared" si="117"/>
        <v>7.5</v>
      </c>
      <c r="CX48">
        <f t="shared" si="117"/>
        <v>7.5</v>
      </c>
      <c r="CY48">
        <f t="shared" si="117"/>
        <v>7.5</v>
      </c>
      <c r="CZ48">
        <f t="shared" si="117"/>
        <v>7.5</v>
      </c>
      <c r="DA48">
        <f t="shared" si="117"/>
        <v>7.5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6.2260740740740748E-3</v>
      </c>
      <c r="EG48">
        <v>6.2260740740740748E-3</v>
      </c>
      <c r="EH48">
        <v>6.2260740740740748E-3</v>
      </c>
      <c r="EI48">
        <v>0</v>
      </c>
      <c r="EJ48">
        <f t="shared" ref="EJ48:EJ62" si="118">$EG48*B$3</f>
        <v>6.2260740740740748E-3</v>
      </c>
      <c r="EK48">
        <v>0</v>
      </c>
      <c r="EL48">
        <f t="shared" ref="EL48:EL62" si="119">$EG48*C$3</f>
        <v>6.2260740740740748E-3</v>
      </c>
      <c r="EM48">
        <v>0</v>
      </c>
      <c r="EN48">
        <f t="shared" ref="EN48:EN62" si="120">$EG48*D$3</f>
        <v>6.2260740740740748E-3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1</v>
      </c>
      <c r="FA48" s="51">
        <v>1</v>
      </c>
      <c r="FB48" s="51">
        <v>1</v>
      </c>
      <c r="FC48">
        <v>0</v>
      </c>
      <c r="FD48" s="51">
        <v>1</v>
      </c>
      <c r="FE48">
        <v>0</v>
      </c>
      <c r="FF48" s="51">
        <v>1</v>
      </c>
      <c r="FG48">
        <v>0</v>
      </c>
      <c r="FH48" s="51">
        <v>1</v>
      </c>
      <c r="FI48">
        <v>0</v>
      </c>
      <c r="FJ48">
        <v>8.174285816161557E-2</v>
      </c>
      <c r="FK48">
        <v>8.174285816161557E-2</v>
      </c>
      <c r="FL48">
        <v>8.174285816161557E-2</v>
      </c>
      <c r="FM48">
        <v>8.174285816161557E-2</v>
      </c>
      <c r="FN48">
        <v>8.174285816161557E-2</v>
      </c>
      <c r="FO48">
        <v>8.174285816161557E-2</v>
      </c>
      <c r="FP48">
        <v>8.174285816161557E-2</v>
      </c>
      <c r="FQ48">
        <v>8.174285816161557E-2</v>
      </c>
      <c r="FR48">
        <v>8.174285816161557E-2</v>
      </c>
      <c r="FS48">
        <v>8.174285816161557E-2</v>
      </c>
    </row>
    <row r="49" spans="1:175" ht="14.55" customHeight="1" x14ac:dyDescent="0.3">
      <c r="A49" s="106" t="s">
        <v>18</v>
      </c>
      <c r="B49" s="12" t="s">
        <v>52</v>
      </c>
      <c r="C49" s="11" t="s">
        <v>277</v>
      </c>
      <c r="D49" s="6" t="s">
        <v>47</v>
      </c>
      <c r="E49" s="9">
        <f t="shared" si="5"/>
        <v>41</v>
      </c>
      <c r="F49" s="13">
        <v>1</v>
      </c>
      <c r="G49" s="13" t="s">
        <v>48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552.67870000000005</v>
      </c>
      <c r="CI49">
        <v>552.67870000000005</v>
      </c>
      <c r="CJ49">
        <v>552.67870000000005</v>
      </c>
      <c r="CK49">
        <v>396.26020000000005</v>
      </c>
      <c r="CL49">
        <v>396.26020000000005</v>
      </c>
      <c r="CM49">
        <v>396.26020000000005</v>
      </c>
      <c r="CN49">
        <v>344.12070000000006</v>
      </c>
      <c r="CO49">
        <v>312.83700000000005</v>
      </c>
      <c r="CP49">
        <v>312.83700000000005</v>
      </c>
      <c r="CQ49">
        <v>312.83700000000005</v>
      </c>
      <c r="CR49">
        <v>9.1244125000000018</v>
      </c>
      <c r="CS49">
        <v>9.1244125000000018</v>
      </c>
      <c r="CT49">
        <v>9.1244125000000018</v>
      </c>
      <c r="CU49">
        <v>7.5602274999999999</v>
      </c>
      <c r="CV49">
        <v>7.5602275000000008</v>
      </c>
      <c r="CW49">
        <v>7.5602275000000008</v>
      </c>
      <c r="CX49">
        <v>6.9084837500000003</v>
      </c>
      <c r="CY49">
        <v>6.5174375000000007</v>
      </c>
      <c r="CZ49">
        <v>6.5174375000000007</v>
      </c>
      <c r="DA49">
        <v>6.5174374999999998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90.584795321637415</v>
      </c>
      <c r="EG49">
        <v>90.584795321637415</v>
      </c>
      <c r="EH49">
        <v>90.584795321637415</v>
      </c>
      <c r="EI49">
        <v>0</v>
      </c>
      <c r="EJ49">
        <f t="shared" si="118"/>
        <v>90.584795321637415</v>
      </c>
      <c r="EK49">
        <v>0</v>
      </c>
      <c r="EL49">
        <f t="shared" si="119"/>
        <v>90.584795321637415</v>
      </c>
      <c r="EM49">
        <v>0</v>
      </c>
      <c r="EN49">
        <f t="shared" si="120"/>
        <v>90.584795321637415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ref="ET49:ET62" si="121">$EQ49*B$3</f>
        <v>0</v>
      </c>
      <c r="EU49">
        <v>0</v>
      </c>
      <c r="EV49">
        <f t="shared" ref="EV49:EV62" si="122">$EQ49*C$3</f>
        <v>0</v>
      </c>
      <c r="EW49">
        <v>0</v>
      </c>
      <c r="EX49">
        <f t="shared" ref="EX49:EX62" si="123">$EQ49*D$3</f>
        <v>0</v>
      </c>
      <c r="EY49">
        <v>0</v>
      </c>
      <c r="EZ49">
        <v>13.75</v>
      </c>
      <c r="FA49">
        <v>13.75</v>
      </c>
      <c r="FB49">
        <v>13.75</v>
      </c>
      <c r="FC49">
        <v>0</v>
      </c>
      <c r="FD49">
        <v>12.26</v>
      </c>
      <c r="FE49">
        <v>0</v>
      </c>
      <c r="FF49">
        <v>11.51</v>
      </c>
      <c r="FG49">
        <v>0</v>
      </c>
      <c r="FH49">
        <v>10.84</v>
      </c>
      <c r="FI49">
        <v>0</v>
      </c>
      <c r="FJ49">
        <v>8.5803264560679798E-2</v>
      </c>
      <c r="FK49">
        <v>8.5803264560679798E-2</v>
      </c>
      <c r="FL49">
        <v>8.5803264560679798E-2</v>
      </c>
      <c r="FM49">
        <v>8.3860161500585326E-2</v>
      </c>
      <c r="FN49">
        <v>8.3860161500585326E-2</v>
      </c>
      <c r="FO49">
        <v>8.3860161500585326E-2</v>
      </c>
      <c r="FP49">
        <v>8.3860161500585326E-2</v>
      </c>
      <c r="FQ49">
        <v>8.3860161500585326E-2</v>
      </c>
      <c r="FR49">
        <v>8.3860161500585326E-2</v>
      </c>
      <c r="FS49">
        <v>8.3860161500585326E-2</v>
      </c>
    </row>
    <row r="50" spans="1:175" ht="14.55" customHeight="1" x14ac:dyDescent="0.3">
      <c r="A50" s="106"/>
      <c r="B50" s="12" t="s">
        <v>51</v>
      </c>
      <c r="C50" s="11" t="s">
        <v>277</v>
      </c>
      <c r="D50" s="6" t="s">
        <v>49</v>
      </c>
      <c r="E50" s="9">
        <f>ROW(D50)-ROW($E$8)</f>
        <v>42</v>
      </c>
      <c r="F50" s="13">
        <v>1</v>
      </c>
      <c r="G50" s="13" t="s">
        <v>50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ref="O50:O68" si="124">$O$49</f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761.23670000000004</v>
      </c>
      <c r="CI50">
        <v>646.52980000000002</v>
      </c>
      <c r="CJ50">
        <v>583.96240000000012</v>
      </c>
      <c r="CK50">
        <v>458.82760000000007</v>
      </c>
      <c r="CL50">
        <v>458.82760000000007</v>
      </c>
      <c r="CM50">
        <v>458.82760000000007</v>
      </c>
      <c r="CN50">
        <v>406.68810000000002</v>
      </c>
      <c r="CO50">
        <v>375.40440000000001</v>
      </c>
      <c r="CP50">
        <v>375.40440000000001</v>
      </c>
      <c r="CQ50">
        <v>375.40440000000001</v>
      </c>
      <c r="CR50">
        <v>11.601038750000001</v>
      </c>
      <c r="CS50">
        <v>11.157853000000001</v>
      </c>
      <c r="CT50">
        <v>7.6905762500000012</v>
      </c>
      <c r="CU50">
        <v>9.2808309999999992</v>
      </c>
      <c r="CV50">
        <v>9.2808310000000009</v>
      </c>
      <c r="CW50">
        <v>9.2808310000000009</v>
      </c>
      <c r="CX50">
        <v>8.5508780000000009</v>
      </c>
      <c r="CY50">
        <v>8.1337620000000008</v>
      </c>
      <c r="CZ50">
        <v>8.1337620000000008</v>
      </c>
      <c r="DA50">
        <v>8.1337620000000008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90.584795321637415</v>
      </c>
      <c r="EG50">
        <v>90.584795321637415</v>
      </c>
      <c r="EH50">
        <v>90.584795321637415</v>
      </c>
      <c r="EI50">
        <v>0</v>
      </c>
      <c r="EJ50">
        <f t="shared" si="118"/>
        <v>90.584795321637415</v>
      </c>
      <c r="EK50">
        <v>0</v>
      </c>
      <c r="EL50">
        <f t="shared" si="119"/>
        <v>90.584795321637415</v>
      </c>
      <c r="EM50">
        <v>0</v>
      </c>
      <c r="EN50">
        <f t="shared" si="120"/>
        <v>90.584795321637415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21"/>
        <v>0</v>
      </c>
      <c r="EU50">
        <v>0</v>
      </c>
      <c r="EV50">
        <f t="shared" si="122"/>
        <v>0</v>
      </c>
      <c r="EW50">
        <v>0</v>
      </c>
      <c r="EX50">
        <f t="shared" si="123"/>
        <v>0</v>
      </c>
      <c r="EY50">
        <v>0</v>
      </c>
      <c r="EZ50">
        <v>17.88</v>
      </c>
      <c r="FA50">
        <v>17.88</v>
      </c>
      <c r="FB50">
        <v>17.88</v>
      </c>
      <c r="FC50">
        <v>0</v>
      </c>
      <c r="FD50">
        <v>15.93</v>
      </c>
      <c r="FE50">
        <v>0</v>
      </c>
      <c r="FF50">
        <v>14.96</v>
      </c>
      <c r="FG50">
        <v>0</v>
      </c>
      <c r="FH50">
        <v>14.09</v>
      </c>
      <c r="FI50">
        <v>0</v>
      </c>
      <c r="FJ50">
        <v>8.5803264560679798E-2</v>
      </c>
      <c r="FK50">
        <v>8.5803264560679798E-2</v>
      </c>
      <c r="FL50">
        <v>8.5803264560679798E-2</v>
      </c>
      <c r="FM50">
        <v>8.3860161500585326E-2</v>
      </c>
      <c r="FN50">
        <v>8.3860161500585326E-2</v>
      </c>
      <c r="FO50">
        <v>8.3860161500585326E-2</v>
      </c>
      <c r="FP50">
        <v>8.3860161500585326E-2</v>
      </c>
      <c r="FQ50">
        <v>8.3860161500585326E-2</v>
      </c>
      <c r="FR50">
        <v>8.3860161500585326E-2</v>
      </c>
      <c r="FS50">
        <v>8.3860161500585326E-2</v>
      </c>
    </row>
    <row r="51" spans="1:175" x14ac:dyDescent="0.3">
      <c r="A51" s="106"/>
      <c r="B51" s="12" t="str">
        <f>CONCATENATE("RPU_"&amp;D51)</f>
        <v>RPU_ON_SP198-HH100</v>
      </c>
      <c r="C51" s="11" t="s">
        <v>277</v>
      </c>
      <c r="D51" s="2" t="s">
        <v>164</v>
      </c>
      <c r="E51" s="9">
        <f t="shared" si="5"/>
        <v>43</v>
      </c>
      <c r="F51" s="13">
        <v>1</v>
      </c>
      <c r="G51" s="13" t="s">
        <v>53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24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1758.6807528485745</v>
      </c>
      <c r="CI51">
        <v>1758.6807528485745</v>
      </c>
      <c r="CJ51">
        <v>1758.6807528485745</v>
      </c>
      <c r="CK51">
        <v>1633.060699073676</v>
      </c>
      <c r="CL51">
        <v>1633.060699073676</v>
      </c>
      <c r="CM51">
        <v>1633.060699073676</v>
      </c>
      <c r="CN51">
        <v>1538.8456587425023</v>
      </c>
      <c r="CO51">
        <v>1507.4406452987776</v>
      </c>
      <c r="CP51">
        <v>1507.4406452987776</v>
      </c>
      <c r="CQ51">
        <v>1507.4406452987776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18"/>
        <v>55.12222222222222</v>
      </c>
      <c r="EK51">
        <v>0</v>
      </c>
      <c r="EL51">
        <f t="shared" si="119"/>
        <v>55.12222222222222</v>
      </c>
      <c r="EM51">
        <v>0</v>
      </c>
      <c r="EN51">
        <f t="shared" si="120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21"/>
        <v>0</v>
      </c>
      <c r="EU51">
        <v>0</v>
      </c>
      <c r="EV51">
        <f t="shared" si="122"/>
        <v>0</v>
      </c>
      <c r="EW51">
        <v>0</v>
      </c>
      <c r="EX51">
        <f t="shared" si="123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106"/>
      <c r="B52" s="12" t="str">
        <f t="shared" ref="B52:B62" si="125">CONCATENATE("RPU_"&amp;D52)</f>
        <v>RPU_ON_SP198-HH150</v>
      </c>
      <c r="C52" s="11" t="s">
        <v>277</v>
      </c>
      <c r="D52" s="2" t="s">
        <v>54</v>
      </c>
      <c r="E52" s="9">
        <f t="shared" si="5"/>
        <v>44</v>
      </c>
      <c r="F52" s="13">
        <v>1</v>
      </c>
      <c r="G52" s="13" t="s">
        <v>55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24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2188.7934195531479</v>
      </c>
      <c r="CI52">
        <v>2188.7934195531479</v>
      </c>
      <c r="CJ52">
        <v>2188.7934195531479</v>
      </c>
      <c r="CK52">
        <v>2032.4510324422088</v>
      </c>
      <c r="CL52">
        <v>2032.4510324422088</v>
      </c>
      <c r="CM52">
        <v>2032.4510324422088</v>
      </c>
      <c r="CN52">
        <v>1915.1942421090046</v>
      </c>
      <c r="CO52">
        <v>1876.1086453312696</v>
      </c>
      <c r="CP52">
        <v>1876.1086453312696</v>
      </c>
      <c r="CQ52">
        <v>1876.1086453312696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18"/>
        <v>55.12222222222222</v>
      </c>
      <c r="EK52">
        <v>0</v>
      </c>
      <c r="EL52">
        <f t="shared" si="119"/>
        <v>55.12222222222222</v>
      </c>
      <c r="EM52">
        <v>0</v>
      </c>
      <c r="EN52">
        <f t="shared" si="120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21"/>
        <v>0</v>
      </c>
      <c r="EU52">
        <v>0</v>
      </c>
      <c r="EV52">
        <f t="shared" si="122"/>
        <v>0</v>
      </c>
      <c r="EW52">
        <v>0</v>
      </c>
      <c r="EX52">
        <f t="shared" si="123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106"/>
      <c r="B53" s="12" t="str">
        <f t="shared" si="125"/>
        <v>RPU_ON_SP237-HH100</v>
      </c>
      <c r="C53" s="11" t="s">
        <v>277</v>
      </c>
      <c r="D53" s="2" t="s">
        <v>56</v>
      </c>
      <c r="E53" s="9">
        <f t="shared" si="5"/>
        <v>45</v>
      </c>
      <c r="F53" s="13">
        <v>1</v>
      </c>
      <c r="G53" s="13" t="s">
        <v>57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24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1554.7627916706663</v>
      </c>
      <c r="CI53">
        <v>1554.7627916706663</v>
      </c>
      <c r="CJ53">
        <v>1554.7627916706663</v>
      </c>
      <c r="CK53">
        <v>1443.7083065513327</v>
      </c>
      <c r="CL53">
        <v>1443.7083065513327</v>
      </c>
      <c r="CM53">
        <v>1443.7083065513327</v>
      </c>
      <c r="CN53">
        <v>1360.4174427118328</v>
      </c>
      <c r="CO53">
        <v>1332.6538214319989</v>
      </c>
      <c r="CP53">
        <v>1332.6538214319989</v>
      </c>
      <c r="CQ53">
        <v>1332.6538214319989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18"/>
        <v>55.12222222222222</v>
      </c>
      <c r="EK53">
        <v>0</v>
      </c>
      <c r="EL53">
        <f t="shared" si="119"/>
        <v>55.12222222222222</v>
      </c>
      <c r="EM53">
        <v>0</v>
      </c>
      <c r="EN53">
        <f t="shared" si="120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21"/>
        <v>0</v>
      </c>
      <c r="EU53">
        <v>0</v>
      </c>
      <c r="EV53">
        <f t="shared" si="122"/>
        <v>0</v>
      </c>
      <c r="EW53">
        <v>0</v>
      </c>
      <c r="EX53">
        <f t="shared" si="123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106"/>
      <c r="B54" s="12" t="str">
        <f t="shared" si="125"/>
        <v>RPU_ON_SP237-HH150</v>
      </c>
      <c r="C54" s="11" t="s">
        <v>277</v>
      </c>
      <c r="D54" s="2" t="s">
        <v>58</v>
      </c>
      <c r="E54" s="9">
        <f t="shared" si="5"/>
        <v>46</v>
      </c>
      <c r="F54" s="13">
        <v>1</v>
      </c>
      <c r="G54" s="13" t="s">
        <v>59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24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1947.4738868244795</v>
      </c>
      <c r="CI54">
        <v>1947.4738868244795</v>
      </c>
      <c r="CJ54">
        <v>1947.4738868244795</v>
      </c>
      <c r="CK54">
        <v>1808.3686091941595</v>
      </c>
      <c r="CL54">
        <v>1808.3686091941595</v>
      </c>
      <c r="CM54">
        <v>1808.3686091941595</v>
      </c>
      <c r="CN54">
        <v>1704.0396509714192</v>
      </c>
      <c r="CO54">
        <v>1669.2633315638391</v>
      </c>
      <c r="CP54">
        <v>1669.2633315638391</v>
      </c>
      <c r="CQ54">
        <v>1669.2633315638391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18"/>
        <v>55.12222222222222</v>
      </c>
      <c r="EK54">
        <v>0</v>
      </c>
      <c r="EL54">
        <f t="shared" si="119"/>
        <v>55.12222222222222</v>
      </c>
      <c r="EM54">
        <v>0</v>
      </c>
      <c r="EN54">
        <f t="shared" si="120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106"/>
      <c r="B55" s="12" t="str">
        <f t="shared" si="125"/>
        <v>RPU_ON_SP277-HH100</v>
      </c>
      <c r="C55" s="11" t="s">
        <v>277</v>
      </c>
      <c r="D55" s="2" t="s">
        <v>60</v>
      </c>
      <c r="E55" s="9">
        <f t="shared" si="5"/>
        <v>47</v>
      </c>
      <c r="F55" s="13">
        <v>1</v>
      </c>
      <c r="G55" s="13" t="s">
        <v>61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1414.9828559823698</v>
      </c>
      <c r="CI55">
        <v>1414.9828559823698</v>
      </c>
      <c r="CJ55">
        <v>1414.9828559823698</v>
      </c>
      <c r="CK55">
        <v>1313.9126519836288</v>
      </c>
      <c r="CL55">
        <v>1313.9126519836288</v>
      </c>
      <c r="CM55">
        <v>1313.9126519836288</v>
      </c>
      <c r="CN55">
        <v>1238.1099989845734</v>
      </c>
      <c r="CO55">
        <v>1212.8424479848879</v>
      </c>
      <c r="CP55">
        <v>1212.8424479848879</v>
      </c>
      <c r="CQ55">
        <v>1212.8424479848879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106"/>
      <c r="B56" s="12" t="str">
        <f t="shared" si="125"/>
        <v>RPU_ON_SP277-HH150</v>
      </c>
      <c r="C56" s="11" t="s">
        <v>277</v>
      </c>
      <c r="D56" s="2" t="s">
        <v>62</v>
      </c>
      <c r="E56" s="9">
        <f t="shared" si="5"/>
        <v>48</v>
      </c>
      <c r="F56" s="13">
        <v>1</v>
      </c>
      <c r="G56" s="13" t="s">
        <v>63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1807.6939511361822</v>
      </c>
      <c r="CI56">
        <v>1807.6939511361822</v>
      </c>
      <c r="CJ56">
        <v>1807.6939511361822</v>
      </c>
      <c r="CK56">
        <v>1678.5729546264547</v>
      </c>
      <c r="CL56">
        <v>1678.5729546264547</v>
      </c>
      <c r="CM56">
        <v>1678.5729546264547</v>
      </c>
      <c r="CN56">
        <v>1581.7322072441593</v>
      </c>
      <c r="CO56">
        <v>1549.4519581167272</v>
      </c>
      <c r="CP56">
        <v>1549.4519581167272</v>
      </c>
      <c r="CQ56">
        <v>1549.4519581167272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106"/>
      <c r="B57" s="12" t="str">
        <f t="shared" si="125"/>
        <v>RPU_ON_SP321-HH100</v>
      </c>
      <c r="C57" s="11" t="s">
        <v>277</v>
      </c>
      <c r="D57" s="2" t="s">
        <v>64</v>
      </c>
      <c r="E57" s="9">
        <f t="shared" si="5"/>
        <v>49</v>
      </c>
      <c r="F57" s="13">
        <v>1</v>
      </c>
      <c r="G57" s="13" t="s">
        <v>65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1301.2947800734096</v>
      </c>
      <c r="CI57">
        <v>1301.2947800734096</v>
      </c>
      <c r="CJ57">
        <v>1301.2947800734096</v>
      </c>
      <c r="CK57">
        <v>1208.3451529253089</v>
      </c>
      <c r="CL57">
        <v>1208.3451529253089</v>
      </c>
      <c r="CM57">
        <v>1208.3451529253089</v>
      </c>
      <c r="CN57">
        <v>1138.6329325642334</v>
      </c>
      <c r="CO57">
        <v>1115.3955257772077</v>
      </c>
      <c r="CP57">
        <v>1115.3955257772077</v>
      </c>
      <c r="CQ57">
        <v>1115.3955257772077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106"/>
      <c r="B58" s="12" t="str">
        <f t="shared" si="125"/>
        <v>RPU_ON_SP321-HH150</v>
      </c>
      <c r="C58" s="11" t="s">
        <v>277</v>
      </c>
      <c r="D58" s="2" t="s">
        <v>66</v>
      </c>
      <c r="E58" s="9">
        <f t="shared" si="5"/>
        <v>50</v>
      </c>
      <c r="F58" s="13">
        <v>1</v>
      </c>
      <c r="G58" s="13" t="s">
        <v>67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1694.0063453254108</v>
      </c>
      <c r="CI58">
        <v>1694.0063453254108</v>
      </c>
      <c r="CJ58">
        <v>1694.0063453254108</v>
      </c>
      <c r="CK58">
        <v>1573.0058920878812</v>
      </c>
      <c r="CL58">
        <v>1573.0058920878812</v>
      </c>
      <c r="CM58">
        <v>1573.0058920878812</v>
      </c>
      <c r="CN58">
        <v>1482.2555521597342</v>
      </c>
      <c r="CO58">
        <v>1452.0054388503518</v>
      </c>
      <c r="CP58">
        <v>1452.0054388503518</v>
      </c>
      <c r="CQ58">
        <v>1452.0054388503518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106"/>
      <c r="B59" s="12" t="str">
        <f t="shared" si="125"/>
        <v>RPU_OFF_SP379-HH100</v>
      </c>
      <c r="C59" s="11" t="s">
        <v>277</v>
      </c>
      <c r="D59" s="2" t="s">
        <v>68</v>
      </c>
      <c r="E59" s="9">
        <f t="shared" si="5"/>
        <v>51</v>
      </c>
      <c r="F59" s="13">
        <v>1</v>
      </c>
      <c r="G59" s="13" t="s">
        <v>69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2205.1904479084506</v>
      </c>
      <c r="CI59">
        <v>2205.1904479084506</v>
      </c>
      <c r="CJ59">
        <v>2205.1904479084506</v>
      </c>
      <c r="CK59">
        <v>1998.1303119546053</v>
      </c>
      <c r="CL59">
        <v>1998.1303119546053</v>
      </c>
      <c r="CM59">
        <v>1998.1303119546053</v>
      </c>
      <c r="CN59">
        <v>1873.8942303822985</v>
      </c>
      <c r="CO59">
        <v>1842.8352099892215</v>
      </c>
      <c r="CP59">
        <v>1842.8352099892215</v>
      </c>
      <c r="CQ59">
        <v>1842.8352099892215</v>
      </c>
      <c r="CR59">
        <v>41.773124610000004</v>
      </c>
      <c r="CS59">
        <v>41.773124610000004</v>
      </c>
      <c r="CT59">
        <v>41.773124610000004</v>
      </c>
      <c r="CU59">
        <v>37.595707869999998</v>
      </c>
      <c r="CV59">
        <v>37.595707870000005</v>
      </c>
      <c r="CW59">
        <v>37.595707870000005</v>
      </c>
      <c r="CX59">
        <v>34.588301510000008</v>
      </c>
      <c r="CY59">
        <v>33.836449920000007</v>
      </c>
      <c r="CZ59">
        <v>33.836449920000007</v>
      </c>
      <c r="DA59">
        <v>33.83644992</v>
      </c>
      <c r="DB59">
        <v>3.1283700000000001E-3</v>
      </c>
      <c r="DC59">
        <v>3.1283700000000001E-3</v>
      </c>
      <c r="DD59">
        <v>3.1283700000000001E-3</v>
      </c>
      <c r="DE59">
        <v>2.8155330000000003E-3</v>
      </c>
      <c r="DF59">
        <v>2.8155330000000003E-3</v>
      </c>
      <c r="DG59">
        <v>2.8155329999999998E-3</v>
      </c>
      <c r="DH59">
        <v>2.6069750000000001E-3</v>
      </c>
      <c r="DI59">
        <v>2.5026960000000004E-3</v>
      </c>
      <c r="DJ59">
        <v>2.5026960000000004E-3</v>
      </c>
      <c r="DK59">
        <v>2.502696E-3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53.529999999999994</v>
      </c>
      <c r="EG59">
        <v>53.53</v>
      </c>
      <c r="EH59">
        <v>53.529999999999994</v>
      </c>
      <c r="EI59">
        <v>0</v>
      </c>
      <c r="EJ59">
        <f t="shared" si="118"/>
        <v>53.53</v>
      </c>
      <c r="EK59">
        <v>0</v>
      </c>
      <c r="EL59">
        <f t="shared" si="119"/>
        <v>53.53</v>
      </c>
      <c r="EM59">
        <v>0</v>
      </c>
      <c r="EN59">
        <f t="shared" si="120"/>
        <v>53.53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106"/>
      <c r="B60" s="12" t="str">
        <f t="shared" si="125"/>
        <v>RPU_OFF_SP379-HH150</v>
      </c>
      <c r="C60" s="11" t="s">
        <v>277</v>
      </c>
      <c r="D60" s="2" t="s">
        <v>70</v>
      </c>
      <c r="E60" s="9">
        <f t="shared" si="5"/>
        <v>52</v>
      </c>
      <c r="F60" s="13">
        <v>1</v>
      </c>
      <c r="G60" s="13" t="s">
        <v>71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2534.6071744804217</v>
      </c>
      <c r="CI60">
        <v>2534.6071744804217</v>
      </c>
      <c r="CJ60">
        <v>2534.6071744804217</v>
      </c>
      <c r="CK60">
        <v>2296.6158904916497</v>
      </c>
      <c r="CL60">
        <v>2296.6158904916497</v>
      </c>
      <c r="CM60">
        <v>2296.6158904916497</v>
      </c>
      <c r="CN60">
        <v>2153.8211200983869</v>
      </c>
      <c r="CO60">
        <v>2118.1224275000709</v>
      </c>
      <c r="CP60">
        <v>2118.1224275000709</v>
      </c>
      <c r="CQ60">
        <v>2118.1224275000709</v>
      </c>
      <c r="CR60">
        <v>41.773124610000004</v>
      </c>
      <c r="CS60">
        <v>41.773124610000004</v>
      </c>
      <c r="CT60">
        <v>41.773124610000004</v>
      </c>
      <c r="CU60">
        <v>37.595707869999998</v>
      </c>
      <c r="CV60">
        <v>37.595707870000005</v>
      </c>
      <c r="CW60">
        <v>37.595707870000005</v>
      </c>
      <c r="CX60">
        <v>34.588301510000008</v>
      </c>
      <c r="CY60">
        <v>33.836449920000007</v>
      </c>
      <c r="CZ60">
        <v>33.836449920000007</v>
      </c>
      <c r="DA60">
        <v>33.83644992</v>
      </c>
      <c r="DB60">
        <v>3.1283700000000001E-3</v>
      </c>
      <c r="DC60">
        <v>3.1283700000000001E-3</v>
      </c>
      <c r="DD60">
        <v>3.1283700000000001E-3</v>
      </c>
      <c r="DE60">
        <v>2.8155330000000003E-3</v>
      </c>
      <c r="DF60">
        <v>2.8155330000000003E-3</v>
      </c>
      <c r="DG60">
        <v>2.8155329999999998E-3</v>
      </c>
      <c r="DH60">
        <v>2.6069750000000001E-3</v>
      </c>
      <c r="DI60">
        <v>2.5026960000000004E-3</v>
      </c>
      <c r="DJ60">
        <v>2.5026960000000004E-3</v>
      </c>
      <c r="DK60">
        <v>2.502696E-3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53.529999999999994</v>
      </c>
      <c r="EG60">
        <v>53.529999999999994</v>
      </c>
      <c r="EH60">
        <v>53.529999999999994</v>
      </c>
      <c r="EI60">
        <v>0</v>
      </c>
      <c r="EJ60">
        <f t="shared" si="118"/>
        <v>53.529999999999994</v>
      </c>
      <c r="EK60">
        <v>0</v>
      </c>
      <c r="EL60">
        <f t="shared" si="119"/>
        <v>53.529999999999994</v>
      </c>
      <c r="EM60">
        <v>0</v>
      </c>
      <c r="EN60">
        <f t="shared" si="120"/>
        <v>53.529999999999994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106"/>
      <c r="B61" s="12" t="str">
        <f t="shared" si="125"/>
        <v>RPU_OFF_SP450-HH100</v>
      </c>
      <c r="C61" s="11" t="s">
        <v>277</v>
      </c>
      <c r="D61" s="2" t="s">
        <v>72</v>
      </c>
      <c r="E61" s="9">
        <f t="shared" si="5"/>
        <v>53</v>
      </c>
      <c r="F61" s="13">
        <v>1</v>
      </c>
      <c r="G61" s="13" t="s">
        <v>73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1988.1234836201065</v>
      </c>
      <c r="CI61">
        <v>1988.1234836201065</v>
      </c>
      <c r="CJ61">
        <v>1988.1234836201065</v>
      </c>
      <c r="CK61">
        <v>1801.4452222473265</v>
      </c>
      <c r="CL61">
        <v>1801.4452222473265</v>
      </c>
      <c r="CM61">
        <v>1801.4452222473265</v>
      </c>
      <c r="CN61">
        <v>1689.4382654236588</v>
      </c>
      <c r="CO61">
        <v>1661.4365262177421</v>
      </c>
      <c r="CP61">
        <v>1661.4365262177421</v>
      </c>
      <c r="CQ61">
        <v>1661.4365262177421</v>
      </c>
      <c r="CR61">
        <v>41.773124610000004</v>
      </c>
      <c r="CS61">
        <v>41.773124610000004</v>
      </c>
      <c r="CT61">
        <v>41.773124610000004</v>
      </c>
      <c r="CU61">
        <v>37.595707869999998</v>
      </c>
      <c r="CV61">
        <v>37.595707870000005</v>
      </c>
      <c r="CW61">
        <v>37.595707870000005</v>
      </c>
      <c r="CX61">
        <v>34.588301510000008</v>
      </c>
      <c r="CY61">
        <v>33.836449920000007</v>
      </c>
      <c r="CZ61">
        <v>33.836449920000007</v>
      </c>
      <c r="DA61">
        <v>33.83644992</v>
      </c>
      <c r="DB61">
        <v>3.1283700000000001E-3</v>
      </c>
      <c r="DC61">
        <v>3.1283700000000001E-3</v>
      </c>
      <c r="DD61">
        <v>3.1283700000000001E-3</v>
      </c>
      <c r="DE61">
        <v>2.8155330000000003E-3</v>
      </c>
      <c r="DF61">
        <v>2.8155330000000003E-3</v>
      </c>
      <c r="DG61">
        <v>2.8155329999999998E-3</v>
      </c>
      <c r="DH61">
        <v>2.6069750000000001E-3</v>
      </c>
      <c r="DI61">
        <v>2.5026960000000004E-3</v>
      </c>
      <c r="DJ61">
        <v>2.5026960000000004E-3</v>
      </c>
      <c r="DK61">
        <v>2.502696E-3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53.529999999999994</v>
      </c>
      <c r="EG61">
        <v>53.529999999999994</v>
      </c>
      <c r="EH61">
        <v>53.529999999999994</v>
      </c>
      <c r="EI61">
        <v>0</v>
      </c>
      <c r="EJ61">
        <f t="shared" si="118"/>
        <v>53.529999999999994</v>
      </c>
      <c r="EK61">
        <v>0</v>
      </c>
      <c r="EL61">
        <f t="shared" si="119"/>
        <v>53.529999999999994</v>
      </c>
      <c r="EM61">
        <v>0</v>
      </c>
      <c r="EN61">
        <f t="shared" si="120"/>
        <v>53.529999999999994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106"/>
      <c r="B62" s="12" t="str">
        <f t="shared" si="125"/>
        <v>RPU_OFF_SP450-HH150</v>
      </c>
      <c r="C62" s="11" t="s">
        <v>277</v>
      </c>
      <c r="D62" s="2" t="s">
        <v>165</v>
      </c>
      <c r="E62" s="9">
        <f t="shared" si="5"/>
        <v>54</v>
      </c>
      <c r="F62" s="13">
        <v>1</v>
      </c>
      <c r="G62" s="13" t="s">
        <v>74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2265.5270428386079</v>
      </c>
      <c r="CI62">
        <v>2265.5270428386079</v>
      </c>
      <c r="CJ62">
        <v>2265.5270428386079</v>
      </c>
      <c r="CK62">
        <v>2052.8014989101002</v>
      </c>
      <c r="CL62">
        <v>2052.8014989101002</v>
      </c>
      <c r="CM62">
        <v>2052.8014989101002</v>
      </c>
      <c r="CN62">
        <v>1925.1661725529959</v>
      </c>
      <c r="CO62">
        <v>1893.2573409637196</v>
      </c>
      <c r="CP62">
        <v>1893.2573409637196</v>
      </c>
      <c r="CQ62">
        <v>1893.2573409637196</v>
      </c>
      <c r="CR62">
        <v>41.773124610000004</v>
      </c>
      <c r="CS62">
        <v>41.773124610000004</v>
      </c>
      <c r="CT62">
        <v>41.773124610000004</v>
      </c>
      <c r="CU62">
        <v>37.595707869999998</v>
      </c>
      <c r="CV62">
        <v>37.595707870000005</v>
      </c>
      <c r="CW62">
        <v>37.595707870000005</v>
      </c>
      <c r="CX62">
        <v>34.588301510000008</v>
      </c>
      <c r="CY62">
        <v>33.836449920000007</v>
      </c>
      <c r="CZ62">
        <v>33.836449920000007</v>
      </c>
      <c r="DA62">
        <v>33.83644992</v>
      </c>
      <c r="DB62">
        <v>3.1283700000000001E-3</v>
      </c>
      <c r="DC62">
        <v>3.1283700000000001E-3</v>
      </c>
      <c r="DD62">
        <v>3.1283700000000001E-3</v>
      </c>
      <c r="DE62">
        <v>2.8155330000000003E-3</v>
      </c>
      <c r="DF62">
        <v>2.8155330000000003E-3</v>
      </c>
      <c r="DG62">
        <v>2.8155329999999998E-3</v>
      </c>
      <c r="DH62">
        <v>2.6069750000000001E-3</v>
      </c>
      <c r="DI62">
        <v>2.5026960000000004E-3</v>
      </c>
      <c r="DJ62">
        <v>2.5026960000000004E-3</v>
      </c>
      <c r="DK62">
        <v>2.502696E-3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53.529999999999994</v>
      </c>
      <c r="EG62">
        <v>53.529999999999994</v>
      </c>
      <c r="EH62">
        <v>53.529999999999994</v>
      </c>
      <c r="EI62">
        <v>0</v>
      </c>
      <c r="EJ62">
        <f t="shared" si="118"/>
        <v>53.529999999999994</v>
      </c>
      <c r="EK62">
        <v>0</v>
      </c>
      <c r="EL62">
        <f t="shared" si="119"/>
        <v>53.529999999999994</v>
      </c>
      <c r="EM62">
        <v>0</v>
      </c>
      <c r="EN62">
        <f t="shared" si="120"/>
        <v>53.529999999999994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106"/>
      <c r="B63" s="12" t="s">
        <v>236</v>
      </c>
      <c r="C63" s="11" t="s">
        <v>277</v>
      </c>
      <c r="D63" s="2" t="s">
        <v>237</v>
      </c>
      <c r="E63" s="9">
        <f t="shared" si="5"/>
        <v>55</v>
      </c>
      <c r="F63" s="13">
        <v>1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1</v>
      </c>
      <c r="O63">
        <f t="shared" si="124"/>
        <v>2000000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1</v>
      </c>
      <c r="BE63" s="60">
        <v>1</v>
      </c>
      <c r="BF63" s="60">
        <v>1</v>
      </c>
      <c r="BG63" s="60">
        <v>1</v>
      </c>
      <c r="BH63" s="60">
        <v>1</v>
      </c>
      <c r="BI63" s="60">
        <v>1</v>
      </c>
      <c r="BJ63" s="60">
        <v>1</v>
      </c>
      <c r="BK63" s="60">
        <v>1</v>
      </c>
      <c r="BL63" s="60">
        <v>1</v>
      </c>
      <c r="BM63" s="60">
        <v>1</v>
      </c>
      <c r="BN63" s="60">
        <v>1</v>
      </c>
      <c r="BO63" s="60">
        <v>1</v>
      </c>
      <c r="BP63" s="60">
        <v>1</v>
      </c>
      <c r="BQ63" s="60">
        <v>1</v>
      </c>
      <c r="BR63" s="60">
        <v>1</v>
      </c>
      <c r="BS63" s="60">
        <v>1</v>
      </c>
      <c r="BT63" s="60">
        <v>1</v>
      </c>
      <c r="BU63" s="60">
        <v>1</v>
      </c>
      <c r="BV63" s="60">
        <v>1</v>
      </c>
      <c r="BW63" s="60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3662.1</v>
      </c>
      <c r="CI63">
        <v>3662.1</v>
      </c>
      <c r="CJ63">
        <v>3662.1</v>
      </c>
      <c r="CK63">
        <v>3662.1</v>
      </c>
      <c r="CL63">
        <v>3662.1</v>
      </c>
      <c r="CM63">
        <v>3662.1</v>
      </c>
      <c r="CN63">
        <v>3662.1</v>
      </c>
      <c r="CO63">
        <v>3662.1</v>
      </c>
      <c r="CP63">
        <v>3662.1</v>
      </c>
      <c r="CQ63">
        <v>3662.1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f>8.77/1000</f>
        <v>8.77E-3</v>
      </c>
      <c r="DC63">
        <f t="shared" ref="DC63:DK63" si="126">8.77/1000</f>
        <v>8.77E-3</v>
      </c>
      <c r="DD63">
        <f t="shared" si="126"/>
        <v>8.77E-3</v>
      </c>
      <c r="DE63">
        <f t="shared" si="126"/>
        <v>8.77E-3</v>
      </c>
      <c r="DF63">
        <f t="shared" si="126"/>
        <v>8.77E-3</v>
      </c>
      <c r="DG63">
        <f t="shared" si="126"/>
        <v>8.77E-3</v>
      </c>
      <c r="DH63">
        <f t="shared" si="126"/>
        <v>8.77E-3</v>
      </c>
      <c r="DI63">
        <f t="shared" si="126"/>
        <v>8.77E-3</v>
      </c>
      <c r="DJ63">
        <f t="shared" si="126"/>
        <v>8.77E-3</v>
      </c>
      <c r="DK63">
        <f t="shared" si="126"/>
        <v>8.77E-3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f>((6.78*10^7)/(20*10^3))/30</f>
        <v>113</v>
      </c>
      <c r="EG63">
        <f t="shared" ref="EG63:EN63" si="127">((6.78*10^7)/(20*10^3))/30</f>
        <v>113</v>
      </c>
      <c r="EH63">
        <f t="shared" si="127"/>
        <v>113</v>
      </c>
      <c r="EI63">
        <v>0</v>
      </c>
      <c r="EJ63">
        <f t="shared" si="127"/>
        <v>113</v>
      </c>
      <c r="EK63">
        <v>0</v>
      </c>
      <c r="EL63">
        <f t="shared" si="127"/>
        <v>113</v>
      </c>
      <c r="EM63">
        <v>0</v>
      </c>
      <c r="EN63">
        <f t="shared" si="127"/>
        <v>113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8.0586403511111196E-2</v>
      </c>
      <c r="FK63" s="32">
        <v>8.0586403511111196E-2</v>
      </c>
      <c r="FL63" s="32">
        <v>8.0586403511111196E-2</v>
      </c>
      <c r="FM63" s="32">
        <v>8.0586403511111196E-2</v>
      </c>
      <c r="FN63" s="32">
        <v>8.0586403511111196E-2</v>
      </c>
      <c r="FO63" s="32">
        <v>8.0586403511111196E-2</v>
      </c>
      <c r="FP63" s="32">
        <v>8.0586403511111196E-2</v>
      </c>
      <c r="FQ63" s="32">
        <v>8.0586403511111196E-2</v>
      </c>
      <c r="FR63" s="32">
        <v>8.0586403511111196E-2</v>
      </c>
      <c r="FS63" s="32">
        <v>8.0586403511111196E-2</v>
      </c>
    </row>
    <row r="64" spans="1:175" x14ac:dyDescent="0.3">
      <c r="A64" s="106"/>
      <c r="B64" s="12" t="s">
        <v>15</v>
      </c>
      <c r="C64" s="11" t="s">
        <v>277</v>
      </c>
      <c r="D64" s="2" t="s">
        <v>271</v>
      </c>
      <c r="E64" s="9">
        <f t="shared" si="5"/>
        <v>56</v>
      </c>
      <c r="F64" s="13">
        <v>1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-1</v>
      </c>
      <c r="O64">
        <f t="shared" si="124"/>
        <v>2000000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1</v>
      </c>
      <c r="BE64" s="60">
        <v>1</v>
      </c>
      <c r="BF64" s="60">
        <v>1</v>
      </c>
      <c r="BG64" s="60">
        <v>1</v>
      </c>
      <c r="BH64" s="60">
        <v>1</v>
      </c>
      <c r="BI64" s="60">
        <v>1</v>
      </c>
      <c r="BJ64" s="60">
        <v>1</v>
      </c>
      <c r="BK64" s="60">
        <v>1</v>
      </c>
      <c r="BL64" s="60">
        <v>1</v>
      </c>
      <c r="BM64" s="60">
        <v>1</v>
      </c>
      <c r="BN64" s="60">
        <v>1</v>
      </c>
      <c r="BO64" s="60">
        <v>1</v>
      </c>
      <c r="BP64" s="60">
        <v>1</v>
      </c>
      <c r="BQ64" s="60">
        <v>1</v>
      </c>
      <c r="BR64" s="60">
        <v>1</v>
      </c>
      <c r="BS64" s="60">
        <v>1</v>
      </c>
      <c r="BT64" s="60">
        <v>1</v>
      </c>
      <c r="BU64" s="60">
        <v>1</v>
      </c>
      <c r="BV64" s="60">
        <v>1</v>
      </c>
      <c r="BW64" s="60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6"/>
      <c r="B65" s="12" t="s">
        <v>16</v>
      </c>
      <c r="C65" s="11" t="s">
        <v>277</v>
      </c>
      <c r="D65" s="2" t="s">
        <v>272</v>
      </c>
      <c r="E65" s="9">
        <f t="shared" si="5"/>
        <v>57</v>
      </c>
      <c r="F65" s="13">
        <v>1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1</v>
      </c>
      <c r="O65">
        <f t="shared" si="124"/>
        <v>2000000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1</v>
      </c>
      <c r="BE65" s="60">
        <v>1</v>
      </c>
      <c r="BF65" s="60">
        <v>1</v>
      </c>
      <c r="BG65" s="60">
        <v>1</v>
      </c>
      <c r="BH65" s="60">
        <v>1</v>
      </c>
      <c r="BI65" s="60">
        <v>1</v>
      </c>
      <c r="BJ65" s="60">
        <v>1</v>
      </c>
      <c r="BK65" s="60">
        <v>1</v>
      </c>
      <c r="BL65" s="60">
        <v>1</v>
      </c>
      <c r="BM65" s="60">
        <v>1</v>
      </c>
      <c r="BN65" s="60">
        <v>1</v>
      </c>
      <c r="BO65" s="60">
        <v>1</v>
      </c>
      <c r="BP65" s="60">
        <v>1</v>
      </c>
      <c r="BQ65" s="60">
        <v>1</v>
      </c>
      <c r="BR65" s="60">
        <v>1</v>
      </c>
      <c r="BS65" s="60">
        <v>1</v>
      </c>
      <c r="BT65" s="60">
        <v>1</v>
      </c>
      <c r="BU65" s="60">
        <v>1</v>
      </c>
      <c r="BV65" s="60">
        <v>1</v>
      </c>
      <c r="BW65" s="60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6"/>
      <c r="B66" s="12" t="s">
        <v>17</v>
      </c>
      <c r="C66" s="11" t="s">
        <v>277</v>
      </c>
      <c r="D66" s="2" t="s">
        <v>273</v>
      </c>
      <c r="E66" s="9">
        <f t="shared" si="5"/>
        <v>58</v>
      </c>
      <c r="F66" s="13">
        <v>1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1</v>
      </c>
      <c r="BE66" s="60">
        <v>1</v>
      </c>
      <c r="BF66" s="60">
        <v>1</v>
      </c>
      <c r="BG66" s="60">
        <v>1</v>
      </c>
      <c r="BH66" s="60">
        <v>1</v>
      </c>
      <c r="BI66" s="60">
        <v>1</v>
      </c>
      <c r="BJ66" s="60">
        <v>1</v>
      </c>
      <c r="BK66" s="60">
        <v>1</v>
      </c>
      <c r="BL66" s="60">
        <v>1</v>
      </c>
      <c r="BM66" s="60">
        <v>1</v>
      </c>
      <c r="BN66" s="60">
        <v>1</v>
      </c>
      <c r="BO66" s="60">
        <v>1</v>
      </c>
      <c r="BP66" s="60">
        <v>1</v>
      </c>
      <c r="BQ66" s="60">
        <v>1</v>
      </c>
      <c r="BR66" s="60">
        <v>1</v>
      </c>
      <c r="BS66" s="60">
        <v>1</v>
      </c>
      <c r="BT66" s="60">
        <v>1</v>
      </c>
      <c r="BU66" s="60">
        <v>1</v>
      </c>
      <c r="BV66" s="60">
        <v>1</v>
      </c>
      <c r="BW66" s="60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41</v>
      </c>
      <c r="CI66">
        <v>41</v>
      </c>
      <c r="CJ66">
        <v>41</v>
      </c>
      <c r="CK66">
        <v>0</v>
      </c>
      <c r="CL66">
        <f>41</f>
        <v>41</v>
      </c>
      <c r="CM66">
        <v>0</v>
      </c>
      <c r="CN66">
        <v>41</v>
      </c>
      <c r="CO66">
        <v>0</v>
      </c>
      <c r="CP66">
        <v>41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9.3678779051968114E-2</v>
      </c>
      <c r="FK66" s="32">
        <v>8.0586403511111196E-2</v>
      </c>
      <c r="FL66" s="32">
        <v>8.0586403511111196E-2</v>
      </c>
      <c r="FM66" s="32">
        <v>8.0586403511111196E-2</v>
      </c>
      <c r="FN66" s="32">
        <v>8.0586403511111196E-2</v>
      </c>
      <c r="FO66" s="32">
        <v>8.0586403511111196E-2</v>
      </c>
      <c r="FP66" s="32">
        <v>8.0586403511111196E-2</v>
      </c>
      <c r="FQ66" s="32">
        <v>8.0586403511111196E-2</v>
      </c>
      <c r="FR66" s="32">
        <v>8.0586403511111196E-2</v>
      </c>
      <c r="FS66" s="32">
        <v>8.0586403511111196E-2</v>
      </c>
    </row>
    <row r="67" spans="1:175" x14ac:dyDescent="0.3">
      <c r="A67" s="106"/>
      <c r="B67" s="61" t="s">
        <v>277</v>
      </c>
      <c r="C67" s="11" t="s">
        <v>277</v>
      </c>
      <c r="D67" s="2" t="s">
        <v>278</v>
      </c>
      <c r="E67" s="9">
        <f t="shared" si="5"/>
        <v>59</v>
      </c>
      <c r="F67" s="13">
        <v>1</v>
      </c>
      <c r="G67" s="13" t="s">
        <v>278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-1</v>
      </c>
      <c r="O67">
        <f t="shared" si="124"/>
        <v>2000000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1</v>
      </c>
      <c r="BE67" s="60">
        <v>1</v>
      </c>
      <c r="BF67" s="60">
        <v>1</v>
      </c>
      <c r="BG67" s="60">
        <v>1</v>
      </c>
      <c r="BH67" s="60">
        <v>1</v>
      </c>
      <c r="BI67" s="60">
        <v>1</v>
      </c>
      <c r="BJ67" s="60">
        <v>1</v>
      </c>
      <c r="BK67" s="60">
        <v>1</v>
      </c>
      <c r="BL67" s="60">
        <v>1</v>
      </c>
      <c r="BM67" s="60">
        <v>1</v>
      </c>
      <c r="BN67" s="60">
        <v>1</v>
      </c>
      <c r="BO67" s="60">
        <v>1</v>
      </c>
      <c r="BP67" s="60">
        <v>1</v>
      </c>
      <c r="BQ67" s="60">
        <v>1</v>
      </c>
      <c r="BR67" s="60">
        <v>1</v>
      </c>
      <c r="BS67" s="60">
        <v>1</v>
      </c>
      <c r="BT67" s="60">
        <v>1</v>
      </c>
      <c r="BU67" s="60">
        <v>1</v>
      </c>
      <c r="BV67" s="60">
        <v>1</v>
      </c>
      <c r="BW67" s="60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106"/>
      <c r="B68" s="12" t="s">
        <v>28</v>
      </c>
      <c r="C68" s="4" t="s">
        <v>33</v>
      </c>
      <c r="D68" s="6" t="s">
        <v>43</v>
      </c>
      <c r="E68" s="9">
        <f t="shared" si="5"/>
        <v>60</v>
      </c>
      <c r="F68" s="13">
        <v>0</v>
      </c>
      <c r="G68" s="13" t="s">
        <v>24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4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180</v>
      </c>
      <c r="CI68">
        <v>180</v>
      </c>
      <c r="CJ68">
        <v>180</v>
      </c>
      <c r="CK68">
        <v>180</v>
      </c>
      <c r="CL68">
        <v>180</v>
      </c>
      <c r="CM68">
        <v>180</v>
      </c>
      <c r="CN68">
        <v>180</v>
      </c>
      <c r="CO68">
        <v>180</v>
      </c>
      <c r="CP68">
        <v>180</v>
      </c>
      <c r="CQ68">
        <v>180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1.6649999999999998E-2</v>
      </c>
      <c r="DW68">
        <v>1.6649999999999998E-2</v>
      </c>
      <c r="DX68">
        <v>1.6649999999999998E-2</v>
      </c>
      <c r="DY68">
        <v>1.6649999999999998E-2</v>
      </c>
      <c r="DZ68">
        <v>1.6649999999999998E-2</v>
      </c>
      <c r="EA68">
        <v>1.6649999999999998E-2</v>
      </c>
      <c r="EB68">
        <v>1.6649999999999998E-2</v>
      </c>
      <c r="EC68">
        <v>1.6649999999999998E-2</v>
      </c>
      <c r="ED68">
        <v>1.6649999999999998E-2</v>
      </c>
      <c r="EE68">
        <v>1.6649999999999998E-2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f>0.520716756485048*B1</f>
        <v>0</v>
      </c>
      <c r="EQ68">
        <f>0.520716756485048*B1</f>
        <v>0</v>
      </c>
      <c r="ER68">
        <f>0.520716756485048*B1</f>
        <v>0</v>
      </c>
      <c r="ES68">
        <v>0</v>
      </c>
      <c r="ET68">
        <f>0.187143584625145*B1</f>
        <v>0</v>
      </c>
      <c r="EU68">
        <v>0</v>
      </c>
      <c r="EV68">
        <f>0.0198475609303731*B1</f>
        <v>0</v>
      </c>
      <c r="EW68">
        <v>0</v>
      </c>
      <c r="EX68">
        <f>0.0028336085303343*B1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8.8827433387272267E-2</v>
      </c>
      <c r="FK68" s="32">
        <v>8.8827433387272267E-2</v>
      </c>
      <c r="FL68" s="32">
        <v>8.8827433387272267E-2</v>
      </c>
      <c r="FM68" s="32">
        <v>8.8827433387272267E-2</v>
      </c>
      <c r="FN68" s="32">
        <v>8.8827433387272267E-2</v>
      </c>
      <c r="FO68" s="32">
        <v>8.8827433387272267E-2</v>
      </c>
      <c r="FP68" s="32">
        <v>8.8827433387272267E-2</v>
      </c>
      <c r="FQ68" s="32">
        <v>8.8827433387272267E-2</v>
      </c>
      <c r="FR68" s="32">
        <v>8.8827433387272267E-2</v>
      </c>
      <c r="FS68" s="32">
        <v>8.8827433387272267E-2</v>
      </c>
    </row>
    <row r="69" spans="1:175" x14ac:dyDescent="0.3">
      <c r="A69" s="106"/>
      <c r="B69" s="12" t="s">
        <v>217</v>
      </c>
      <c r="C69" s="4" t="s">
        <v>34</v>
      </c>
      <c r="D69" s="6" t="s">
        <v>279</v>
      </c>
      <c r="E69" s="9">
        <f t="shared" si="5"/>
        <v>61</v>
      </c>
      <c r="F69" s="13">
        <v>1</v>
      </c>
      <c r="G69" s="13" t="s">
        <v>279</v>
      </c>
      <c r="H69">
        <v>0</v>
      </c>
      <c r="I69" t="s">
        <v>12</v>
      </c>
      <c r="J69">
        <v>-1</v>
      </c>
      <c r="K69">
        <v>0</v>
      </c>
      <c r="L69" s="10">
        <v>0</v>
      </c>
      <c r="M69">
        <v>0</v>
      </c>
      <c r="N69">
        <v>0</v>
      </c>
      <c r="O69">
        <v>24000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f>$EG69*B$3</f>
        <v>0</v>
      </c>
      <c r="EK69">
        <v>0</v>
      </c>
      <c r="EL69">
        <f>$EG69*C$3</f>
        <v>0</v>
      </c>
      <c r="EM69">
        <v>0</v>
      </c>
      <c r="EN69">
        <f>$EG69*D$3</f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6"/>
      <c r="B70" s="12" t="s">
        <v>218</v>
      </c>
      <c r="C70" s="11" t="s">
        <v>277</v>
      </c>
      <c r="D70" s="6" t="s">
        <v>176</v>
      </c>
      <c r="E70" s="9">
        <f t="shared" si="5"/>
        <v>62</v>
      </c>
      <c r="F70" s="13">
        <v>1</v>
      </c>
      <c r="G70" s="13" t="s">
        <v>177</v>
      </c>
      <c r="H70">
        <v>0</v>
      </c>
      <c r="I70" t="s">
        <v>12</v>
      </c>
      <c r="J70">
        <v>1</v>
      </c>
      <c r="K70">
        <v>0</v>
      </c>
      <c r="L70" s="10">
        <v>0</v>
      </c>
      <c r="M70">
        <v>0</v>
      </c>
      <c r="N70">
        <v>0</v>
      </c>
      <c r="O70">
        <v>20000000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1</v>
      </c>
      <c r="BE70" s="34">
        <v>1</v>
      </c>
      <c r="BF70" s="34">
        <v>1</v>
      </c>
      <c r="BG70" s="34">
        <v>1</v>
      </c>
      <c r="BH70" s="34">
        <v>1</v>
      </c>
      <c r="BI70" s="34">
        <v>1</v>
      </c>
      <c r="BJ70" s="34">
        <v>1</v>
      </c>
      <c r="BK70" s="34">
        <v>1</v>
      </c>
      <c r="BL70" s="34">
        <v>1</v>
      </c>
      <c r="BM70" s="34">
        <v>1</v>
      </c>
      <c r="BN70" s="34">
        <v>1</v>
      </c>
      <c r="BO70" s="34">
        <v>1</v>
      </c>
      <c r="BP70" s="34">
        <v>1</v>
      </c>
      <c r="BQ70" s="34">
        <v>1</v>
      </c>
      <c r="BR70" s="34">
        <v>1</v>
      </c>
      <c r="BS70" s="34">
        <v>1</v>
      </c>
      <c r="BT70" s="34">
        <v>1</v>
      </c>
      <c r="BU70" s="34">
        <v>1</v>
      </c>
      <c r="BV70" s="34">
        <v>1</v>
      </c>
      <c r="BW70" s="34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>343</f>
        <v>343</v>
      </c>
      <c r="CI70">
        <f>343</f>
        <v>343</v>
      </c>
      <c r="CJ70">
        <f>343</f>
        <v>343</v>
      </c>
      <c r="CK70">
        <f>343</f>
        <v>343</v>
      </c>
      <c r="CL70">
        <f>343</f>
        <v>343</v>
      </c>
      <c r="CM70">
        <f>343</f>
        <v>343</v>
      </c>
      <c r="CN70">
        <f>343</f>
        <v>343</v>
      </c>
      <c r="CO70">
        <f>343</f>
        <v>343</v>
      </c>
      <c r="CP70">
        <f>343</f>
        <v>343</v>
      </c>
      <c r="CQ70">
        <f>343</f>
        <v>343</v>
      </c>
      <c r="CR70">
        <v>8.8000000000000007</v>
      </c>
      <c r="CS70">
        <v>8.8000000000000007</v>
      </c>
      <c r="CT70">
        <v>8.8000000000000007</v>
      </c>
      <c r="CU70">
        <v>8.8000000000000007</v>
      </c>
      <c r="CV70">
        <v>8.8000000000000007</v>
      </c>
      <c r="CW70">
        <v>8.8000000000000007</v>
      </c>
      <c r="CX70">
        <v>8.8000000000000007</v>
      </c>
      <c r="CY70">
        <v>8.8000000000000007</v>
      </c>
      <c r="CZ70">
        <v>8.8000000000000007</v>
      </c>
      <c r="DA70">
        <v>8.8000000000000007</v>
      </c>
      <c r="DB70">
        <f t="shared" ref="DB70:DK70" si="128">6/(10^3)</f>
        <v>6.0000000000000001E-3</v>
      </c>
      <c r="DC70">
        <f t="shared" si="128"/>
        <v>6.0000000000000001E-3</v>
      </c>
      <c r="DD70">
        <f t="shared" si="128"/>
        <v>6.0000000000000001E-3</v>
      </c>
      <c r="DE70">
        <f t="shared" si="128"/>
        <v>6.0000000000000001E-3</v>
      </c>
      <c r="DF70">
        <f t="shared" si="128"/>
        <v>6.0000000000000001E-3</v>
      </c>
      <c r="DG70">
        <f t="shared" si="128"/>
        <v>6.0000000000000001E-3</v>
      </c>
      <c r="DH70">
        <f t="shared" si="128"/>
        <v>6.0000000000000001E-3</v>
      </c>
      <c r="DI70">
        <f t="shared" si="128"/>
        <v>6.0000000000000001E-3</v>
      </c>
      <c r="DJ70">
        <f t="shared" si="128"/>
        <v>6.0000000000000001E-3</v>
      </c>
      <c r="DK70">
        <f t="shared" si="128"/>
        <v>6.0000000000000001E-3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f t="shared" ref="DV70:EE70" si="129">0.3</f>
        <v>0.3</v>
      </c>
      <c r="DW70">
        <f t="shared" si="129"/>
        <v>0.3</v>
      </c>
      <c r="DX70">
        <f t="shared" si="129"/>
        <v>0.3</v>
      </c>
      <c r="DY70">
        <f t="shared" si="129"/>
        <v>0.3</v>
      </c>
      <c r="DZ70">
        <f t="shared" si="129"/>
        <v>0.3</v>
      </c>
      <c r="EA70">
        <f t="shared" si="129"/>
        <v>0.3</v>
      </c>
      <c r="EB70">
        <f t="shared" si="129"/>
        <v>0.3</v>
      </c>
      <c r="EC70">
        <f t="shared" si="129"/>
        <v>0.3</v>
      </c>
      <c r="ED70">
        <f t="shared" si="129"/>
        <v>0.3</v>
      </c>
      <c r="EE70">
        <f t="shared" si="129"/>
        <v>0.3</v>
      </c>
      <c r="EF70">
        <f>66</f>
        <v>66</v>
      </c>
      <c r="EG70">
        <f>66</f>
        <v>66</v>
      </c>
      <c r="EH70">
        <f>66</f>
        <v>66</v>
      </c>
      <c r="EI70">
        <v>0</v>
      </c>
      <c r="EJ70">
        <f>66</f>
        <v>66</v>
      </c>
      <c r="EK70">
        <v>0</v>
      </c>
      <c r="EL70">
        <f>66</f>
        <v>66</v>
      </c>
      <c r="EM70">
        <v>0</v>
      </c>
      <c r="EN70">
        <f>66</f>
        <v>66</v>
      </c>
      <c r="EO70">
        <v>0</v>
      </c>
      <c r="EP70">
        <v>0.73950000000000005</v>
      </c>
      <c r="EQ70">
        <v>0.73950000000000005</v>
      </c>
      <c r="ER70">
        <v>0.73950000000000005</v>
      </c>
      <c r="ES70">
        <v>0</v>
      </c>
      <c r="ET70">
        <v>0.73950000000000005</v>
      </c>
      <c r="EU70">
        <v>0</v>
      </c>
      <c r="EV70">
        <v>0.73950000000000005</v>
      </c>
      <c r="EW70">
        <v>0</v>
      </c>
      <c r="EX70">
        <v>0.73950000000000005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0.09</v>
      </c>
      <c r="FK70">
        <v>0.09</v>
      </c>
      <c r="FL70">
        <v>0.09</v>
      </c>
      <c r="FM70">
        <v>0.09</v>
      </c>
      <c r="FN70">
        <v>0.09</v>
      </c>
      <c r="FO70">
        <v>0.09</v>
      </c>
      <c r="FP70">
        <v>0.09</v>
      </c>
      <c r="FQ70">
        <v>0.09</v>
      </c>
      <c r="FR70">
        <v>0.09</v>
      </c>
      <c r="FS70">
        <v>0.09</v>
      </c>
    </row>
    <row r="71" spans="1:175" x14ac:dyDescent="0.3">
      <c r="A71" s="106"/>
      <c r="B71" s="12" t="s">
        <v>15</v>
      </c>
      <c r="C71" s="11" t="s">
        <v>277</v>
      </c>
      <c r="D71" s="6" t="s">
        <v>44</v>
      </c>
      <c r="E71" s="9">
        <f t="shared" si="5"/>
        <v>63</v>
      </c>
      <c r="F71" s="13">
        <v>1</v>
      </c>
      <c r="G71" s="13" t="s">
        <v>25</v>
      </c>
      <c r="H71">
        <v>0</v>
      </c>
      <c r="I71" t="s">
        <v>12</v>
      </c>
      <c r="J71">
        <v>-1</v>
      </c>
      <c r="K71">
        <v>0</v>
      </c>
      <c r="L71" s="10">
        <v>0</v>
      </c>
      <c r="M71">
        <v>0</v>
      </c>
      <c r="N71">
        <v>0</v>
      </c>
      <c r="O71">
        <f>O73/2</f>
        <v>10000000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1</v>
      </c>
      <c r="BE71" s="14">
        <v>1</v>
      </c>
      <c r="BF71" s="14">
        <v>1</v>
      </c>
      <c r="BG71" s="14">
        <v>1</v>
      </c>
      <c r="BH71" s="14">
        <v>1</v>
      </c>
      <c r="BI71" s="14">
        <v>1</v>
      </c>
      <c r="BJ71" s="14">
        <v>1</v>
      </c>
      <c r="BK71" s="14">
        <v>1</v>
      </c>
      <c r="BL71" s="14">
        <v>1</v>
      </c>
      <c r="BM71" s="14">
        <v>1</v>
      </c>
      <c r="BN71" s="14">
        <v>1</v>
      </c>
      <c r="BO71" s="14">
        <v>1</v>
      </c>
      <c r="BP71" s="14">
        <v>1</v>
      </c>
      <c r="BQ71" s="14">
        <v>1</v>
      </c>
      <c r="BR71" s="14">
        <v>1</v>
      </c>
      <c r="BS71" s="14">
        <v>1</v>
      </c>
      <c r="BT71" s="14">
        <v>1</v>
      </c>
      <c r="BU71" s="14">
        <v>1</v>
      </c>
      <c r="BV71" s="14">
        <v>1</v>
      </c>
      <c r="BW71" s="14">
        <v>1</v>
      </c>
      <c r="BX71">
        <v>0.06</v>
      </c>
      <c r="BY71">
        <v>0.06</v>
      </c>
      <c r="BZ71">
        <v>3.5000000000000003E-2</v>
      </c>
      <c r="CA71">
        <v>0.05</v>
      </c>
      <c r="CB71">
        <v>0.05</v>
      </c>
      <c r="CC71">
        <v>0.05</v>
      </c>
      <c r="CD71">
        <f>(CB71+CF71)/2</f>
        <v>3.7500000000000006E-2</v>
      </c>
      <c r="CE71">
        <v>2.5000000000000001E-2</v>
      </c>
      <c r="CF71">
        <v>2.5000000000000001E-2</v>
      </c>
      <c r="CG71">
        <v>2.5000000000000001E-2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f>$EG71*B$3</f>
        <v>0</v>
      </c>
      <c r="EK71">
        <v>0</v>
      </c>
      <c r="EL71">
        <f>$EG71*C$3</f>
        <v>0</v>
      </c>
      <c r="EM71">
        <v>0</v>
      </c>
      <c r="EN71">
        <f>$EG71*D$3</f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f>$EQ71*B$3</f>
        <v>0</v>
      </c>
      <c r="EU71">
        <v>0</v>
      </c>
      <c r="EV71">
        <f>$EQ71*C$3</f>
        <v>0</v>
      </c>
      <c r="EW71">
        <v>0</v>
      </c>
      <c r="EX71">
        <f>$EQ71*D$3</f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6"/>
      <c r="B72" s="12" t="s">
        <v>16</v>
      </c>
      <c r="C72" s="11" t="s">
        <v>277</v>
      </c>
      <c r="D72" s="6" t="s">
        <v>45</v>
      </c>
      <c r="E72" s="9">
        <f t="shared" si="5"/>
        <v>64</v>
      </c>
      <c r="F72" s="13">
        <v>1</v>
      </c>
      <c r="G72" s="13" t="s">
        <v>26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>3*O73</f>
        <v>60000000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0.06</v>
      </c>
      <c r="BY72">
        <v>0.06</v>
      </c>
      <c r="BZ72">
        <v>0.04</v>
      </c>
      <c r="CA72">
        <v>0.05</v>
      </c>
      <c r="CB72">
        <v>0.05</v>
      </c>
      <c r="CC72">
        <v>0.05</v>
      </c>
      <c r="CD72">
        <f>(CB72+CF72)/2</f>
        <v>3.7500000000000006E-2</v>
      </c>
      <c r="CE72">
        <v>2.5000000000000001E-2</v>
      </c>
      <c r="CF72">
        <v>2.5000000000000001E-2</v>
      </c>
      <c r="CG72">
        <v>2.5000000000000001E-2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f>$EQ72*B$3</f>
        <v>0</v>
      </c>
      <c r="EU72">
        <v>0</v>
      </c>
      <c r="EV72">
        <f>$EQ72*C$3</f>
        <v>0</v>
      </c>
      <c r="EW72">
        <v>0</v>
      </c>
      <c r="EX72">
        <f>$EQ72*D$3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106"/>
      <c r="B73" s="12" t="s">
        <v>17</v>
      </c>
      <c r="C73" s="11" t="s">
        <v>277</v>
      </c>
      <c r="D73" s="2" t="s">
        <v>46</v>
      </c>
      <c r="E73" s="9">
        <f t="shared" si="5"/>
        <v>65</v>
      </c>
      <c r="F73" s="13">
        <v>1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20000000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0.2</v>
      </c>
      <c r="AU73" s="14">
        <v>0.1</v>
      </c>
      <c r="AV73" s="14">
        <v>0.1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750</v>
      </c>
      <c r="CI73">
        <v>550</v>
      </c>
      <c r="CJ73">
        <v>300</v>
      </c>
      <c r="CK73">
        <v>648.61538000000007</v>
      </c>
      <c r="CL73">
        <v>180</v>
      </c>
      <c r="CM73">
        <v>148</v>
      </c>
      <c r="CN73">
        <f>(CL73+CQ73)/2</f>
        <v>164</v>
      </c>
      <c r="CO73">
        <v>265.91145</v>
      </c>
      <c r="CP73">
        <v>180</v>
      </c>
      <c r="CQ73">
        <v>148</v>
      </c>
      <c r="CR73">
        <f>CH73*0.02</f>
        <v>15</v>
      </c>
      <c r="CS73">
        <f>CI73*0.015</f>
        <v>8.25</v>
      </c>
      <c r="CT73">
        <f>CJ73*0.015</f>
        <v>4.5</v>
      </c>
      <c r="CU73">
        <f>CK73*0.015</f>
        <v>9.7292307000000005</v>
      </c>
      <c r="CV73">
        <f>CL73*0.015</f>
        <v>2.6999999999999997</v>
      </c>
      <c r="CW73">
        <f>CM73*0.01</f>
        <v>1.48</v>
      </c>
      <c r="CX73">
        <f>CN73*0.015</f>
        <v>2.46</v>
      </c>
      <c r="CY73">
        <f>CO73*0.015</f>
        <v>3.98867175</v>
      </c>
      <c r="CZ73">
        <f>CP73*0.015</f>
        <v>2.6999999999999997</v>
      </c>
      <c r="DA73">
        <f>CQ73*0.01</f>
        <v>1.48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11.908571428571429</v>
      </c>
      <c r="EG73">
        <v>2.6463492063492065</v>
      </c>
      <c r="EH73">
        <v>1.8503884572697002</v>
      </c>
      <c r="EI73">
        <v>0</v>
      </c>
      <c r="EJ73">
        <v>1.5728301886792453</v>
      </c>
      <c r="EK73">
        <v>0</v>
      </c>
      <c r="EL73">
        <v>1.3106918238993712</v>
      </c>
      <c r="EM73">
        <v>0</v>
      </c>
      <c r="EN73">
        <v>1.0485534591194969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2.5999999999999999E-2</v>
      </c>
      <c r="FA73">
        <v>1.7333333333333333E-2</v>
      </c>
      <c r="FB73">
        <v>1.0399999999999998E-2</v>
      </c>
      <c r="FC73">
        <v>0</v>
      </c>
      <c r="FD73">
        <v>1.7333333333333333E-2</v>
      </c>
      <c r="FE73">
        <v>0</v>
      </c>
      <c r="FF73">
        <v>1.7333333333333333E-2</v>
      </c>
      <c r="FG73">
        <v>0</v>
      </c>
      <c r="FH73">
        <v>1.7333333333333333E-2</v>
      </c>
      <c r="FI73">
        <v>0</v>
      </c>
      <c r="FJ73">
        <v>0.19207240142841048</v>
      </c>
      <c r="FK73">
        <v>0.11682954493601999</v>
      </c>
      <c r="FL73">
        <v>0.1096294314987091</v>
      </c>
      <c r="FM73" s="51">
        <v>0.10185220882315059</v>
      </c>
      <c r="FN73" s="51">
        <v>0.10185220882315059</v>
      </c>
      <c r="FO73" s="51">
        <v>0.10185220882315059</v>
      </c>
      <c r="FP73">
        <f>(FN73+FR73)/2</f>
        <v>9.5339821105211428E-2</v>
      </c>
      <c r="FQ73">
        <v>8.8827433387272267E-2</v>
      </c>
      <c r="FR73">
        <v>8.8827433387272267E-2</v>
      </c>
      <c r="FS73">
        <v>8.8827433387272267E-2</v>
      </c>
    </row>
  </sheetData>
  <mergeCells count="22">
    <mergeCell ref="P4:Y4"/>
    <mergeCell ref="A9:A48"/>
    <mergeCell ref="A49:A73"/>
    <mergeCell ref="A4:C4"/>
    <mergeCell ref="D5:D8"/>
    <mergeCell ref="B5:B8"/>
    <mergeCell ref="C5:C8"/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</mergeCells>
  <conditionalFormatting sqref="A2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B2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71"/>
  <sheetViews>
    <sheetView topLeftCell="A4" zoomScale="98" zoomScaleNormal="98" workbookViewId="0">
      <pane xSplit="2" topLeftCell="C1" activePane="topRight" state="frozen"/>
      <selection pane="topRight" activeCell="A25" sqref="A25:XFD25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3.44140625" bestFit="1" customWidth="1"/>
    <col min="11" max="11" width="14.5546875" bestFit="1" customWidth="1"/>
    <col min="16" max="16" width="14.21875" bestFit="1" customWidth="1"/>
    <col min="17" max="17" width="15.21875" bestFit="1" customWidth="1"/>
    <col min="18" max="18" width="15.21875" customWidth="1"/>
  </cols>
  <sheetData>
    <row r="1" spans="1:18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249</v>
      </c>
      <c r="N1" t="s">
        <v>249</v>
      </c>
      <c r="O1" t="s">
        <v>249</v>
      </c>
      <c r="P1" t="s">
        <v>120</v>
      </c>
      <c r="Q1" t="s">
        <v>120</v>
      </c>
      <c r="R1" t="s">
        <v>120</v>
      </c>
    </row>
    <row r="2" spans="1:18" x14ac:dyDescent="0.3">
      <c r="A2" s="53" t="str">
        <f>B22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120</v>
      </c>
      <c r="N2" s="33">
        <v>120</v>
      </c>
      <c r="O2" s="33">
        <v>120</v>
      </c>
      <c r="P2" s="33">
        <v>18.600000000000001</v>
      </c>
      <c r="Q2" s="33">
        <v>18.600000000000001</v>
      </c>
      <c r="R2" s="33">
        <v>18.600000000000001</v>
      </c>
    </row>
    <row r="3" spans="1:18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</row>
    <row r="4" spans="1:18" x14ac:dyDescent="0.3">
      <c r="A4" s="95" t="str">
        <f>B45</f>
        <v>H2 buried pipes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124</v>
      </c>
      <c r="K4" t="s">
        <v>124</v>
      </c>
      <c r="L4" t="s">
        <v>124</v>
      </c>
      <c r="M4" t="s">
        <v>122</v>
      </c>
      <c r="N4" t="s">
        <v>122</v>
      </c>
      <c r="O4" t="s">
        <v>122</v>
      </c>
      <c r="P4" t="s">
        <v>133</v>
      </c>
      <c r="Q4" t="s">
        <v>133</v>
      </c>
      <c r="R4" t="s">
        <v>133</v>
      </c>
    </row>
    <row r="5" spans="1:18" x14ac:dyDescent="0.3">
      <c r="A5" s="3"/>
      <c r="B5" s="5" t="s">
        <v>125</v>
      </c>
      <c r="C5" t="str">
        <f t="shared" ref="C5:K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MeOH_AEC_PS</v>
      </c>
      <c r="K5" t="str">
        <f t="shared" si="0"/>
        <v>MeOH_SOEC_PS</v>
      </c>
      <c r="L5" t="str">
        <f t="shared" ref="L5:N5" si="2">L1&amp;"_"&amp;L3&amp;"_"&amp;L4</f>
        <v>MeOH_Mix_PS</v>
      </c>
      <c r="M5" t="str">
        <f t="shared" si="2"/>
        <v>H2_AEC_None</v>
      </c>
      <c r="N5" t="str">
        <f t="shared" si="2"/>
        <v>H2_SOEC_None</v>
      </c>
      <c r="O5" t="str">
        <f t="shared" ref="O5:R5" si="3">O1&amp;"_"&amp;O3&amp;"_"&amp;O4</f>
        <v>H2_Mix_None</v>
      </c>
      <c r="P5" t="str">
        <f t="shared" si="3"/>
        <v>NH3_AEC_All</v>
      </c>
      <c r="Q5" t="str">
        <f t="shared" si="3"/>
        <v>NH3_SOEC_All</v>
      </c>
      <c r="R5" t="str">
        <f t="shared" si="3"/>
        <v>NH3_Mix_All</v>
      </c>
    </row>
    <row r="6" spans="1:18" x14ac:dyDescent="0.3">
      <c r="A6" s="2">
        <f>ROW(B6)-ROW($A$5)</f>
        <v>1</v>
      </c>
      <c r="B6" s="2" t="str">
        <f>Data_base_case!D9</f>
        <v>CO2 capture DAC</v>
      </c>
      <c r="C6" s="2">
        <f t="shared" ref="C6:N6" si="4">IF(AND(C1="MeOH",C4="DAC"),1,0)</f>
        <v>0</v>
      </c>
      <c r="D6" s="2">
        <f t="shared" si="4"/>
        <v>0</v>
      </c>
      <c r="E6" s="2">
        <f t="shared" si="4"/>
        <v>0</v>
      </c>
      <c r="F6" s="2">
        <f t="shared" ref="F6" si="5">IF(AND(F1="MeOH",F4="DAC"),1,0)</f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0</v>
      </c>
      <c r="K6" s="2">
        <f t="shared" si="4"/>
        <v>0</v>
      </c>
      <c r="L6" s="2">
        <f t="shared" si="4"/>
        <v>0</v>
      </c>
      <c r="M6" s="2">
        <f t="shared" si="4"/>
        <v>0</v>
      </c>
      <c r="N6" s="2">
        <f t="shared" si="4"/>
        <v>0</v>
      </c>
      <c r="O6" s="2">
        <f t="shared" ref="O6:R6" si="6">IF(AND(O1="MeOH",O4="DAC"),1,0)</f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</row>
    <row r="7" spans="1:18" x14ac:dyDescent="0.3">
      <c r="A7" s="2">
        <f t="shared" ref="A7:A70" si="7">ROW(B7)-ROW($A$5)</f>
        <v>2</v>
      </c>
      <c r="B7" s="2" t="str">
        <f>Data_base_case!D10</f>
        <v>CO2 capture PS</v>
      </c>
      <c r="C7" s="2">
        <f t="shared" ref="C7:N7" si="8">IF(AND(C1="MeOH",C4="PS"),1,0)</f>
        <v>0</v>
      </c>
      <c r="D7" s="2">
        <f t="shared" si="8"/>
        <v>0</v>
      </c>
      <c r="E7" s="2">
        <f t="shared" si="8"/>
        <v>0</v>
      </c>
      <c r="F7" s="2">
        <f t="shared" ref="F7" si="9">IF(AND(F1="MeOH",F4="PS"),1,0)</f>
        <v>0</v>
      </c>
      <c r="G7" s="2">
        <f t="shared" si="8"/>
        <v>0</v>
      </c>
      <c r="H7" s="2">
        <f t="shared" si="8"/>
        <v>0</v>
      </c>
      <c r="I7" s="2">
        <f t="shared" si="8"/>
        <v>0</v>
      </c>
      <c r="J7" s="2">
        <f t="shared" si="8"/>
        <v>1</v>
      </c>
      <c r="K7" s="2">
        <f t="shared" si="8"/>
        <v>1</v>
      </c>
      <c r="L7" s="2">
        <f t="shared" si="8"/>
        <v>1</v>
      </c>
      <c r="M7" s="2">
        <f t="shared" si="8"/>
        <v>0</v>
      </c>
      <c r="N7" s="2">
        <f t="shared" si="8"/>
        <v>0</v>
      </c>
      <c r="O7" s="2">
        <f t="shared" ref="O7:R7" si="10">IF(AND(O1="MeOH",O4="PS"),1,0)</f>
        <v>0</v>
      </c>
      <c r="P7" s="2">
        <f t="shared" si="10"/>
        <v>0</v>
      </c>
      <c r="Q7" s="2">
        <f t="shared" si="10"/>
        <v>0</v>
      </c>
      <c r="R7" s="2">
        <f t="shared" si="10"/>
        <v>0</v>
      </c>
    </row>
    <row r="8" spans="1:18" x14ac:dyDescent="0.3">
      <c r="A8" s="2">
        <f t="shared" si="7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N8" si="11">IF(AND(D1="MeOH"),1,0)</f>
        <v>0</v>
      </c>
      <c r="E8" s="2">
        <f t="shared" si="11"/>
        <v>0</v>
      </c>
      <c r="F8" s="2">
        <f t="shared" ref="F8" si="12">IF(AND(F1="MeOH"),1,0)</f>
        <v>0</v>
      </c>
      <c r="G8" s="2">
        <f t="shared" si="11"/>
        <v>0</v>
      </c>
      <c r="H8" s="2">
        <f t="shared" si="11"/>
        <v>0</v>
      </c>
      <c r="I8" s="2">
        <f t="shared" si="11"/>
        <v>0</v>
      </c>
      <c r="J8" s="2">
        <f t="shared" si="11"/>
        <v>1</v>
      </c>
      <c r="K8" s="2">
        <f t="shared" si="11"/>
        <v>1</v>
      </c>
      <c r="L8" s="2">
        <f t="shared" si="11"/>
        <v>1</v>
      </c>
      <c r="M8" s="2">
        <f t="shared" si="11"/>
        <v>0</v>
      </c>
      <c r="N8" s="2">
        <f t="shared" si="11"/>
        <v>0</v>
      </c>
      <c r="O8" s="2">
        <f t="shared" ref="O8:R8" si="13">IF(AND(O1="MeOH"),1,0)</f>
        <v>0</v>
      </c>
      <c r="P8" s="2">
        <f t="shared" si="13"/>
        <v>0</v>
      </c>
      <c r="Q8" s="2">
        <f t="shared" si="13"/>
        <v>0</v>
      </c>
      <c r="R8" s="2">
        <f t="shared" si="13"/>
        <v>0</v>
      </c>
    </row>
    <row r="9" spans="1:18" x14ac:dyDescent="0.3">
      <c r="A9" s="2">
        <f t="shared" si="7"/>
        <v>4</v>
      </c>
      <c r="B9" s="2" t="str">
        <f>Data_base_case!D12</f>
        <v>Biomass bamboo 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">
      <c r="A10" s="2">
        <f t="shared" si="7"/>
        <v>5</v>
      </c>
      <c r="B10" s="2" t="str">
        <f>Data_base_case!D13</f>
        <v>Biomass bamboo 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">
      <c r="A11" s="2">
        <f t="shared" si="7"/>
        <v>6</v>
      </c>
      <c r="B11" s="2" t="str">
        <f>Data_base_case!D14</f>
        <v>Biomass wheat 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">
      <c r="A12" s="2">
        <f t="shared" si="7"/>
        <v>7</v>
      </c>
      <c r="B12" s="2" t="str">
        <f>Data_base_case!D15</f>
        <v>Biomass wheat 1</v>
      </c>
      <c r="C12" s="2">
        <v>0</v>
      </c>
      <c r="D12" s="2">
        <v>0</v>
      </c>
      <c r="E12" s="2">
        <v>0</v>
      </c>
      <c r="F12" s="2">
        <v>1</v>
      </c>
      <c r="G12" s="2">
        <f t="shared" ref="G12:L12" si="14">IF(G1="Bio-eMeOH",1,0)</f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K12" s="2">
        <f t="shared" si="14"/>
        <v>0</v>
      </c>
      <c r="L12" s="2">
        <f t="shared" si="14"/>
        <v>0</v>
      </c>
      <c r="M12" s="2">
        <f t="shared" ref="M12:N12" si="15">IF(M1="Bio-eMeOH",1,0)</f>
        <v>0</v>
      </c>
      <c r="N12" s="2">
        <f t="shared" si="15"/>
        <v>0</v>
      </c>
      <c r="O12" s="2">
        <f t="shared" ref="O12:R12" si="16">IF(O1="Bio-eMeOH",1,0)</f>
        <v>0</v>
      </c>
      <c r="P12" s="2">
        <f t="shared" si="16"/>
        <v>0</v>
      </c>
      <c r="Q12" s="2">
        <f t="shared" si="16"/>
        <v>0</v>
      </c>
      <c r="R12" s="2">
        <f t="shared" si="16"/>
        <v>0</v>
      </c>
    </row>
    <row r="13" spans="1:18" x14ac:dyDescent="0.3">
      <c r="A13" s="2">
        <f t="shared" si="7"/>
        <v>8</v>
      </c>
      <c r="B13" s="2" t="str">
        <f>Data_base_case!D16</f>
        <v>Sale of biochar</v>
      </c>
      <c r="C13" s="2">
        <v>1</v>
      </c>
      <c r="D13" s="2">
        <v>1</v>
      </c>
      <c r="E13" s="2">
        <v>1</v>
      </c>
      <c r="F13" s="2">
        <v>1</v>
      </c>
      <c r="G13" s="2">
        <f t="shared" ref="G13:L13" si="17">IF(G2="Bio-eMeOH",1,0)</f>
        <v>0</v>
      </c>
      <c r="H13" s="2">
        <f t="shared" si="17"/>
        <v>0</v>
      </c>
      <c r="I13" s="2">
        <f t="shared" si="17"/>
        <v>0</v>
      </c>
      <c r="J13" s="2">
        <f t="shared" si="17"/>
        <v>0</v>
      </c>
      <c r="K13" s="2">
        <f t="shared" si="17"/>
        <v>0</v>
      </c>
      <c r="L13" s="2">
        <f t="shared" si="17"/>
        <v>0</v>
      </c>
      <c r="M13" s="2">
        <f>IF(M2="Bio-eMeOH",1,0)</f>
        <v>0</v>
      </c>
      <c r="N13" s="2">
        <f>IF(N2="Bio-eMeOH",1,0)</f>
        <v>0</v>
      </c>
      <c r="O13" s="2">
        <f>IF(O2="Bio-eMeOH",1,0)</f>
        <v>0</v>
      </c>
      <c r="P13" s="2">
        <f t="shared" ref="P13:R13" si="18">IF(P2="Bio-eMeOH",1,0)</f>
        <v>0</v>
      </c>
      <c r="Q13" s="2">
        <f t="shared" si="18"/>
        <v>0</v>
      </c>
      <c r="R13" s="2">
        <f t="shared" si="18"/>
        <v>0</v>
      </c>
    </row>
    <row r="14" spans="1:18" x14ac:dyDescent="0.3">
      <c r="A14" s="2">
        <f t="shared" si="7"/>
        <v>9</v>
      </c>
      <c r="B14" s="2" t="str">
        <f>Data_base_case!D17</f>
        <v>Bamboo2-stage-SOEC</v>
      </c>
      <c r="C14" s="2">
        <f>IF(AND(C1="DME-B2",C3="SOEC"),1,0)</f>
        <v>1</v>
      </c>
      <c r="D14" s="2">
        <f t="shared" ref="D14:N14" si="19">IF(AND(D1="DME-B2",D3="SOEC"),1,0)</f>
        <v>0</v>
      </c>
      <c r="E14" s="2">
        <f t="shared" si="19"/>
        <v>0</v>
      </c>
      <c r="F14" s="2">
        <f t="shared" si="19"/>
        <v>0</v>
      </c>
      <c r="G14" s="2">
        <f t="shared" si="19"/>
        <v>0</v>
      </c>
      <c r="H14" s="2">
        <f t="shared" si="19"/>
        <v>0</v>
      </c>
      <c r="I14" s="2">
        <f t="shared" si="19"/>
        <v>0</v>
      </c>
      <c r="J14" s="2">
        <f t="shared" si="19"/>
        <v>0</v>
      </c>
      <c r="K14" s="2">
        <f t="shared" si="19"/>
        <v>0</v>
      </c>
      <c r="L14" s="2">
        <f t="shared" si="19"/>
        <v>0</v>
      </c>
      <c r="M14" s="2">
        <f t="shared" si="19"/>
        <v>0</v>
      </c>
      <c r="N14" s="2">
        <f t="shared" si="19"/>
        <v>0</v>
      </c>
      <c r="O14" s="2">
        <f t="shared" ref="O14:R14" si="20">IF(AND(O1="DME-B2",O3="SOEC"),1,0)</f>
        <v>0</v>
      </c>
      <c r="P14" s="2">
        <f t="shared" si="20"/>
        <v>0</v>
      </c>
      <c r="Q14" s="2">
        <f t="shared" si="20"/>
        <v>0</v>
      </c>
      <c r="R14" s="2">
        <f t="shared" si="20"/>
        <v>0</v>
      </c>
    </row>
    <row r="15" spans="1:18" x14ac:dyDescent="0.3">
      <c r="A15" s="2">
        <f t="shared" si="7"/>
        <v>10</v>
      </c>
      <c r="B15" s="2" t="str">
        <f>Data_base_case!D18</f>
        <v>Bamboo1-stage-SOEC</v>
      </c>
      <c r="C15" s="2">
        <f>IF(AND(C1="DME-B1",C3="SOEC"),1,0)</f>
        <v>0</v>
      </c>
      <c r="D15" s="2">
        <f t="shared" ref="D15:N15" si="21">IF(AND(D1="DME-B1",D3="SOEC"),1,0)</f>
        <v>1</v>
      </c>
      <c r="E15" s="2">
        <f t="shared" si="21"/>
        <v>0</v>
      </c>
      <c r="F15" s="2">
        <f t="shared" si="21"/>
        <v>0</v>
      </c>
      <c r="G15" s="2">
        <f t="shared" si="21"/>
        <v>0</v>
      </c>
      <c r="H15" s="2">
        <f t="shared" si="21"/>
        <v>0</v>
      </c>
      <c r="I15" s="2">
        <f t="shared" si="21"/>
        <v>0</v>
      </c>
      <c r="J15" s="2">
        <f t="shared" si="21"/>
        <v>0</v>
      </c>
      <c r="K15" s="2">
        <f t="shared" si="21"/>
        <v>0</v>
      </c>
      <c r="L15" s="2">
        <f t="shared" si="21"/>
        <v>0</v>
      </c>
      <c r="M15" s="2">
        <f t="shared" si="21"/>
        <v>0</v>
      </c>
      <c r="N15" s="2">
        <f t="shared" si="21"/>
        <v>0</v>
      </c>
      <c r="O15" s="2">
        <f t="shared" ref="O15:R15" si="22">IF(AND(O1="DME-B1",O3="SOEC"),1,0)</f>
        <v>0</v>
      </c>
      <c r="P15" s="2">
        <f t="shared" si="22"/>
        <v>0</v>
      </c>
      <c r="Q15" s="2">
        <f t="shared" si="22"/>
        <v>0</v>
      </c>
      <c r="R15" s="2">
        <f t="shared" si="22"/>
        <v>0</v>
      </c>
    </row>
    <row r="16" spans="1:18" x14ac:dyDescent="0.3">
      <c r="A16" s="2">
        <f t="shared" si="7"/>
        <v>11</v>
      </c>
      <c r="B16" s="2" t="str">
        <f>Data_base_case!D19</f>
        <v>Wheat2-stage-SOEC</v>
      </c>
      <c r="C16" s="2">
        <f>IF(AND(C1="DME-W2",C3="SOEC"),1,0)</f>
        <v>0</v>
      </c>
      <c r="D16" s="2">
        <f t="shared" ref="D16:N16" si="23">IF(AND(D1="DME-W2",D3="SOEC"),1,0)</f>
        <v>0</v>
      </c>
      <c r="E16" s="2">
        <f t="shared" si="23"/>
        <v>1</v>
      </c>
      <c r="F16" s="2">
        <f t="shared" si="23"/>
        <v>0</v>
      </c>
      <c r="G16" s="2">
        <f t="shared" si="23"/>
        <v>0</v>
      </c>
      <c r="H16" s="2">
        <f t="shared" si="23"/>
        <v>0</v>
      </c>
      <c r="I16" s="2">
        <f t="shared" si="23"/>
        <v>0</v>
      </c>
      <c r="J16" s="2">
        <f t="shared" si="23"/>
        <v>0</v>
      </c>
      <c r="K16" s="2">
        <f t="shared" si="23"/>
        <v>0</v>
      </c>
      <c r="L16" s="2">
        <f t="shared" si="23"/>
        <v>0</v>
      </c>
      <c r="M16" s="2">
        <f t="shared" si="23"/>
        <v>0</v>
      </c>
      <c r="N16" s="2">
        <f t="shared" si="23"/>
        <v>0</v>
      </c>
      <c r="O16" s="2">
        <f t="shared" ref="O16:R16" si="24">IF(AND(O1="DME-W2",O3="SOEC"),1,0)</f>
        <v>0</v>
      </c>
      <c r="P16" s="2">
        <f t="shared" si="24"/>
        <v>0</v>
      </c>
      <c r="Q16" s="2">
        <f t="shared" si="24"/>
        <v>0</v>
      </c>
      <c r="R16" s="2">
        <f t="shared" si="24"/>
        <v>0</v>
      </c>
    </row>
    <row r="17" spans="1:18" x14ac:dyDescent="0.3">
      <c r="A17" s="2">
        <f t="shared" si="7"/>
        <v>12</v>
      </c>
      <c r="B17" s="2" t="str">
        <f>Data_base_case!D20</f>
        <v>Wheat1-stage-SOEC</v>
      </c>
      <c r="C17" s="2">
        <f>IF(AND(C1="DME-W1",C3="SOEC"),1,0)</f>
        <v>0</v>
      </c>
      <c r="D17" s="2">
        <f t="shared" ref="D17:N17" si="25">IF(AND(D1="DME-W1",D3="SOEC"),1,0)</f>
        <v>0</v>
      </c>
      <c r="E17" s="2">
        <f t="shared" si="25"/>
        <v>0</v>
      </c>
      <c r="F17" s="2">
        <f t="shared" si="25"/>
        <v>1</v>
      </c>
      <c r="G17" s="2">
        <f t="shared" si="25"/>
        <v>0</v>
      </c>
      <c r="H17" s="2">
        <f t="shared" si="25"/>
        <v>0</v>
      </c>
      <c r="I17" s="2">
        <f t="shared" si="25"/>
        <v>0</v>
      </c>
      <c r="J17" s="2">
        <f t="shared" si="25"/>
        <v>0</v>
      </c>
      <c r="K17" s="2">
        <f t="shared" si="25"/>
        <v>0</v>
      </c>
      <c r="L17" s="2">
        <f t="shared" si="25"/>
        <v>0</v>
      </c>
      <c r="M17" s="2">
        <f t="shared" si="25"/>
        <v>0</v>
      </c>
      <c r="N17" s="2">
        <f t="shared" si="25"/>
        <v>0</v>
      </c>
      <c r="O17" s="2">
        <f t="shared" ref="O17:R17" si="26">IF(AND(O1="DME-W1",O3="SOEC"),1,0)</f>
        <v>0</v>
      </c>
      <c r="P17" s="2">
        <f t="shared" si="26"/>
        <v>0</v>
      </c>
      <c r="Q17" s="2">
        <f t="shared" si="26"/>
        <v>0</v>
      </c>
      <c r="R17" s="2">
        <f t="shared" si="26"/>
        <v>0</v>
      </c>
    </row>
    <row r="18" spans="1:18" x14ac:dyDescent="0.3">
      <c r="A18" s="2">
        <f t="shared" si="7"/>
        <v>13</v>
      </c>
      <c r="B18" s="2" t="str">
        <f>Data_base_case!D21</f>
        <v>NH3 plant + ASU - AEC</v>
      </c>
      <c r="C18" s="2">
        <f t="shared" ref="C18:N18" si="27">IF(AND(C1="NH3",C3="AEC"),1,0)</f>
        <v>0</v>
      </c>
      <c r="D18" s="2">
        <f t="shared" si="27"/>
        <v>0</v>
      </c>
      <c r="E18" s="2">
        <f t="shared" si="27"/>
        <v>0</v>
      </c>
      <c r="F18" s="2">
        <f t="shared" si="27"/>
        <v>0</v>
      </c>
      <c r="G18" s="2">
        <f t="shared" si="27"/>
        <v>1</v>
      </c>
      <c r="H18" s="2">
        <f t="shared" si="27"/>
        <v>0</v>
      </c>
      <c r="I18" s="2">
        <f t="shared" si="27"/>
        <v>0</v>
      </c>
      <c r="J18" s="2">
        <f t="shared" si="27"/>
        <v>0</v>
      </c>
      <c r="K18" s="2">
        <f t="shared" si="27"/>
        <v>0</v>
      </c>
      <c r="L18" s="2">
        <f t="shared" si="27"/>
        <v>0</v>
      </c>
      <c r="M18" s="2">
        <f t="shared" si="27"/>
        <v>0</v>
      </c>
      <c r="N18" s="2">
        <f t="shared" si="27"/>
        <v>0</v>
      </c>
      <c r="O18" s="2">
        <f t="shared" ref="O18:R18" si="28">IF(AND(O1="NH3",O3="AEC"),1,0)</f>
        <v>0</v>
      </c>
      <c r="P18" s="2">
        <f t="shared" si="28"/>
        <v>1</v>
      </c>
      <c r="Q18" s="2">
        <f t="shared" si="28"/>
        <v>0</v>
      </c>
      <c r="R18" s="2">
        <f t="shared" si="28"/>
        <v>0</v>
      </c>
    </row>
    <row r="19" spans="1:18" x14ac:dyDescent="0.3">
      <c r="A19" s="2">
        <f t="shared" si="7"/>
        <v>14</v>
      </c>
      <c r="B19" s="2" t="str">
        <f>Data_base_case!D22</f>
        <v>NH3 plant + ASU - SOEC</v>
      </c>
      <c r="C19" s="2">
        <f>IF(AND(C1="NH3",C3&lt;&gt;"AEC"),1,0)</f>
        <v>0</v>
      </c>
      <c r="D19" s="2">
        <f t="shared" ref="D19:N19" si="29">IF(AND(D1="NH3",D3&lt;&gt;"AEC"),1,0)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1</v>
      </c>
      <c r="I19" s="2">
        <f t="shared" si="29"/>
        <v>1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ref="O19:R19" si="30">IF(AND(O1="NH3",O3&lt;&gt;"AEC"),1,0)</f>
        <v>0</v>
      </c>
      <c r="P19" s="2">
        <f t="shared" si="30"/>
        <v>0</v>
      </c>
      <c r="Q19" s="2">
        <f t="shared" si="30"/>
        <v>1</v>
      </c>
      <c r="R19" s="2">
        <f t="shared" si="30"/>
        <v>1</v>
      </c>
    </row>
    <row r="20" spans="1:18" x14ac:dyDescent="0.3">
      <c r="A20" s="2">
        <f t="shared" si="7"/>
        <v>15</v>
      </c>
      <c r="B20" s="2" t="str">
        <f>Data_base_case!D23</f>
        <v>H2 client</v>
      </c>
      <c r="C20" s="2">
        <f t="shared" ref="C20:N20" si="31">IF(C1&lt;&gt;"H2",0,1)</f>
        <v>0</v>
      </c>
      <c r="D20" s="2">
        <f t="shared" si="31"/>
        <v>0</v>
      </c>
      <c r="E20" s="2">
        <f t="shared" si="31"/>
        <v>0</v>
      </c>
      <c r="F20" s="2">
        <f t="shared" si="31"/>
        <v>0</v>
      </c>
      <c r="G20" s="2">
        <f t="shared" si="31"/>
        <v>0</v>
      </c>
      <c r="H20" s="2">
        <f t="shared" si="31"/>
        <v>0</v>
      </c>
      <c r="I20" s="2">
        <f t="shared" si="31"/>
        <v>0</v>
      </c>
      <c r="J20" s="2">
        <f t="shared" si="31"/>
        <v>0</v>
      </c>
      <c r="K20" s="2">
        <f t="shared" si="31"/>
        <v>0</v>
      </c>
      <c r="L20" s="2">
        <f t="shared" si="31"/>
        <v>0</v>
      </c>
      <c r="M20" s="2">
        <f t="shared" si="31"/>
        <v>1</v>
      </c>
      <c r="N20" s="2">
        <f t="shared" si="31"/>
        <v>1</v>
      </c>
      <c r="O20" s="2">
        <f t="shared" ref="O20:R20" si="32">IF(O1&lt;&gt;"H2",0,1)</f>
        <v>1</v>
      </c>
      <c r="P20" s="2">
        <f t="shared" si="32"/>
        <v>0</v>
      </c>
      <c r="Q20" s="2">
        <f t="shared" si="32"/>
        <v>0</v>
      </c>
      <c r="R20" s="2">
        <f t="shared" si="32"/>
        <v>0</v>
      </c>
    </row>
    <row r="21" spans="1:18" x14ac:dyDescent="0.3">
      <c r="A21" s="2">
        <f t="shared" si="7"/>
        <v>16</v>
      </c>
      <c r="B21" s="2" t="str">
        <f>Data_base_case!D24</f>
        <v>Desalination plant</v>
      </c>
      <c r="C21" s="2">
        <f>IF($A$2=$B21,1,0)</f>
        <v>0</v>
      </c>
      <c r="D21" s="2">
        <f t="shared" ref="D21:R21" si="33">IF($A$2=$B21,1,0)</f>
        <v>0</v>
      </c>
      <c r="E21" s="2">
        <f t="shared" si="33"/>
        <v>0</v>
      </c>
      <c r="F21" s="2">
        <f t="shared" si="33"/>
        <v>0</v>
      </c>
      <c r="G21" s="2">
        <f t="shared" si="33"/>
        <v>0</v>
      </c>
      <c r="H21" s="2">
        <f t="shared" si="33"/>
        <v>0</v>
      </c>
      <c r="I21" s="2">
        <f t="shared" si="33"/>
        <v>0</v>
      </c>
      <c r="J21" s="2">
        <f t="shared" si="33"/>
        <v>0</v>
      </c>
      <c r="K21" s="2">
        <f t="shared" si="33"/>
        <v>0</v>
      </c>
      <c r="L21" s="2">
        <f t="shared" si="33"/>
        <v>0</v>
      </c>
      <c r="M21" s="2">
        <f t="shared" si="33"/>
        <v>0</v>
      </c>
      <c r="N21" s="2">
        <f t="shared" si="33"/>
        <v>0</v>
      </c>
      <c r="O21" s="2">
        <f t="shared" si="33"/>
        <v>0</v>
      </c>
      <c r="P21" s="2">
        <f t="shared" si="33"/>
        <v>0</v>
      </c>
      <c r="Q21" s="2">
        <f t="shared" si="33"/>
        <v>0</v>
      </c>
      <c r="R21" s="2">
        <f t="shared" si="33"/>
        <v>0</v>
      </c>
    </row>
    <row r="22" spans="1:18" x14ac:dyDescent="0.3">
      <c r="A22" s="2">
        <f t="shared" si="7"/>
        <v>17</v>
      </c>
      <c r="B22" s="2" t="str">
        <f>Data_base_case!D25</f>
        <v>Waste water plant</v>
      </c>
      <c r="C22" s="2">
        <f t="shared" ref="C22:R23" si="34">IF($A$2=$B22,1,0)</f>
        <v>1</v>
      </c>
      <c r="D22" s="2">
        <f t="shared" si="34"/>
        <v>1</v>
      </c>
      <c r="E22" s="2">
        <f t="shared" si="34"/>
        <v>1</v>
      </c>
      <c r="F22" s="2">
        <f t="shared" si="34"/>
        <v>1</v>
      </c>
      <c r="G22" s="2">
        <f t="shared" si="34"/>
        <v>1</v>
      </c>
      <c r="H22" s="2">
        <f t="shared" si="34"/>
        <v>1</v>
      </c>
      <c r="I22" s="2">
        <f t="shared" si="34"/>
        <v>1</v>
      </c>
      <c r="J22" s="2">
        <f t="shared" si="34"/>
        <v>1</v>
      </c>
      <c r="K22" s="2">
        <f t="shared" si="34"/>
        <v>1</v>
      </c>
      <c r="L22" s="2">
        <f t="shared" si="34"/>
        <v>1</v>
      </c>
      <c r="M22" s="2">
        <f t="shared" si="34"/>
        <v>1</v>
      </c>
      <c r="N22" s="2">
        <f t="shared" si="34"/>
        <v>1</v>
      </c>
      <c r="O22" s="2">
        <f t="shared" si="34"/>
        <v>1</v>
      </c>
      <c r="P22" s="2">
        <f t="shared" si="34"/>
        <v>1</v>
      </c>
      <c r="Q22" s="2">
        <f t="shared" si="34"/>
        <v>1</v>
      </c>
      <c r="R22" s="2">
        <f t="shared" si="34"/>
        <v>1</v>
      </c>
    </row>
    <row r="23" spans="1:18" x14ac:dyDescent="0.3">
      <c r="A23" s="2">
        <f t="shared" si="7"/>
        <v>18</v>
      </c>
      <c r="B23" s="2" t="str">
        <f>Data_base_case!D26</f>
        <v>Drinking water</v>
      </c>
      <c r="C23" s="2">
        <f t="shared" si="34"/>
        <v>0</v>
      </c>
      <c r="D23" s="2">
        <f t="shared" si="34"/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R23" s="2">
        <f t="shared" si="34"/>
        <v>0</v>
      </c>
    </row>
    <row r="24" spans="1:18" x14ac:dyDescent="0.3">
      <c r="A24" s="2">
        <f t="shared" si="7"/>
        <v>19</v>
      </c>
      <c r="B24" s="2" t="str">
        <f>Data_base_case!D27</f>
        <v>Electrolysers AEC</v>
      </c>
      <c r="C24" s="2">
        <f t="shared" ref="C24:N24" si="35">IF(C3="AEC",1,0)</f>
        <v>0</v>
      </c>
      <c r="D24" s="2">
        <f t="shared" si="35"/>
        <v>0</v>
      </c>
      <c r="E24" s="2">
        <f t="shared" si="35"/>
        <v>0</v>
      </c>
      <c r="F24" s="2">
        <f t="shared" si="35"/>
        <v>0</v>
      </c>
      <c r="G24" s="2">
        <f t="shared" si="35"/>
        <v>1</v>
      </c>
      <c r="H24" s="2">
        <f t="shared" si="35"/>
        <v>0</v>
      </c>
      <c r="I24" s="2">
        <f t="shared" si="35"/>
        <v>0</v>
      </c>
      <c r="J24" s="2">
        <f t="shared" si="35"/>
        <v>1</v>
      </c>
      <c r="K24" s="2">
        <f t="shared" si="35"/>
        <v>0</v>
      </c>
      <c r="L24" s="2">
        <f t="shared" si="35"/>
        <v>0</v>
      </c>
      <c r="M24" s="2">
        <f t="shared" si="35"/>
        <v>1</v>
      </c>
      <c r="N24" s="2">
        <f t="shared" si="35"/>
        <v>0</v>
      </c>
      <c r="O24" s="2">
        <f t="shared" ref="O24:R24" si="36">IF(O3="AEC",1,0)</f>
        <v>0</v>
      </c>
      <c r="P24" s="2">
        <f t="shared" si="36"/>
        <v>1</v>
      </c>
      <c r="Q24" s="2">
        <f t="shared" si="36"/>
        <v>0</v>
      </c>
      <c r="R24" s="2">
        <f t="shared" si="36"/>
        <v>0</v>
      </c>
    </row>
    <row r="25" spans="1:18" x14ac:dyDescent="0.3">
      <c r="A25" s="2">
        <f t="shared" si="7"/>
        <v>20</v>
      </c>
      <c r="B25" s="2" t="str">
        <f>Data_base_case!D28</f>
        <v>Electrolysers SOEC heat integrated</v>
      </c>
      <c r="C25" s="2">
        <f>IF(AND(C3="SOEC",OR(C1="DME-B2",C1="DME-B1",C1="DME-W2",C1="DME-W1",C1="NH3")),1,0)</f>
        <v>1</v>
      </c>
      <c r="D25" s="2">
        <f t="shared" ref="D25:N25" si="37">IF(AND(D3="SOEC",OR(D1="DME-B2",D1="DME-B1",D1="DME-W2",D1="DME-W1",D1="NH3")),1,0)</f>
        <v>1</v>
      </c>
      <c r="E25" s="2">
        <f t="shared" si="37"/>
        <v>1</v>
      </c>
      <c r="F25" s="2">
        <f t="shared" si="37"/>
        <v>1</v>
      </c>
      <c r="G25" s="2">
        <f t="shared" si="37"/>
        <v>0</v>
      </c>
      <c r="H25" s="2">
        <f t="shared" si="37"/>
        <v>1</v>
      </c>
      <c r="I25" s="2">
        <f t="shared" si="37"/>
        <v>0</v>
      </c>
      <c r="J25" s="2">
        <f t="shared" si="37"/>
        <v>0</v>
      </c>
      <c r="K25" s="2">
        <f t="shared" si="37"/>
        <v>0</v>
      </c>
      <c r="L25" s="2">
        <f t="shared" si="37"/>
        <v>0</v>
      </c>
      <c r="M25" s="2">
        <f t="shared" si="37"/>
        <v>0</v>
      </c>
      <c r="N25" s="2">
        <f t="shared" si="37"/>
        <v>0</v>
      </c>
      <c r="O25" s="2">
        <f t="shared" ref="O25:R25" si="38">IF(AND(O3="SOEC",OR(O1="DME-B2",O1="DME-B1",O1="DME-W2",O1="DME-W1",O1="NH3")),1,0)</f>
        <v>0</v>
      </c>
      <c r="P25" s="2">
        <f t="shared" si="38"/>
        <v>0</v>
      </c>
      <c r="Q25" s="2">
        <f t="shared" si="38"/>
        <v>1</v>
      </c>
      <c r="R25" s="2">
        <f t="shared" si="38"/>
        <v>0</v>
      </c>
    </row>
    <row r="26" spans="1:18" x14ac:dyDescent="0.3">
      <c r="A26" s="2">
        <f t="shared" si="7"/>
        <v>21</v>
      </c>
      <c r="B26" s="2" t="str">
        <f>Data_base_case!D29</f>
        <v>Electrolysers SOEC alone</v>
      </c>
      <c r="C26" s="2">
        <f t="shared" ref="C26:N26" si="39">IF(AND(C3="SOEC",OR(C1="MeOH",C1="H2")),1,0)</f>
        <v>0</v>
      </c>
      <c r="D26" s="2">
        <f t="shared" si="39"/>
        <v>0</v>
      </c>
      <c r="E26" s="2">
        <f t="shared" si="39"/>
        <v>0</v>
      </c>
      <c r="F26" s="2">
        <f t="shared" si="39"/>
        <v>0</v>
      </c>
      <c r="G26" s="2">
        <f t="shared" si="39"/>
        <v>0</v>
      </c>
      <c r="H26" s="2">
        <f t="shared" si="39"/>
        <v>0</v>
      </c>
      <c r="I26" s="2">
        <f t="shared" si="39"/>
        <v>0</v>
      </c>
      <c r="J26" s="2">
        <f t="shared" si="39"/>
        <v>0</v>
      </c>
      <c r="K26" s="2">
        <f t="shared" si="39"/>
        <v>1</v>
      </c>
      <c r="L26" s="2">
        <f t="shared" si="39"/>
        <v>0</v>
      </c>
      <c r="M26" s="2">
        <f t="shared" si="39"/>
        <v>0</v>
      </c>
      <c r="N26" s="2">
        <f t="shared" si="39"/>
        <v>1</v>
      </c>
      <c r="O26" s="2">
        <f t="shared" ref="O26:R26" si="40">IF(AND(O3="SOEC",OR(O1="MeOH",O1="H2")),1,0)</f>
        <v>0</v>
      </c>
      <c r="P26" s="2">
        <f t="shared" si="40"/>
        <v>0</v>
      </c>
      <c r="Q26" s="2">
        <f t="shared" si="40"/>
        <v>0</v>
      </c>
      <c r="R26" s="2">
        <f t="shared" si="40"/>
        <v>0</v>
      </c>
    </row>
    <row r="27" spans="1:18" x14ac:dyDescent="0.3">
      <c r="A27" s="2">
        <f t="shared" si="7"/>
        <v>22</v>
      </c>
      <c r="B27" s="2" t="str">
        <f>Data_base_case!D30</f>
        <v>Electrolysers 75AEC-25SOEC_HI</v>
      </c>
      <c r="C27" s="2">
        <f t="shared" ref="C27:N27" si="41">IF(AND(C3="Mix",OR(C1="Bio-eMeOH",C1="NH3")),1,0)</f>
        <v>0</v>
      </c>
      <c r="D27" s="2">
        <f t="shared" si="41"/>
        <v>0</v>
      </c>
      <c r="E27" s="2">
        <f t="shared" si="41"/>
        <v>0</v>
      </c>
      <c r="F27" s="2">
        <f t="shared" si="41"/>
        <v>0</v>
      </c>
      <c r="G27" s="2">
        <f t="shared" si="41"/>
        <v>0</v>
      </c>
      <c r="H27" s="2">
        <f t="shared" si="41"/>
        <v>0</v>
      </c>
      <c r="I27" s="2">
        <f t="shared" si="41"/>
        <v>1</v>
      </c>
      <c r="J27" s="2">
        <f t="shared" si="41"/>
        <v>0</v>
      </c>
      <c r="K27" s="2">
        <f t="shared" si="41"/>
        <v>0</v>
      </c>
      <c r="L27" s="2">
        <f t="shared" si="41"/>
        <v>0</v>
      </c>
      <c r="M27" s="2">
        <f t="shared" si="41"/>
        <v>0</v>
      </c>
      <c r="N27" s="2">
        <f t="shared" si="41"/>
        <v>0</v>
      </c>
      <c r="O27" s="2">
        <f t="shared" ref="O27:R27" si="42">IF(AND(O3="Mix",OR(O1="Bio-eMeOH",O1="NH3")),1,0)</f>
        <v>0</v>
      </c>
      <c r="P27" s="2">
        <f t="shared" si="42"/>
        <v>0</v>
      </c>
      <c r="Q27" s="2">
        <f t="shared" si="42"/>
        <v>0</v>
      </c>
      <c r="R27" s="2">
        <f t="shared" si="42"/>
        <v>1</v>
      </c>
    </row>
    <row r="28" spans="1:18" x14ac:dyDescent="0.3">
      <c r="A28" s="2">
        <f t="shared" si="7"/>
        <v>23</v>
      </c>
      <c r="B28" s="2" t="str">
        <f>Data_base_case!D31</f>
        <v>Electrolysers 75AEC-25SOEC_A</v>
      </c>
      <c r="C28" s="2">
        <f t="shared" ref="C28:N28" si="43">IF(AND(C3="Mix",OR(C1="MeOH",C1="H2")),1,0)</f>
        <v>0</v>
      </c>
      <c r="D28" s="2">
        <f t="shared" si="43"/>
        <v>0</v>
      </c>
      <c r="E28" s="2">
        <f t="shared" si="43"/>
        <v>0</v>
      </c>
      <c r="F28" s="2">
        <f t="shared" si="43"/>
        <v>0</v>
      </c>
      <c r="G28" s="2">
        <f t="shared" si="43"/>
        <v>0</v>
      </c>
      <c r="H28" s="2">
        <f t="shared" si="43"/>
        <v>0</v>
      </c>
      <c r="I28" s="2">
        <f t="shared" si="43"/>
        <v>0</v>
      </c>
      <c r="J28" s="2">
        <f t="shared" si="43"/>
        <v>0</v>
      </c>
      <c r="K28" s="2">
        <f t="shared" si="43"/>
        <v>0</v>
      </c>
      <c r="L28" s="2">
        <f t="shared" si="43"/>
        <v>1</v>
      </c>
      <c r="M28" s="2">
        <f t="shared" si="43"/>
        <v>0</v>
      </c>
      <c r="N28" s="2">
        <f t="shared" si="43"/>
        <v>0</v>
      </c>
      <c r="O28" s="2">
        <f t="shared" ref="O28:R28" si="44">IF(AND(O3="Mix",OR(O1="MeOH",O1="H2")),1,0)</f>
        <v>1</v>
      </c>
      <c r="P28" s="2">
        <f t="shared" si="44"/>
        <v>0</v>
      </c>
      <c r="Q28" s="2">
        <f t="shared" si="44"/>
        <v>0</v>
      </c>
      <c r="R28" s="2">
        <f t="shared" si="44"/>
        <v>0</v>
      </c>
    </row>
    <row r="29" spans="1:18" x14ac:dyDescent="0.3">
      <c r="A29" s="2">
        <f t="shared" si="7"/>
        <v>24</v>
      </c>
      <c r="B29" s="2" t="str">
        <f>Data_base_case!D32</f>
        <v>H2 pipeline to MeOH CCU plant</v>
      </c>
      <c r="C29" s="2">
        <f t="shared" ref="C29:N29" si="45">IF(C1="MeOH",1,0)</f>
        <v>0</v>
      </c>
      <c r="D29" s="2">
        <f t="shared" si="45"/>
        <v>0</v>
      </c>
      <c r="E29" s="2">
        <f t="shared" si="45"/>
        <v>0</v>
      </c>
      <c r="F29" s="2">
        <f t="shared" si="45"/>
        <v>0</v>
      </c>
      <c r="G29" s="2">
        <f t="shared" si="45"/>
        <v>0</v>
      </c>
      <c r="H29" s="2">
        <f t="shared" si="45"/>
        <v>0</v>
      </c>
      <c r="I29" s="2">
        <f t="shared" si="45"/>
        <v>0</v>
      </c>
      <c r="J29" s="2">
        <f t="shared" si="45"/>
        <v>1</v>
      </c>
      <c r="K29" s="2">
        <f t="shared" si="45"/>
        <v>1</v>
      </c>
      <c r="L29" s="2">
        <f t="shared" si="45"/>
        <v>1</v>
      </c>
      <c r="M29" s="2">
        <f t="shared" si="45"/>
        <v>0</v>
      </c>
      <c r="N29" s="2">
        <f t="shared" si="45"/>
        <v>0</v>
      </c>
      <c r="O29" s="2">
        <f t="shared" ref="O29:R29" si="46">IF(O1="MeOH",1,0)</f>
        <v>0</v>
      </c>
      <c r="P29" s="2">
        <f t="shared" si="46"/>
        <v>0</v>
      </c>
      <c r="Q29" s="2">
        <f t="shared" si="46"/>
        <v>0</v>
      </c>
      <c r="R29" s="2">
        <f t="shared" si="46"/>
        <v>0</v>
      </c>
    </row>
    <row r="30" spans="1:18" x14ac:dyDescent="0.3">
      <c r="A30" s="2">
        <f t="shared" si="7"/>
        <v>25</v>
      </c>
      <c r="B30" s="2" t="str">
        <f>Data_base_case!D33</f>
        <v>H2 pipeline to Bamboo-2</v>
      </c>
      <c r="C30" s="2">
        <f>C14</f>
        <v>1</v>
      </c>
      <c r="D30" s="2">
        <f t="shared" ref="D30:N30" si="47">D14</f>
        <v>0</v>
      </c>
      <c r="E30" s="2">
        <f t="shared" si="47"/>
        <v>0</v>
      </c>
      <c r="F30" s="2">
        <f t="shared" si="47"/>
        <v>0</v>
      </c>
      <c r="G30" s="2">
        <f t="shared" si="47"/>
        <v>0</v>
      </c>
      <c r="H30" s="2">
        <f t="shared" si="47"/>
        <v>0</v>
      </c>
      <c r="I30" s="2">
        <f t="shared" si="47"/>
        <v>0</v>
      </c>
      <c r="J30" s="2">
        <f t="shared" si="47"/>
        <v>0</v>
      </c>
      <c r="K30" s="2">
        <f t="shared" si="47"/>
        <v>0</v>
      </c>
      <c r="L30" s="2">
        <f t="shared" si="47"/>
        <v>0</v>
      </c>
      <c r="M30" s="2">
        <f t="shared" si="47"/>
        <v>0</v>
      </c>
      <c r="N30" s="2">
        <f t="shared" si="47"/>
        <v>0</v>
      </c>
      <c r="O30" s="2">
        <f t="shared" ref="O30:R30" si="48">O14</f>
        <v>0</v>
      </c>
      <c r="P30" s="2">
        <f t="shared" si="48"/>
        <v>0</v>
      </c>
      <c r="Q30" s="2">
        <f t="shared" si="48"/>
        <v>0</v>
      </c>
      <c r="R30" s="2">
        <f t="shared" si="48"/>
        <v>0</v>
      </c>
    </row>
    <row r="31" spans="1:18" x14ac:dyDescent="0.3">
      <c r="A31" s="2">
        <f t="shared" si="7"/>
        <v>26</v>
      </c>
      <c r="B31" s="2" t="str">
        <f>Data_base_case!D34</f>
        <v>H2 pipeline to Bamboo-1</v>
      </c>
      <c r="C31" s="2">
        <f t="shared" ref="C31:N33" si="49">C15</f>
        <v>0</v>
      </c>
      <c r="D31" s="2">
        <f t="shared" si="49"/>
        <v>1</v>
      </c>
      <c r="E31" s="2">
        <f t="shared" si="49"/>
        <v>0</v>
      </c>
      <c r="F31" s="2">
        <f t="shared" si="49"/>
        <v>0</v>
      </c>
      <c r="G31" s="2">
        <f t="shared" si="49"/>
        <v>0</v>
      </c>
      <c r="H31" s="2">
        <f t="shared" si="49"/>
        <v>0</v>
      </c>
      <c r="I31" s="2">
        <f t="shared" si="49"/>
        <v>0</v>
      </c>
      <c r="J31" s="2">
        <f t="shared" si="49"/>
        <v>0</v>
      </c>
      <c r="K31" s="2">
        <f t="shared" si="49"/>
        <v>0</v>
      </c>
      <c r="L31" s="2">
        <f t="shared" si="49"/>
        <v>0</v>
      </c>
      <c r="M31" s="2">
        <f t="shared" si="49"/>
        <v>0</v>
      </c>
      <c r="N31" s="2">
        <f t="shared" si="49"/>
        <v>0</v>
      </c>
      <c r="O31" s="2">
        <f t="shared" ref="O31:R31" si="50">O15</f>
        <v>0</v>
      </c>
      <c r="P31" s="2">
        <f t="shared" si="50"/>
        <v>0</v>
      </c>
      <c r="Q31" s="2">
        <f t="shared" si="50"/>
        <v>0</v>
      </c>
      <c r="R31" s="2">
        <f t="shared" si="50"/>
        <v>0</v>
      </c>
    </row>
    <row r="32" spans="1:18" x14ac:dyDescent="0.3">
      <c r="A32" s="2">
        <f t="shared" si="7"/>
        <v>27</v>
      </c>
      <c r="B32" s="2" t="str">
        <f>Data_base_case!D35</f>
        <v>H2 pipeline to Wheat-2</v>
      </c>
      <c r="C32" s="2">
        <f t="shared" si="49"/>
        <v>0</v>
      </c>
      <c r="D32" s="2">
        <f t="shared" si="49"/>
        <v>0</v>
      </c>
      <c r="E32" s="2">
        <f t="shared" si="49"/>
        <v>1</v>
      </c>
      <c r="F32" s="2">
        <f t="shared" si="49"/>
        <v>0</v>
      </c>
      <c r="G32" s="2">
        <f t="shared" si="49"/>
        <v>0</v>
      </c>
      <c r="H32" s="2">
        <f t="shared" si="49"/>
        <v>0</v>
      </c>
      <c r="I32" s="2">
        <f t="shared" si="49"/>
        <v>0</v>
      </c>
      <c r="J32" s="2">
        <f t="shared" si="49"/>
        <v>0</v>
      </c>
      <c r="K32" s="2">
        <f t="shared" si="49"/>
        <v>0</v>
      </c>
      <c r="L32" s="2">
        <f t="shared" si="49"/>
        <v>0</v>
      </c>
      <c r="M32" s="2">
        <f t="shared" si="49"/>
        <v>0</v>
      </c>
      <c r="N32" s="2">
        <f t="shared" si="49"/>
        <v>0</v>
      </c>
      <c r="O32" s="2">
        <f t="shared" ref="O32:R32" si="51">O16</f>
        <v>0</v>
      </c>
      <c r="P32" s="2">
        <f t="shared" si="51"/>
        <v>0</v>
      </c>
      <c r="Q32" s="2">
        <f t="shared" si="51"/>
        <v>0</v>
      </c>
      <c r="R32" s="2">
        <f t="shared" si="51"/>
        <v>0</v>
      </c>
    </row>
    <row r="33" spans="1:18" x14ac:dyDescent="0.3">
      <c r="A33" s="2">
        <f t="shared" si="7"/>
        <v>28</v>
      </c>
      <c r="B33" s="2" t="str">
        <f>Data_base_case!D36</f>
        <v>H2 pipeline to Wheat-1</v>
      </c>
      <c r="C33" s="2">
        <f t="shared" si="49"/>
        <v>0</v>
      </c>
      <c r="D33" s="2">
        <f t="shared" si="49"/>
        <v>0</v>
      </c>
      <c r="E33" s="2">
        <f t="shared" si="49"/>
        <v>0</v>
      </c>
      <c r="F33" s="2">
        <f t="shared" si="49"/>
        <v>1</v>
      </c>
      <c r="G33" s="2">
        <f t="shared" si="49"/>
        <v>0</v>
      </c>
      <c r="H33" s="2">
        <f t="shared" si="49"/>
        <v>0</v>
      </c>
      <c r="I33" s="2">
        <f t="shared" si="49"/>
        <v>0</v>
      </c>
      <c r="J33" s="2">
        <f t="shared" si="49"/>
        <v>0</v>
      </c>
      <c r="K33" s="2">
        <f t="shared" si="49"/>
        <v>0</v>
      </c>
      <c r="L33" s="2">
        <f t="shared" si="49"/>
        <v>0</v>
      </c>
      <c r="M33" s="2">
        <f t="shared" si="49"/>
        <v>0</v>
      </c>
      <c r="N33" s="2">
        <f t="shared" si="49"/>
        <v>0</v>
      </c>
      <c r="O33" s="2">
        <f t="shared" ref="O33:R33" si="52">O17</f>
        <v>0</v>
      </c>
      <c r="P33" s="2">
        <f t="shared" si="52"/>
        <v>0</v>
      </c>
      <c r="Q33" s="2">
        <f t="shared" si="52"/>
        <v>0</v>
      </c>
      <c r="R33" s="2">
        <f t="shared" si="52"/>
        <v>0</v>
      </c>
    </row>
    <row r="34" spans="1:18" x14ac:dyDescent="0.3">
      <c r="A34" s="2">
        <f t="shared" si="7"/>
        <v>29</v>
      </c>
      <c r="B34" s="2" t="str">
        <f>Data_base_case!D37</f>
        <v>H2 pipeline to NH3 plant</v>
      </c>
      <c r="C34" s="2">
        <f t="shared" ref="C34:N34" si="53">IF(C1 = "NH3",1,0)</f>
        <v>0</v>
      </c>
      <c r="D34" s="2">
        <f t="shared" si="53"/>
        <v>0</v>
      </c>
      <c r="E34" s="2">
        <f t="shared" si="53"/>
        <v>0</v>
      </c>
      <c r="F34" s="2">
        <f t="shared" si="53"/>
        <v>0</v>
      </c>
      <c r="G34" s="2">
        <f t="shared" si="53"/>
        <v>1</v>
      </c>
      <c r="H34" s="2">
        <f t="shared" si="53"/>
        <v>1</v>
      </c>
      <c r="I34" s="2">
        <f t="shared" si="53"/>
        <v>1</v>
      </c>
      <c r="J34" s="2">
        <f t="shared" si="53"/>
        <v>0</v>
      </c>
      <c r="K34" s="2">
        <f t="shared" si="53"/>
        <v>0</v>
      </c>
      <c r="L34" s="2">
        <f t="shared" si="53"/>
        <v>0</v>
      </c>
      <c r="M34" s="2">
        <f t="shared" si="53"/>
        <v>0</v>
      </c>
      <c r="N34" s="2">
        <f t="shared" si="53"/>
        <v>0</v>
      </c>
      <c r="O34" s="2">
        <f t="shared" ref="O34:R34" si="54">IF(O1 = "NH3",1,0)</f>
        <v>0</v>
      </c>
      <c r="P34" s="2">
        <f t="shared" si="54"/>
        <v>1</v>
      </c>
      <c r="Q34" s="2">
        <f t="shared" si="54"/>
        <v>1</v>
      </c>
      <c r="R34" s="2">
        <f t="shared" si="54"/>
        <v>1</v>
      </c>
    </row>
    <row r="35" spans="1:18" x14ac:dyDescent="0.3">
      <c r="A35" s="2">
        <f t="shared" si="7"/>
        <v>30</v>
      </c>
      <c r="B35" s="2" t="str">
        <f>Data_base_case!D38</f>
        <v>H2 pipeline to client</v>
      </c>
      <c r="C35" s="2">
        <f t="shared" ref="C35:N35" si="55">IF(C1 = "H2",1,0)</f>
        <v>0</v>
      </c>
      <c r="D35" s="2">
        <f t="shared" si="55"/>
        <v>0</v>
      </c>
      <c r="E35" s="2">
        <f t="shared" si="55"/>
        <v>0</v>
      </c>
      <c r="F35" s="2">
        <f t="shared" si="55"/>
        <v>0</v>
      </c>
      <c r="G35" s="2">
        <f t="shared" si="55"/>
        <v>0</v>
      </c>
      <c r="H35" s="2">
        <f t="shared" si="55"/>
        <v>0</v>
      </c>
      <c r="I35" s="2">
        <f t="shared" si="55"/>
        <v>0</v>
      </c>
      <c r="J35" s="2">
        <f t="shared" si="55"/>
        <v>0</v>
      </c>
      <c r="K35" s="2">
        <f t="shared" si="55"/>
        <v>0</v>
      </c>
      <c r="L35" s="2">
        <f t="shared" si="55"/>
        <v>0</v>
      </c>
      <c r="M35" s="2">
        <f t="shared" si="55"/>
        <v>1</v>
      </c>
      <c r="N35" s="2">
        <f t="shared" si="55"/>
        <v>1</v>
      </c>
      <c r="O35" s="2">
        <f t="shared" ref="O35:R35" si="56">IF(O1 = "H2",1,0)</f>
        <v>1</v>
      </c>
      <c r="P35" s="2">
        <f t="shared" si="56"/>
        <v>0</v>
      </c>
      <c r="Q35" s="2">
        <f t="shared" si="56"/>
        <v>0</v>
      </c>
      <c r="R35" s="2">
        <f t="shared" si="56"/>
        <v>0</v>
      </c>
    </row>
    <row r="36" spans="1:18" x14ac:dyDescent="0.3">
      <c r="A36" s="2">
        <f t="shared" si="7"/>
        <v>31</v>
      </c>
      <c r="B36" s="2" t="str">
        <f>Data_base_case!D39</f>
        <v>Heat from district heating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</row>
    <row r="37" spans="1:18" x14ac:dyDescent="0.3">
      <c r="A37" s="2">
        <f t="shared" si="7"/>
        <v>32</v>
      </c>
      <c r="B37" s="2" t="str">
        <f>Data_base_case!D40</f>
        <v>Heat sent to district heating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8" x14ac:dyDescent="0.3">
      <c r="A38" s="2">
        <f t="shared" si="7"/>
        <v>33</v>
      </c>
      <c r="B38" s="2" t="str">
        <f>Data_base_case!D41</f>
        <v>Heat sent to other process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8" x14ac:dyDescent="0.3">
      <c r="A39" s="2">
        <f t="shared" si="7"/>
        <v>34</v>
      </c>
      <c r="B39" s="2" t="str">
        <f>Data_base_case!D42</f>
        <v>Sale of oxygen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8" x14ac:dyDescent="0.3">
      <c r="A40" s="2">
        <f t="shared" si="7"/>
        <v>35</v>
      </c>
      <c r="B40" s="2" t="str">
        <f>Data_base_case!D43</f>
        <v>H2 tank compressor</v>
      </c>
      <c r="C40" s="2">
        <f>C42</f>
        <v>0</v>
      </c>
      <c r="D40" s="2">
        <f t="shared" ref="D40:N40" si="57">D42</f>
        <v>0</v>
      </c>
      <c r="E40" s="2">
        <f t="shared" si="57"/>
        <v>0</v>
      </c>
      <c r="F40" s="2">
        <f t="shared" si="57"/>
        <v>0</v>
      </c>
      <c r="G40" s="2">
        <f t="shared" si="57"/>
        <v>0</v>
      </c>
      <c r="H40" s="2">
        <f t="shared" si="57"/>
        <v>0</v>
      </c>
      <c r="I40" s="2">
        <f t="shared" si="57"/>
        <v>0</v>
      </c>
      <c r="J40" s="2">
        <f t="shared" si="57"/>
        <v>0</v>
      </c>
      <c r="K40" s="2">
        <f t="shared" si="57"/>
        <v>0</v>
      </c>
      <c r="L40" s="2">
        <f t="shared" si="57"/>
        <v>0</v>
      </c>
      <c r="M40" s="2">
        <f t="shared" si="57"/>
        <v>0</v>
      </c>
      <c r="N40" s="2">
        <f t="shared" si="57"/>
        <v>0</v>
      </c>
      <c r="O40" s="2">
        <f t="shared" ref="O40:R40" si="58">O42</f>
        <v>0</v>
      </c>
      <c r="P40" s="2">
        <f t="shared" si="58"/>
        <v>0</v>
      </c>
      <c r="Q40" s="2">
        <f t="shared" si="58"/>
        <v>0</v>
      </c>
      <c r="R40" s="2">
        <f t="shared" si="58"/>
        <v>0</v>
      </c>
    </row>
    <row r="41" spans="1:18" x14ac:dyDescent="0.3">
      <c r="A41" s="2">
        <f t="shared" si="7"/>
        <v>36</v>
      </c>
      <c r="B41" s="2" t="str">
        <f>Data_base_case!D44</f>
        <v>H2 tank valve</v>
      </c>
      <c r="C41" s="2">
        <f>C42</f>
        <v>0</v>
      </c>
      <c r="D41" s="2">
        <f t="shared" ref="D41:R41" si="59">D42</f>
        <v>0</v>
      </c>
      <c r="E41" s="2">
        <f t="shared" si="59"/>
        <v>0</v>
      </c>
      <c r="F41" s="2">
        <f t="shared" si="59"/>
        <v>0</v>
      </c>
      <c r="G41" s="2">
        <f t="shared" si="59"/>
        <v>0</v>
      </c>
      <c r="H41" s="2">
        <f t="shared" si="59"/>
        <v>0</v>
      </c>
      <c r="I41" s="2">
        <f t="shared" si="59"/>
        <v>0</v>
      </c>
      <c r="J41" s="2">
        <f t="shared" si="59"/>
        <v>0</v>
      </c>
      <c r="K41" s="2">
        <f t="shared" si="59"/>
        <v>0</v>
      </c>
      <c r="L41" s="2">
        <f t="shared" si="59"/>
        <v>0</v>
      </c>
      <c r="M41" s="2">
        <f t="shared" si="59"/>
        <v>0</v>
      </c>
      <c r="N41" s="2">
        <f t="shared" si="59"/>
        <v>0</v>
      </c>
      <c r="O41" s="2">
        <f t="shared" si="59"/>
        <v>0</v>
      </c>
      <c r="P41" s="2">
        <f t="shared" si="59"/>
        <v>0</v>
      </c>
      <c r="Q41" s="2">
        <f t="shared" si="59"/>
        <v>0</v>
      </c>
      <c r="R41" s="2">
        <f t="shared" si="59"/>
        <v>0</v>
      </c>
    </row>
    <row r="42" spans="1:18" x14ac:dyDescent="0.3">
      <c r="A42" s="2">
        <f t="shared" si="7"/>
        <v>37</v>
      </c>
      <c r="B42" s="2" t="str">
        <f>Data_base_case!D45</f>
        <v>H2 tank</v>
      </c>
      <c r="C42" s="2">
        <f>IF($B$42=$A$4,1,0)</f>
        <v>0</v>
      </c>
      <c r="D42" s="2">
        <f t="shared" ref="D42:R42" si="60">IF($B$42=$A$4,1,0)</f>
        <v>0</v>
      </c>
      <c r="E42" s="2">
        <f t="shared" si="60"/>
        <v>0</v>
      </c>
      <c r="F42" s="2">
        <f t="shared" si="60"/>
        <v>0</v>
      </c>
      <c r="G42" s="2">
        <f t="shared" si="60"/>
        <v>0</v>
      </c>
      <c r="H42" s="2">
        <f t="shared" si="60"/>
        <v>0</v>
      </c>
      <c r="I42" s="2">
        <f t="shared" si="60"/>
        <v>0</v>
      </c>
      <c r="J42" s="2">
        <f t="shared" si="60"/>
        <v>0</v>
      </c>
      <c r="K42" s="2">
        <f t="shared" si="60"/>
        <v>0</v>
      </c>
      <c r="L42" s="2">
        <f t="shared" si="60"/>
        <v>0</v>
      </c>
      <c r="M42" s="2">
        <f t="shared" si="60"/>
        <v>0</v>
      </c>
      <c r="N42" s="2">
        <f t="shared" si="60"/>
        <v>0</v>
      </c>
      <c r="O42" s="2">
        <f t="shared" si="60"/>
        <v>0</v>
      </c>
      <c r="P42" s="2">
        <f t="shared" si="60"/>
        <v>0</v>
      </c>
      <c r="Q42" s="2">
        <f t="shared" si="60"/>
        <v>0</v>
      </c>
      <c r="R42" s="2">
        <f t="shared" si="60"/>
        <v>0</v>
      </c>
    </row>
    <row r="43" spans="1:18" x14ac:dyDescent="0.3">
      <c r="A43" s="2">
        <f t="shared" si="7"/>
        <v>38</v>
      </c>
      <c r="B43" s="2" t="str">
        <f>Data_base_case!D46</f>
        <v>H2 pipes compressor</v>
      </c>
      <c r="C43" s="2">
        <f>C45</f>
        <v>1</v>
      </c>
      <c r="D43" s="2">
        <f t="shared" ref="D43:N43" si="61">D45</f>
        <v>1</v>
      </c>
      <c r="E43" s="2">
        <f t="shared" si="61"/>
        <v>1</v>
      </c>
      <c r="F43" s="2">
        <f t="shared" si="61"/>
        <v>1</v>
      </c>
      <c r="G43" s="2">
        <f t="shared" si="61"/>
        <v>1</v>
      </c>
      <c r="H43" s="2">
        <f t="shared" si="61"/>
        <v>1</v>
      </c>
      <c r="I43" s="2">
        <f t="shared" si="61"/>
        <v>1</v>
      </c>
      <c r="J43" s="2">
        <f t="shared" si="61"/>
        <v>1</v>
      </c>
      <c r="K43" s="2">
        <f t="shared" si="61"/>
        <v>1</v>
      </c>
      <c r="L43" s="2">
        <f t="shared" si="61"/>
        <v>1</v>
      </c>
      <c r="M43" s="2">
        <f t="shared" si="61"/>
        <v>1</v>
      </c>
      <c r="N43" s="2">
        <f t="shared" si="61"/>
        <v>1</v>
      </c>
      <c r="O43" s="2">
        <f t="shared" ref="O43:R43" si="62">O45</f>
        <v>1</v>
      </c>
      <c r="P43" s="2">
        <f t="shared" si="62"/>
        <v>1</v>
      </c>
      <c r="Q43" s="2">
        <f t="shared" si="62"/>
        <v>1</v>
      </c>
      <c r="R43" s="2">
        <f t="shared" si="62"/>
        <v>1</v>
      </c>
    </row>
    <row r="44" spans="1:18" x14ac:dyDescent="0.3">
      <c r="A44" s="2">
        <f t="shared" si="7"/>
        <v>39</v>
      </c>
      <c r="B44" s="2" t="str">
        <f>Data_base_case!D47</f>
        <v>H2 pipes valve</v>
      </c>
      <c r="C44" s="2">
        <f>C45</f>
        <v>1</v>
      </c>
      <c r="D44" s="2">
        <f t="shared" ref="D44:R44" si="63">D45</f>
        <v>1</v>
      </c>
      <c r="E44" s="2">
        <f t="shared" si="63"/>
        <v>1</v>
      </c>
      <c r="F44" s="2">
        <f t="shared" si="63"/>
        <v>1</v>
      </c>
      <c r="G44" s="2">
        <f t="shared" si="63"/>
        <v>1</v>
      </c>
      <c r="H44" s="2">
        <f t="shared" si="63"/>
        <v>1</v>
      </c>
      <c r="I44" s="2">
        <f t="shared" si="63"/>
        <v>1</v>
      </c>
      <c r="J44" s="2">
        <f t="shared" si="63"/>
        <v>1</v>
      </c>
      <c r="K44" s="2">
        <f t="shared" si="63"/>
        <v>1</v>
      </c>
      <c r="L44" s="2">
        <f t="shared" si="63"/>
        <v>1</v>
      </c>
      <c r="M44" s="2">
        <f t="shared" si="63"/>
        <v>1</v>
      </c>
      <c r="N44" s="2">
        <f t="shared" si="63"/>
        <v>1</v>
      </c>
      <c r="O44" s="2">
        <f t="shared" si="63"/>
        <v>1</v>
      </c>
      <c r="P44" s="2">
        <f t="shared" si="63"/>
        <v>1</v>
      </c>
      <c r="Q44" s="2">
        <f t="shared" si="63"/>
        <v>1</v>
      </c>
      <c r="R44" s="2">
        <f t="shared" si="63"/>
        <v>1</v>
      </c>
    </row>
    <row r="45" spans="1:18" x14ac:dyDescent="0.3">
      <c r="A45" s="2">
        <f t="shared" si="7"/>
        <v>40</v>
      </c>
      <c r="B45" s="2" t="str">
        <f>Data_base_case!D48</f>
        <v>H2 buried pipes</v>
      </c>
      <c r="C45" s="2">
        <f>IF($B45=$A$4,1,0)</f>
        <v>1</v>
      </c>
      <c r="D45" s="2">
        <f t="shared" ref="D45:R45" si="64">IF($B45=$A$4,1,0)</f>
        <v>1</v>
      </c>
      <c r="E45" s="2">
        <f t="shared" si="64"/>
        <v>1</v>
      </c>
      <c r="F45" s="2">
        <f t="shared" si="64"/>
        <v>1</v>
      </c>
      <c r="G45" s="2">
        <f t="shared" si="64"/>
        <v>1</v>
      </c>
      <c r="H45" s="2">
        <f t="shared" si="64"/>
        <v>1</v>
      </c>
      <c r="I45" s="2">
        <f t="shared" si="64"/>
        <v>1</v>
      </c>
      <c r="J45" s="2">
        <f t="shared" si="64"/>
        <v>1</v>
      </c>
      <c r="K45" s="2">
        <f t="shared" si="64"/>
        <v>1</v>
      </c>
      <c r="L45" s="2">
        <f t="shared" si="64"/>
        <v>1</v>
      </c>
      <c r="M45" s="2">
        <f t="shared" si="64"/>
        <v>1</v>
      </c>
      <c r="N45" s="2">
        <f t="shared" si="64"/>
        <v>1</v>
      </c>
      <c r="O45" s="2">
        <f t="shared" si="64"/>
        <v>1</v>
      </c>
      <c r="P45" s="2">
        <f t="shared" si="64"/>
        <v>1</v>
      </c>
      <c r="Q45" s="2">
        <f t="shared" si="64"/>
        <v>1</v>
      </c>
      <c r="R45" s="2">
        <f t="shared" si="64"/>
        <v>1</v>
      </c>
    </row>
    <row r="46" spans="1:18" x14ac:dyDescent="0.3">
      <c r="A46" s="2">
        <f t="shared" si="7"/>
        <v>41</v>
      </c>
      <c r="B46" s="2" t="str">
        <f>Data_base_case!D49</f>
        <v>Solar fixed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</row>
    <row r="47" spans="1:18" x14ac:dyDescent="0.3">
      <c r="A47" s="2">
        <f t="shared" si="7"/>
        <v>42</v>
      </c>
      <c r="B47" s="2" t="str">
        <f>Data_base_case!D50</f>
        <v>Solar tracking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</row>
    <row r="48" spans="1:18" x14ac:dyDescent="0.3">
      <c r="A48" s="2">
        <f t="shared" si="7"/>
        <v>43</v>
      </c>
      <c r="B48" s="2" t="str">
        <f>Data_base_case!D51</f>
        <v>ON_SP198-HH100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</v>
      </c>
      <c r="P48" s="2">
        <v>1</v>
      </c>
      <c r="Q48" s="2">
        <v>1</v>
      </c>
      <c r="R48" s="2">
        <v>1</v>
      </c>
    </row>
    <row r="49" spans="1:18" x14ac:dyDescent="0.3">
      <c r="A49" s="2">
        <f t="shared" si="7"/>
        <v>44</v>
      </c>
      <c r="B49" s="2" t="str">
        <f>Data_base_case!D52</f>
        <v>ON_SP198-HH150</v>
      </c>
      <c r="C49" s="2">
        <v>1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</row>
    <row r="50" spans="1:18" x14ac:dyDescent="0.3">
      <c r="A50" s="2">
        <f t="shared" si="7"/>
        <v>45</v>
      </c>
      <c r="B50" s="2" t="str">
        <f>Data_base_case!D53</f>
        <v>ON_SP237-HH100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</row>
    <row r="51" spans="1:18" x14ac:dyDescent="0.3">
      <c r="A51" s="2">
        <f t="shared" si="7"/>
        <v>46</v>
      </c>
      <c r="B51" s="2" t="str">
        <f>Data_base_case!D54</f>
        <v>ON_SP237-HH150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</row>
    <row r="52" spans="1:18" x14ac:dyDescent="0.3">
      <c r="A52" s="2">
        <f t="shared" si="7"/>
        <v>47</v>
      </c>
      <c r="B52" s="2" t="str">
        <f>Data_base_case!D55</f>
        <v>ON_SP277-HH100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1</v>
      </c>
      <c r="Q52" s="2">
        <v>1</v>
      </c>
      <c r="R52" s="2">
        <v>1</v>
      </c>
    </row>
    <row r="53" spans="1:18" x14ac:dyDescent="0.3">
      <c r="A53" s="2">
        <f t="shared" si="7"/>
        <v>48</v>
      </c>
      <c r="B53" s="2" t="str">
        <f>Data_base_case!D56</f>
        <v>ON_SP277-HH150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</row>
    <row r="54" spans="1:18" x14ac:dyDescent="0.3">
      <c r="A54" s="2">
        <f t="shared" si="7"/>
        <v>49</v>
      </c>
      <c r="B54" s="2" t="str">
        <f>Data_base_case!D57</f>
        <v>ON_SP321-HH100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</row>
    <row r="55" spans="1:18" x14ac:dyDescent="0.3">
      <c r="A55" s="2">
        <f t="shared" si="7"/>
        <v>50</v>
      </c>
      <c r="B55" s="2" t="str">
        <f>Data_base_case!D58</f>
        <v>ON_SP321-HH150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</row>
    <row r="56" spans="1:18" x14ac:dyDescent="0.3">
      <c r="A56" s="2">
        <f t="shared" si="7"/>
        <v>51</v>
      </c>
      <c r="B56" s="2" t="str">
        <f>Data_base_case!D59</f>
        <v>OFF_SP379-HH100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1</v>
      </c>
    </row>
    <row r="57" spans="1:18" x14ac:dyDescent="0.3">
      <c r="A57" s="2">
        <f t="shared" si="7"/>
        <v>52</v>
      </c>
      <c r="B57" s="2" t="str">
        <f>Data_base_case!D60</f>
        <v>OFF_SP379-HH150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</row>
    <row r="58" spans="1:18" x14ac:dyDescent="0.3">
      <c r="A58" s="2">
        <f t="shared" si="7"/>
        <v>53</v>
      </c>
      <c r="B58" s="2" t="str">
        <f>Data_base_case!D61</f>
        <v>OFF_SP450-HH100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1</v>
      </c>
    </row>
    <row r="59" spans="1:18" x14ac:dyDescent="0.3">
      <c r="A59" s="2">
        <f t="shared" si="7"/>
        <v>54</v>
      </c>
      <c r="B59" s="2" t="str">
        <f>Data_base_case!D62</f>
        <v>OFF_SP450-HH150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1</v>
      </c>
    </row>
    <row r="60" spans="1:18" x14ac:dyDescent="0.3">
      <c r="A60" s="2">
        <f t="shared" si="7"/>
        <v>55</v>
      </c>
      <c r="B60" s="2" t="str">
        <f>Data_base_case!D63</f>
        <v>CSP_tower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">
      <c r="A61" s="2">
        <f t="shared" si="7"/>
        <v>56</v>
      </c>
      <c r="B61" s="2" t="str">
        <f>Data_base_case!D64</f>
        <v>Charge TES</v>
      </c>
      <c r="C61" s="2">
        <f>C60</f>
        <v>0</v>
      </c>
      <c r="D61" s="2">
        <f t="shared" ref="D61:N61" si="65">D60</f>
        <v>0</v>
      </c>
      <c r="E61" s="2">
        <f t="shared" si="65"/>
        <v>0</v>
      </c>
      <c r="F61" s="2">
        <f t="shared" si="65"/>
        <v>0</v>
      </c>
      <c r="G61" s="2">
        <f t="shared" si="65"/>
        <v>0</v>
      </c>
      <c r="H61" s="2">
        <f t="shared" si="65"/>
        <v>0</v>
      </c>
      <c r="I61" s="2">
        <f t="shared" si="65"/>
        <v>0</v>
      </c>
      <c r="J61" s="2">
        <f t="shared" si="65"/>
        <v>0</v>
      </c>
      <c r="K61" s="2">
        <f t="shared" si="65"/>
        <v>0</v>
      </c>
      <c r="L61" s="2">
        <f t="shared" si="65"/>
        <v>0</v>
      </c>
      <c r="M61" s="2">
        <f t="shared" si="65"/>
        <v>0</v>
      </c>
      <c r="N61" s="2">
        <f t="shared" si="65"/>
        <v>0</v>
      </c>
      <c r="O61" s="2">
        <f t="shared" ref="O61:R61" si="66">O60</f>
        <v>0</v>
      </c>
      <c r="P61" s="2">
        <f t="shared" si="66"/>
        <v>0</v>
      </c>
      <c r="Q61" s="2">
        <f t="shared" si="66"/>
        <v>0</v>
      </c>
      <c r="R61" s="2">
        <f t="shared" si="66"/>
        <v>0</v>
      </c>
    </row>
    <row r="62" spans="1:18" x14ac:dyDescent="0.3">
      <c r="A62" s="2">
        <f t="shared" si="7"/>
        <v>57</v>
      </c>
      <c r="B62" s="2" t="str">
        <f>Data_base_case!D65</f>
        <v>Discharge TES</v>
      </c>
      <c r="C62" s="2">
        <f>C60</f>
        <v>0</v>
      </c>
      <c r="D62" s="2">
        <f t="shared" ref="D62:N62" si="67">D60</f>
        <v>0</v>
      </c>
      <c r="E62" s="2">
        <f t="shared" si="67"/>
        <v>0</v>
      </c>
      <c r="F62" s="2">
        <f t="shared" si="67"/>
        <v>0</v>
      </c>
      <c r="G62" s="2">
        <f t="shared" si="67"/>
        <v>0</v>
      </c>
      <c r="H62" s="2">
        <f t="shared" si="67"/>
        <v>0</v>
      </c>
      <c r="I62" s="2">
        <f t="shared" si="67"/>
        <v>0</v>
      </c>
      <c r="J62" s="2">
        <f t="shared" si="67"/>
        <v>0</v>
      </c>
      <c r="K62" s="2">
        <f t="shared" si="67"/>
        <v>0</v>
      </c>
      <c r="L62" s="2">
        <f t="shared" si="67"/>
        <v>0</v>
      </c>
      <c r="M62" s="2">
        <f t="shared" si="67"/>
        <v>0</v>
      </c>
      <c r="N62" s="2">
        <f t="shared" si="67"/>
        <v>0</v>
      </c>
      <c r="O62" s="2">
        <f t="shared" ref="O62:R62" si="68">O60</f>
        <v>0</v>
      </c>
      <c r="P62" s="2">
        <f t="shared" si="68"/>
        <v>0</v>
      </c>
      <c r="Q62" s="2">
        <f t="shared" si="68"/>
        <v>0</v>
      </c>
      <c r="R62" s="2">
        <f t="shared" si="68"/>
        <v>0</v>
      </c>
    </row>
    <row r="63" spans="1:18" x14ac:dyDescent="0.3">
      <c r="A63" s="2">
        <f t="shared" si="7"/>
        <v>58</v>
      </c>
      <c r="B63" s="2" t="str">
        <f>Data_base_case!D66</f>
        <v>TES</v>
      </c>
      <c r="C63" s="2">
        <f>C60</f>
        <v>0</v>
      </c>
      <c r="D63" s="2">
        <f t="shared" ref="D63:N63" si="69">D60</f>
        <v>0</v>
      </c>
      <c r="E63" s="2">
        <f t="shared" si="69"/>
        <v>0</v>
      </c>
      <c r="F63" s="2">
        <f t="shared" si="69"/>
        <v>0</v>
      </c>
      <c r="G63" s="2">
        <f t="shared" si="69"/>
        <v>0</v>
      </c>
      <c r="H63" s="2">
        <f t="shared" si="69"/>
        <v>0</v>
      </c>
      <c r="I63" s="2">
        <f t="shared" si="69"/>
        <v>0</v>
      </c>
      <c r="J63" s="2">
        <f t="shared" si="69"/>
        <v>0</v>
      </c>
      <c r="K63" s="2">
        <f t="shared" si="69"/>
        <v>0</v>
      </c>
      <c r="L63" s="2">
        <f t="shared" si="69"/>
        <v>0</v>
      </c>
      <c r="M63" s="2">
        <f t="shared" si="69"/>
        <v>0</v>
      </c>
      <c r="N63" s="2">
        <f t="shared" si="69"/>
        <v>0</v>
      </c>
      <c r="O63" s="2">
        <f t="shared" ref="O63:R63" si="70">O60</f>
        <v>0</v>
      </c>
      <c r="P63" s="2">
        <f t="shared" si="70"/>
        <v>0</v>
      </c>
      <c r="Q63" s="2">
        <f t="shared" si="70"/>
        <v>0</v>
      </c>
      <c r="R63" s="2">
        <f t="shared" si="70"/>
        <v>0</v>
      </c>
    </row>
    <row r="64" spans="1:18" x14ac:dyDescent="0.3">
      <c r="A64" s="2">
        <f t="shared" si="7"/>
        <v>59</v>
      </c>
      <c r="B64" s="2" t="str">
        <f>Data_base_case!D67</f>
        <v>CSP + TES</v>
      </c>
      <c r="C64" s="2">
        <f>C60</f>
        <v>0</v>
      </c>
      <c r="D64" s="2">
        <f t="shared" ref="D64:N64" si="71">D60</f>
        <v>0</v>
      </c>
      <c r="E64" s="2">
        <f t="shared" si="71"/>
        <v>0</v>
      </c>
      <c r="F64" s="2">
        <f t="shared" si="71"/>
        <v>0</v>
      </c>
      <c r="G64" s="2">
        <f t="shared" si="71"/>
        <v>0</v>
      </c>
      <c r="H64" s="2">
        <f t="shared" si="71"/>
        <v>0</v>
      </c>
      <c r="I64" s="2">
        <f t="shared" si="71"/>
        <v>0</v>
      </c>
      <c r="J64" s="2">
        <f t="shared" si="71"/>
        <v>0</v>
      </c>
      <c r="K64" s="2">
        <f t="shared" si="71"/>
        <v>0</v>
      </c>
      <c r="L64" s="2">
        <f t="shared" si="71"/>
        <v>0</v>
      </c>
      <c r="M64" s="2">
        <f t="shared" si="71"/>
        <v>0</v>
      </c>
      <c r="N64" s="2">
        <f t="shared" si="71"/>
        <v>0</v>
      </c>
      <c r="O64" s="2">
        <f t="shared" ref="O64:R64" si="72">O60</f>
        <v>0</v>
      </c>
      <c r="P64" s="2">
        <f t="shared" si="72"/>
        <v>0</v>
      </c>
      <c r="Q64" s="2">
        <f t="shared" si="72"/>
        <v>0</v>
      </c>
      <c r="R64" s="2">
        <f t="shared" si="72"/>
        <v>0</v>
      </c>
    </row>
    <row r="65" spans="1:18" x14ac:dyDescent="0.3">
      <c r="A65" s="2">
        <f t="shared" si="7"/>
        <v>60</v>
      </c>
      <c r="B65" s="2" t="str">
        <f>Data_base_case!D68</f>
        <v>Electricity from the grid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3">
      <c r="A66" s="2">
        <f t="shared" si="7"/>
        <v>61</v>
      </c>
      <c r="B66" s="2" t="str">
        <f>Data_base_case!D69</f>
        <v>Curtailment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3">
      <c r="A67" s="2">
        <f t="shared" si="7"/>
        <v>62</v>
      </c>
      <c r="B67" s="2" t="str">
        <f>Data_base_case!D70</f>
        <v>Diesel generator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">
      <c r="A68" s="2">
        <f t="shared" si="7"/>
        <v>63</v>
      </c>
      <c r="B68" s="2" t="str">
        <f>Data_base_case!D71</f>
        <v>Charge batteries</v>
      </c>
      <c r="C68" s="2">
        <f>C70</f>
        <v>1</v>
      </c>
      <c r="D68" s="2">
        <f t="shared" ref="D68:O68" si="73">D70</f>
        <v>1</v>
      </c>
      <c r="E68" s="2">
        <f t="shared" si="73"/>
        <v>1</v>
      </c>
      <c r="F68" s="2">
        <f t="shared" si="73"/>
        <v>1</v>
      </c>
      <c r="G68" s="2">
        <f t="shared" si="73"/>
        <v>1</v>
      </c>
      <c r="H68" s="2">
        <f t="shared" si="73"/>
        <v>1</v>
      </c>
      <c r="I68" s="2">
        <f t="shared" si="73"/>
        <v>1</v>
      </c>
      <c r="J68" s="2">
        <f t="shared" si="73"/>
        <v>1</v>
      </c>
      <c r="K68" s="2">
        <f t="shared" si="73"/>
        <v>1</v>
      </c>
      <c r="L68" s="2">
        <f t="shared" si="73"/>
        <v>1</v>
      </c>
      <c r="M68" s="2">
        <f t="shared" si="73"/>
        <v>1</v>
      </c>
      <c r="N68" s="2">
        <f t="shared" si="73"/>
        <v>1</v>
      </c>
      <c r="O68" s="2">
        <f t="shared" si="73"/>
        <v>1</v>
      </c>
      <c r="P68" s="2">
        <f t="shared" ref="P68:R68" si="74">P70</f>
        <v>1</v>
      </c>
      <c r="Q68" s="2">
        <f t="shared" si="74"/>
        <v>1</v>
      </c>
      <c r="R68" s="2">
        <f t="shared" si="74"/>
        <v>1</v>
      </c>
    </row>
    <row r="69" spans="1:18" x14ac:dyDescent="0.3">
      <c r="A69" s="2">
        <f t="shared" si="7"/>
        <v>64</v>
      </c>
      <c r="B69" s="2" t="str">
        <f>Data_base_case!D72</f>
        <v>Discharge batteries</v>
      </c>
      <c r="C69" s="2">
        <f>C70</f>
        <v>1</v>
      </c>
      <c r="D69" s="2">
        <f t="shared" ref="D69:R69" si="75">D70</f>
        <v>1</v>
      </c>
      <c r="E69" s="2">
        <f t="shared" si="75"/>
        <v>1</v>
      </c>
      <c r="F69" s="2">
        <f t="shared" si="75"/>
        <v>1</v>
      </c>
      <c r="G69" s="2">
        <f t="shared" si="75"/>
        <v>1</v>
      </c>
      <c r="H69" s="2">
        <f t="shared" si="75"/>
        <v>1</v>
      </c>
      <c r="I69" s="2">
        <f t="shared" si="75"/>
        <v>1</v>
      </c>
      <c r="J69" s="2">
        <f t="shared" si="75"/>
        <v>1</v>
      </c>
      <c r="K69" s="2">
        <f t="shared" si="75"/>
        <v>1</v>
      </c>
      <c r="L69" s="2">
        <f t="shared" si="75"/>
        <v>1</v>
      </c>
      <c r="M69" s="2">
        <f t="shared" si="75"/>
        <v>1</v>
      </c>
      <c r="N69" s="2">
        <f t="shared" si="75"/>
        <v>1</v>
      </c>
      <c r="O69" s="2">
        <f t="shared" si="75"/>
        <v>1</v>
      </c>
      <c r="P69" s="2">
        <f t="shared" si="75"/>
        <v>1</v>
      </c>
      <c r="Q69" s="2">
        <f t="shared" si="75"/>
        <v>1</v>
      </c>
      <c r="R69" s="2">
        <f t="shared" si="75"/>
        <v>1</v>
      </c>
    </row>
    <row r="70" spans="1:18" x14ac:dyDescent="0.3">
      <c r="A70" s="2">
        <f t="shared" si="7"/>
        <v>65</v>
      </c>
      <c r="B70" s="2" t="str">
        <f>Data_base_case!D73</f>
        <v>Batteries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3">
      <c r="B71" s="2"/>
    </row>
  </sheetData>
  <conditionalFormatting sqref="C6:R70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76"/>
  <sheetViews>
    <sheetView topLeftCell="A6" zoomScale="90" zoomScaleNormal="90" workbookViewId="0">
      <pane xSplit="3" topLeftCell="E1" activePane="topRight" state="frozen"/>
      <selection activeCell="A4" sqref="A4"/>
      <selection pane="topRight" activeCell="B77" sqref="B77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21" width="8.77734375" style="1"/>
    <col min="22" max="22" width="12" style="1" customWidth="1"/>
    <col min="23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x14ac:dyDescent="0.3">
      <c r="A4" s="11"/>
      <c r="B4" s="71" t="s">
        <v>508</v>
      </c>
      <c r="C4" s="11" t="s">
        <v>43</v>
      </c>
      <c r="D4" s="76" t="s">
        <v>131</v>
      </c>
      <c r="E4" s="11" t="s">
        <v>133</v>
      </c>
      <c r="F4" s="1">
        <v>0</v>
      </c>
      <c r="G4" s="69" t="s">
        <v>133</v>
      </c>
      <c r="H4" s="1">
        <f>INDEX(Data_base_case!$D$8:$FS$118,MATCH(Scenarios_definition!C4,Data_base_case!$D$8:$D$118,0),MATCH(Scenarios_definition!D4&amp;Scenarios_definition!G4,Data_base_case!$D$7:$FS$7,0))</f>
        <v>0</v>
      </c>
    </row>
    <row r="5" spans="1:140" x14ac:dyDescent="0.3">
      <c r="A5" s="13" t="s">
        <v>508</v>
      </c>
      <c r="B5" s="71" t="s">
        <v>516</v>
      </c>
      <c r="C5" s="2" t="s">
        <v>95</v>
      </c>
      <c r="D5" s="1" t="s">
        <v>86</v>
      </c>
      <c r="E5" s="11" t="s">
        <v>133</v>
      </c>
      <c r="F5" s="94">
        <v>0.104624200425655</v>
      </c>
      <c r="G5" s="69" t="s">
        <v>324</v>
      </c>
      <c r="H5" s="1">
        <f>INDEX(Data_base_case!$D$8:$FS$118,MATCH(Scenarios_definition!C5,Data_base_case!$D$8:$D$118,0),MATCH(Scenarios_definition!D5&amp;Scenarios_definition!G5,Data_base_case!$D$7:$FS$7,0))</f>
        <v>8.8495575221238937E-2</v>
      </c>
    </row>
    <row r="6" spans="1:140" x14ac:dyDescent="0.3">
      <c r="A6" s="13"/>
      <c r="B6" s="71" t="str">
        <f>B5</f>
        <v>2030 NH3 SOEC - MA</v>
      </c>
      <c r="C6" s="2" t="s">
        <v>242</v>
      </c>
      <c r="D6" s="1" t="s">
        <v>86</v>
      </c>
      <c r="E6" s="11" t="s">
        <v>133</v>
      </c>
      <c r="F6" s="94">
        <f>F5</f>
        <v>0.104624200425655</v>
      </c>
      <c r="G6" s="69" t="s">
        <v>324</v>
      </c>
      <c r="H6" s="1">
        <f>INDEX(Data_base_case!$D$8:$FS$118,MATCH(Scenarios_definition!C6,Data_base_case!$D$8:$D$118,0),MATCH(Scenarios_definition!D6&amp;Scenarios_definition!G6,Data_base_case!$D$7:$FS$7,0))</f>
        <v>8.8495575221238937E-2</v>
      </c>
    </row>
    <row r="7" spans="1:140" x14ac:dyDescent="0.3">
      <c r="A7" s="13"/>
      <c r="B7" s="71" t="str">
        <f>B6</f>
        <v>2030 NH3 SOEC - MA</v>
      </c>
      <c r="C7" s="96" t="s">
        <v>162</v>
      </c>
      <c r="D7" s="1" t="s">
        <v>86</v>
      </c>
      <c r="E7" s="11" t="s">
        <v>133</v>
      </c>
      <c r="F7" s="94">
        <v>9.4487478759046242E-2</v>
      </c>
      <c r="G7" s="69" t="s">
        <v>324</v>
      </c>
      <c r="H7" s="1">
        <f>INDEX(Data_base_case!$D$8:$FS$118,MATCH(Scenarios_definition!C7,Data_base_case!$D$8:$D$118,0),MATCH(Scenarios_definition!D7&amp;Scenarios_definition!G7,Data_base_case!$D$7:$FS$7,0))</f>
        <v>8.174285816161557E-2</v>
      </c>
    </row>
    <row r="8" spans="1:140" x14ac:dyDescent="0.3">
      <c r="A8" s="13"/>
      <c r="B8" s="71" t="str">
        <f t="shared" ref="B8:B22" si="0">B7</f>
        <v>2030 NH3 SOEC - MA</v>
      </c>
      <c r="C8" s="6" t="s">
        <v>47</v>
      </c>
      <c r="D8" s="1" t="s">
        <v>86</v>
      </c>
      <c r="E8" s="11" t="s">
        <v>133</v>
      </c>
      <c r="F8" s="94">
        <v>9.6101259436508393E-2</v>
      </c>
      <c r="G8" s="69" t="s">
        <v>324</v>
      </c>
      <c r="H8" s="1">
        <f>INDEX(Data_base_case!$D$8:$FS$118,MATCH(Scenarios_definition!C8,Data_base_case!$D$8:$D$118,0),MATCH(Scenarios_definition!D8&amp;Scenarios_definition!G8,Data_base_case!$D$7:$FS$7,0))</f>
        <v>8.3860161500585326E-2</v>
      </c>
    </row>
    <row r="9" spans="1:140" x14ac:dyDescent="0.3">
      <c r="A9" s="13"/>
      <c r="B9" s="71" t="str">
        <f t="shared" si="0"/>
        <v>2030 NH3 SOEC - MA</v>
      </c>
      <c r="C9" s="6" t="s">
        <v>49</v>
      </c>
      <c r="D9" s="1" t="s">
        <v>86</v>
      </c>
      <c r="E9" s="11" t="s">
        <v>133</v>
      </c>
      <c r="F9" s="94">
        <f>F8</f>
        <v>9.6101259436508393E-2</v>
      </c>
      <c r="G9" s="69" t="s">
        <v>324</v>
      </c>
      <c r="H9" s="1">
        <f>INDEX(Data_base_case!$D$8:$FS$118,MATCH(Scenarios_definition!C9,Data_base_case!$D$8:$D$118,0),MATCH(Scenarios_definition!D9&amp;Scenarios_definition!G9,Data_base_case!$D$7:$FS$7,0))</f>
        <v>8.3860161500585326E-2</v>
      </c>
    </row>
    <row r="10" spans="1:140" x14ac:dyDescent="0.3">
      <c r="A10" s="13"/>
      <c r="B10" s="71" t="str">
        <f t="shared" si="0"/>
        <v>2030 NH3 SOEC - MA</v>
      </c>
      <c r="C10" s="2" t="s">
        <v>164</v>
      </c>
      <c r="D10" s="1" t="s">
        <v>86</v>
      </c>
      <c r="E10" s="11" t="s">
        <v>133</v>
      </c>
      <c r="F10" s="94">
        <v>0.10028431826668092</v>
      </c>
      <c r="G10" s="69" t="s">
        <v>324</v>
      </c>
      <c r="H10" s="1">
        <f>INDEX(Data_base_case!$D$8:$FS$118,MATCH(Scenarios_definition!C10,Data_base_case!$D$8:$D$118,0),MATCH(Scenarios_definition!D10&amp;Scenarios_definition!G10,Data_base_case!$D$7:$FS$7,0))</f>
        <v>8.8827433387272267E-2</v>
      </c>
    </row>
    <row r="11" spans="1:140" x14ac:dyDescent="0.3">
      <c r="A11" s="13"/>
      <c r="B11" s="71" t="str">
        <f t="shared" si="0"/>
        <v>2030 NH3 SOEC - MA</v>
      </c>
      <c r="C11" s="2" t="s">
        <v>54</v>
      </c>
      <c r="D11" s="1" t="s">
        <v>86</v>
      </c>
      <c r="E11" s="11" t="s">
        <v>133</v>
      </c>
      <c r="F11" s="94">
        <f>F10</f>
        <v>0.10028431826668092</v>
      </c>
      <c r="G11" s="69" t="s">
        <v>324</v>
      </c>
      <c r="H11" s="1">
        <f>INDEX(Data_base_case!$D$8:$FS$118,MATCH(Scenarios_definition!C11,Data_base_case!$D$8:$D$118,0),MATCH(Scenarios_definition!D11&amp;Scenarios_definition!G11,Data_base_case!$D$7:$FS$7,0))</f>
        <v>8.8827433387272267E-2</v>
      </c>
    </row>
    <row r="12" spans="1:140" x14ac:dyDescent="0.3">
      <c r="A12" s="13"/>
      <c r="B12" s="71" t="str">
        <f t="shared" si="0"/>
        <v>2030 NH3 SOEC - MA</v>
      </c>
      <c r="C12" s="2" t="s">
        <v>56</v>
      </c>
      <c r="D12" s="1" t="s">
        <v>86</v>
      </c>
      <c r="E12" s="11" t="s">
        <v>133</v>
      </c>
      <c r="F12" s="94">
        <f>F10</f>
        <v>0.10028431826668092</v>
      </c>
      <c r="G12" s="69" t="s">
        <v>324</v>
      </c>
      <c r="H12" s="1">
        <f>INDEX(Data_base_case!$D$8:$FS$118,MATCH(Scenarios_definition!C12,Data_base_case!$D$8:$D$118,0),MATCH(Scenarios_definition!D12&amp;Scenarios_definition!G12,Data_base_case!$D$7:$FS$7,0))</f>
        <v>8.8827433387272267E-2</v>
      </c>
    </row>
    <row r="13" spans="1:140" x14ac:dyDescent="0.3">
      <c r="A13" s="13"/>
      <c r="B13" s="71" t="str">
        <f t="shared" si="0"/>
        <v>2030 NH3 SOEC - MA</v>
      </c>
      <c r="C13" s="2" t="s">
        <v>58</v>
      </c>
      <c r="D13" s="1" t="s">
        <v>86</v>
      </c>
      <c r="E13" s="11" t="s">
        <v>133</v>
      </c>
      <c r="F13" s="94">
        <f>F10</f>
        <v>0.10028431826668092</v>
      </c>
      <c r="G13" s="69" t="s">
        <v>324</v>
      </c>
      <c r="H13" s="1">
        <f>INDEX(Data_base_case!$D$8:$FS$118,MATCH(Scenarios_definition!C13,Data_base_case!$D$8:$D$118,0),MATCH(Scenarios_definition!D13&amp;Scenarios_definition!G13,Data_base_case!$D$7:$FS$7,0))</f>
        <v>8.8827433387272267E-2</v>
      </c>
    </row>
    <row r="14" spans="1:140" x14ac:dyDescent="0.3">
      <c r="A14" s="13"/>
      <c r="B14" s="71" t="str">
        <f t="shared" si="0"/>
        <v>2030 NH3 SOEC - MA</v>
      </c>
      <c r="C14" s="2" t="s">
        <v>60</v>
      </c>
      <c r="D14" s="1" t="s">
        <v>86</v>
      </c>
      <c r="E14" s="11" t="s">
        <v>133</v>
      </c>
      <c r="F14" s="94">
        <f>F10</f>
        <v>0.10028431826668092</v>
      </c>
      <c r="G14" s="69" t="s">
        <v>324</v>
      </c>
      <c r="H14" s="1">
        <f>INDEX(Data_base_case!$D$8:$FS$118,MATCH(Scenarios_definition!C14,Data_base_case!$D$8:$D$118,0),MATCH(Scenarios_definition!D14&amp;Scenarios_definition!G14,Data_base_case!$D$7:$FS$7,0))</f>
        <v>8.8827433387272267E-2</v>
      </c>
    </row>
    <row r="15" spans="1:140" x14ac:dyDescent="0.3">
      <c r="A15" s="13"/>
      <c r="B15" s="71" t="str">
        <f t="shared" si="0"/>
        <v>2030 NH3 SOEC - MA</v>
      </c>
      <c r="C15" s="2" t="s">
        <v>62</v>
      </c>
      <c r="D15" s="1" t="s">
        <v>86</v>
      </c>
      <c r="E15" s="11" t="s">
        <v>133</v>
      </c>
      <c r="F15" s="94">
        <f>F10</f>
        <v>0.10028431826668092</v>
      </c>
      <c r="G15" s="69" t="s">
        <v>324</v>
      </c>
      <c r="H15" s="1">
        <f>INDEX(Data_base_case!$D$8:$FS$118,MATCH(Scenarios_definition!C15,Data_base_case!$D$8:$D$118,0),MATCH(Scenarios_definition!D15&amp;Scenarios_definition!G15,Data_base_case!$D$7:$FS$7,0))</f>
        <v>8.8827433387272267E-2</v>
      </c>
    </row>
    <row r="16" spans="1:140" x14ac:dyDescent="0.3">
      <c r="A16" s="13"/>
      <c r="B16" s="71" t="str">
        <f t="shared" si="0"/>
        <v>2030 NH3 SOEC - MA</v>
      </c>
      <c r="C16" s="2" t="s">
        <v>64</v>
      </c>
      <c r="D16" s="1" t="s">
        <v>86</v>
      </c>
      <c r="E16" s="11" t="s">
        <v>133</v>
      </c>
      <c r="F16" s="94">
        <f>F10</f>
        <v>0.10028431826668092</v>
      </c>
      <c r="G16" s="69" t="s">
        <v>324</v>
      </c>
      <c r="H16" s="1">
        <f>INDEX(Data_base_case!$D$8:$FS$118,MATCH(Scenarios_definition!C16,Data_base_case!$D$8:$D$118,0),MATCH(Scenarios_definition!D16&amp;Scenarios_definition!G16,Data_base_case!$D$7:$FS$7,0))</f>
        <v>8.8827433387272267E-2</v>
      </c>
    </row>
    <row r="17" spans="1:8" x14ac:dyDescent="0.3">
      <c r="A17" s="13"/>
      <c r="B17" s="71" t="str">
        <f t="shared" si="0"/>
        <v>2030 NH3 SOEC - MA</v>
      </c>
      <c r="C17" s="2" t="s">
        <v>66</v>
      </c>
      <c r="D17" s="1" t="s">
        <v>86</v>
      </c>
      <c r="E17" s="11" t="s">
        <v>133</v>
      </c>
      <c r="F17" s="94">
        <f>F10</f>
        <v>0.10028431826668092</v>
      </c>
      <c r="G17" s="69" t="s">
        <v>324</v>
      </c>
      <c r="H17" s="1">
        <f>INDEX(Data_base_case!$D$8:$FS$118,MATCH(Scenarios_definition!C17,Data_base_case!$D$8:$D$118,0),MATCH(Scenarios_definition!D17&amp;Scenarios_definition!G17,Data_base_case!$D$7:$FS$7,0))</f>
        <v>8.8827433387272267E-2</v>
      </c>
    </row>
    <row r="18" spans="1:8" x14ac:dyDescent="0.3">
      <c r="A18" s="13"/>
      <c r="B18" s="71" t="str">
        <f t="shared" si="0"/>
        <v>2030 NH3 SOEC - MA</v>
      </c>
      <c r="C18" s="2" t="s">
        <v>68</v>
      </c>
      <c r="D18" s="1" t="s">
        <v>86</v>
      </c>
      <c r="E18" s="11" t="s">
        <v>133</v>
      </c>
      <c r="F18" s="94">
        <f>F10</f>
        <v>0.10028431826668092</v>
      </c>
      <c r="G18" s="69" t="s">
        <v>324</v>
      </c>
      <c r="H18" s="1">
        <f>INDEX(Data_base_case!$D$8:$FS$118,MATCH(Scenarios_definition!C18,Data_base_case!$D$8:$D$118,0),MATCH(Scenarios_definition!D18&amp;Scenarios_definition!G18,Data_base_case!$D$7:$FS$7,0))</f>
        <v>8.8827433387272267E-2</v>
      </c>
    </row>
    <row r="19" spans="1:8" x14ac:dyDescent="0.3">
      <c r="A19" s="13"/>
      <c r="B19" s="71" t="str">
        <f t="shared" si="0"/>
        <v>2030 NH3 SOEC - MA</v>
      </c>
      <c r="C19" s="2" t="s">
        <v>70</v>
      </c>
      <c r="D19" s="1" t="s">
        <v>86</v>
      </c>
      <c r="E19" s="11" t="s">
        <v>133</v>
      </c>
      <c r="F19" s="94">
        <f>F10</f>
        <v>0.10028431826668092</v>
      </c>
      <c r="G19" s="69" t="s">
        <v>324</v>
      </c>
      <c r="H19" s="1">
        <f>INDEX(Data_base_case!$D$8:$FS$118,MATCH(Scenarios_definition!C19,Data_base_case!$D$8:$D$118,0),MATCH(Scenarios_definition!D19&amp;Scenarios_definition!G19,Data_base_case!$D$7:$FS$7,0))</f>
        <v>8.8827433387272267E-2</v>
      </c>
    </row>
    <row r="20" spans="1:8" x14ac:dyDescent="0.3">
      <c r="A20" s="13"/>
      <c r="B20" s="71" t="str">
        <f t="shared" si="0"/>
        <v>2030 NH3 SOEC - MA</v>
      </c>
      <c r="C20" s="2" t="s">
        <v>72</v>
      </c>
      <c r="D20" s="1" t="s">
        <v>86</v>
      </c>
      <c r="E20" s="11" t="s">
        <v>133</v>
      </c>
      <c r="F20" s="94">
        <f>F10</f>
        <v>0.10028431826668092</v>
      </c>
      <c r="G20" s="69" t="s">
        <v>324</v>
      </c>
      <c r="H20" s="1">
        <f>INDEX(Data_base_case!$D$8:$FS$118,MATCH(Scenarios_definition!C20,Data_base_case!$D$8:$D$118,0),MATCH(Scenarios_definition!D20&amp;Scenarios_definition!G20,Data_base_case!$D$7:$FS$7,0))</f>
        <v>8.8827433387272267E-2</v>
      </c>
    </row>
    <row r="21" spans="1:8" x14ac:dyDescent="0.3">
      <c r="A21" s="13"/>
      <c r="B21" s="71" t="str">
        <f t="shared" si="0"/>
        <v>2030 NH3 SOEC - MA</v>
      </c>
      <c r="C21" s="2" t="s">
        <v>165</v>
      </c>
      <c r="D21" s="1" t="s">
        <v>86</v>
      </c>
      <c r="E21" s="11" t="s">
        <v>133</v>
      </c>
      <c r="F21" s="94">
        <f>F10</f>
        <v>0.10028431826668092</v>
      </c>
      <c r="G21" s="69" t="s">
        <v>324</v>
      </c>
      <c r="H21" s="1">
        <f>INDEX(Data_base_case!$D$8:$FS$118,MATCH(Scenarios_definition!C21,Data_base_case!$D$8:$D$118,0),MATCH(Scenarios_definition!D21&amp;Scenarios_definition!G21,Data_base_case!$D$7:$FS$7,0))</f>
        <v>8.8827433387272267E-2</v>
      </c>
    </row>
    <row r="22" spans="1:8" s="100" customFormat="1" x14ac:dyDescent="0.3">
      <c r="A22" s="97"/>
      <c r="B22" s="98" t="str">
        <f t="shared" si="0"/>
        <v>2030 NH3 SOEC - MA</v>
      </c>
      <c r="C22" s="99" t="s">
        <v>46</v>
      </c>
      <c r="D22" s="100" t="s">
        <v>86</v>
      </c>
      <c r="E22" s="101" t="s">
        <v>133</v>
      </c>
      <c r="F22" s="102">
        <f>F5</f>
        <v>0.104624200425655</v>
      </c>
      <c r="G22" s="103" t="s">
        <v>324</v>
      </c>
      <c r="H22" s="100">
        <f>INDEX(Data_base_case!$D$8:$FS$118,MATCH(Scenarios_definition!C22,Data_base_case!$D$8:$D$118,0),MATCH(Scenarios_definition!D22&amp;Scenarios_definition!G22,Data_base_case!$D$7:$FS$7,0))</f>
        <v>0.10185220882315059</v>
      </c>
    </row>
    <row r="23" spans="1:8" x14ac:dyDescent="0.3">
      <c r="A23" s="13" t="s">
        <v>508</v>
      </c>
      <c r="B23" s="71" t="s">
        <v>524</v>
      </c>
      <c r="C23" s="2" t="s">
        <v>95</v>
      </c>
      <c r="D23" s="1" t="s">
        <v>86</v>
      </c>
      <c r="E23" s="11" t="s">
        <v>133</v>
      </c>
      <c r="F23" s="94">
        <v>9.5299999999999996E-2</v>
      </c>
      <c r="G23" s="69" t="s">
        <v>324</v>
      </c>
      <c r="H23" s="1">
        <f>INDEX(Data_base_case!$D$8:$FS$118,MATCH(Scenarios_definition!C23,Data_base_case!$D$8:$D$118,0),MATCH(Scenarios_definition!D23&amp;Scenarios_definition!G23,Data_base_case!$D$7:$FS$7,0))</f>
        <v>8.8495575221238937E-2</v>
      </c>
    </row>
    <row r="24" spans="1:8" x14ac:dyDescent="0.3">
      <c r="A24" s="13"/>
      <c r="B24" s="71" t="str">
        <f>B23</f>
        <v>2030 NH3 SOEC - CL</v>
      </c>
      <c r="C24" s="2" t="s">
        <v>242</v>
      </c>
      <c r="D24" s="1" t="s">
        <v>86</v>
      </c>
      <c r="E24" s="11" t="s">
        <v>133</v>
      </c>
      <c r="F24" s="94">
        <f>F23</f>
        <v>9.5299999999999996E-2</v>
      </c>
      <c r="G24" s="69" t="s">
        <v>324</v>
      </c>
      <c r="H24" s="1">
        <f>INDEX(Data_base_case!$D$8:$FS$118,MATCH(Scenarios_definition!C24,Data_base_case!$D$8:$D$118,0),MATCH(Scenarios_definition!D24&amp;Scenarios_definition!G24,Data_base_case!$D$7:$FS$7,0))</f>
        <v>8.8495575221238937E-2</v>
      </c>
    </row>
    <row r="25" spans="1:8" x14ac:dyDescent="0.3">
      <c r="A25" s="13"/>
      <c r="B25" s="71" t="str">
        <f>B24</f>
        <v>2030 NH3 SOEC - CL</v>
      </c>
      <c r="C25" s="96" t="s">
        <v>162</v>
      </c>
      <c r="D25" s="1" t="s">
        <v>86</v>
      </c>
      <c r="E25" s="11" t="s">
        <v>133</v>
      </c>
      <c r="F25" s="94">
        <v>8.3599999999999994E-2</v>
      </c>
      <c r="G25" s="69" t="s">
        <v>324</v>
      </c>
      <c r="H25" s="1">
        <f>INDEX(Data_base_case!$D$8:$FS$118,MATCH(Scenarios_definition!C25,Data_base_case!$D$8:$D$118,0),MATCH(Scenarios_definition!D25&amp;Scenarios_definition!G25,Data_base_case!$D$7:$FS$7,0))</f>
        <v>8.174285816161557E-2</v>
      </c>
    </row>
    <row r="26" spans="1:8" x14ac:dyDescent="0.3">
      <c r="A26" s="13"/>
      <c r="B26" s="71" t="str">
        <f t="shared" ref="B26:B40" si="1">B25</f>
        <v>2030 NH3 SOEC - CL</v>
      </c>
      <c r="C26" s="6" t="s">
        <v>47</v>
      </c>
      <c r="D26" s="1" t="s">
        <v>86</v>
      </c>
      <c r="E26" s="11" t="s">
        <v>133</v>
      </c>
      <c r="F26" s="94">
        <v>8.5699999999999998E-2</v>
      </c>
      <c r="G26" s="69" t="s">
        <v>324</v>
      </c>
      <c r="H26" s="1">
        <f>INDEX(Data_base_case!$D$8:$FS$118,MATCH(Scenarios_definition!C26,Data_base_case!$D$8:$D$118,0),MATCH(Scenarios_definition!D26&amp;Scenarios_definition!G26,Data_base_case!$D$7:$FS$7,0))</f>
        <v>8.3860161500585326E-2</v>
      </c>
    </row>
    <row r="27" spans="1:8" x14ac:dyDescent="0.3">
      <c r="A27" s="13"/>
      <c r="B27" s="71" t="str">
        <f t="shared" si="1"/>
        <v>2030 NH3 SOEC - CL</v>
      </c>
      <c r="C27" s="6" t="s">
        <v>49</v>
      </c>
      <c r="D27" s="1" t="s">
        <v>86</v>
      </c>
      <c r="E27" s="11" t="s">
        <v>133</v>
      </c>
      <c r="F27" s="94">
        <f>F26</f>
        <v>8.5699999999999998E-2</v>
      </c>
      <c r="G27" s="69" t="s">
        <v>324</v>
      </c>
      <c r="H27" s="1">
        <f>INDEX(Data_base_case!$D$8:$FS$118,MATCH(Scenarios_definition!C27,Data_base_case!$D$8:$D$118,0),MATCH(Scenarios_definition!D27&amp;Scenarios_definition!G27,Data_base_case!$D$7:$FS$7,0))</f>
        <v>8.3860161500585326E-2</v>
      </c>
    </row>
    <row r="28" spans="1:8" x14ac:dyDescent="0.3">
      <c r="A28" s="13"/>
      <c r="B28" s="71" t="str">
        <f t="shared" si="1"/>
        <v>2030 NH3 SOEC - CL</v>
      </c>
      <c r="C28" s="2" t="s">
        <v>164</v>
      </c>
      <c r="D28" s="1" t="s">
        <v>86</v>
      </c>
      <c r="E28" s="11" t="s">
        <v>133</v>
      </c>
      <c r="F28" s="94">
        <v>9.0509999999999993E-2</v>
      </c>
      <c r="G28" s="69" t="s">
        <v>324</v>
      </c>
      <c r="H28" s="1">
        <f>INDEX(Data_base_case!$D$8:$FS$118,MATCH(Scenarios_definition!C28,Data_base_case!$D$8:$D$118,0),MATCH(Scenarios_definition!D28&amp;Scenarios_definition!G28,Data_base_case!$D$7:$FS$7,0))</f>
        <v>8.8827433387272267E-2</v>
      </c>
    </row>
    <row r="29" spans="1:8" x14ac:dyDescent="0.3">
      <c r="A29" s="13"/>
      <c r="B29" s="71" t="str">
        <f t="shared" si="1"/>
        <v>2030 NH3 SOEC - CL</v>
      </c>
      <c r="C29" s="2" t="s">
        <v>54</v>
      </c>
      <c r="D29" s="1" t="s">
        <v>86</v>
      </c>
      <c r="E29" s="11" t="s">
        <v>133</v>
      </c>
      <c r="F29" s="94">
        <f>F28</f>
        <v>9.0509999999999993E-2</v>
      </c>
      <c r="G29" s="69" t="s">
        <v>324</v>
      </c>
      <c r="H29" s="1">
        <f>INDEX(Data_base_case!$D$8:$FS$118,MATCH(Scenarios_definition!C29,Data_base_case!$D$8:$D$118,0),MATCH(Scenarios_definition!D29&amp;Scenarios_definition!G29,Data_base_case!$D$7:$FS$7,0))</f>
        <v>8.8827433387272267E-2</v>
      </c>
    </row>
    <row r="30" spans="1:8" x14ac:dyDescent="0.3">
      <c r="A30" s="13"/>
      <c r="B30" s="71" t="str">
        <f t="shared" si="1"/>
        <v>2030 NH3 SOEC - CL</v>
      </c>
      <c r="C30" s="2" t="s">
        <v>56</v>
      </c>
      <c r="D30" s="1" t="s">
        <v>86</v>
      </c>
      <c r="E30" s="11" t="s">
        <v>133</v>
      </c>
      <c r="F30" s="94">
        <f>F28</f>
        <v>9.0509999999999993E-2</v>
      </c>
      <c r="G30" s="69" t="s">
        <v>324</v>
      </c>
      <c r="H30" s="1">
        <f>INDEX(Data_base_case!$D$8:$FS$118,MATCH(Scenarios_definition!C30,Data_base_case!$D$8:$D$118,0),MATCH(Scenarios_definition!D30&amp;Scenarios_definition!G30,Data_base_case!$D$7:$FS$7,0))</f>
        <v>8.8827433387272267E-2</v>
      </c>
    </row>
    <row r="31" spans="1:8" x14ac:dyDescent="0.3">
      <c r="A31" s="13"/>
      <c r="B31" s="71" t="str">
        <f t="shared" si="1"/>
        <v>2030 NH3 SOEC - CL</v>
      </c>
      <c r="C31" s="2" t="s">
        <v>58</v>
      </c>
      <c r="D31" s="1" t="s">
        <v>86</v>
      </c>
      <c r="E31" s="11" t="s">
        <v>133</v>
      </c>
      <c r="F31" s="94">
        <f>F28</f>
        <v>9.0509999999999993E-2</v>
      </c>
      <c r="G31" s="69" t="s">
        <v>324</v>
      </c>
      <c r="H31" s="1">
        <f>INDEX(Data_base_case!$D$8:$FS$118,MATCH(Scenarios_definition!C31,Data_base_case!$D$8:$D$118,0),MATCH(Scenarios_definition!D31&amp;Scenarios_definition!G31,Data_base_case!$D$7:$FS$7,0))</f>
        <v>8.8827433387272267E-2</v>
      </c>
    </row>
    <row r="32" spans="1:8" x14ac:dyDescent="0.3">
      <c r="A32" s="13"/>
      <c r="B32" s="71" t="str">
        <f t="shared" si="1"/>
        <v>2030 NH3 SOEC - CL</v>
      </c>
      <c r="C32" s="2" t="s">
        <v>60</v>
      </c>
      <c r="D32" s="1" t="s">
        <v>86</v>
      </c>
      <c r="E32" s="11" t="s">
        <v>133</v>
      </c>
      <c r="F32" s="94">
        <f>F28</f>
        <v>9.0509999999999993E-2</v>
      </c>
      <c r="G32" s="69" t="s">
        <v>324</v>
      </c>
      <c r="H32" s="1">
        <f>INDEX(Data_base_case!$D$8:$FS$118,MATCH(Scenarios_definition!C32,Data_base_case!$D$8:$D$118,0),MATCH(Scenarios_definition!D32&amp;Scenarios_definition!G32,Data_base_case!$D$7:$FS$7,0))</f>
        <v>8.8827433387272267E-2</v>
      </c>
    </row>
    <row r="33" spans="1:8" x14ac:dyDescent="0.3">
      <c r="A33" s="13"/>
      <c r="B33" s="71" t="str">
        <f t="shared" si="1"/>
        <v>2030 NH3 SOEC - CL</v>
      </c>
      <c r="C33" s="2" t="s">
        <v>62</v>
      </c>
      <c r="D33" s="1" t="s">
        <v>86</v>
      </c>
      <c r="E33" s="11" t="s">
        <v>133</v>
      </c>
      <c r="F33" s="94">
        <f>F28</f>
        <v>9.0509999999999993E-2</v>
      </c>
      <c r="G33" s="69" t="s">
        <v>324</v>
      </c>
      <c r="H33" s="1">
        <f>INDEX(Data_base_case!$D$8:$FS$118,MATCH(Scenarios_definition!C33,Data_base_case!$D$8:$D$118,0),MATCH(Scenarios_definition!D33&amp;Scenarios_definition!G33,Data_base_case!$D$7:$FS$7,0))</f>
        <v>8.8827433387272267E-2</v>
      </c>
    </row>
    <row r="34" spans="1:8" x14ac:dyDescent="0.3">
      <c r="A34" s="13"/>
      <c r="B34" s="71" t="str">
        <f t="shared" si="1"/>
        <v>2030 NH3 SOEC - CL</v>
      </c>
      <c r="C34" s="2" t="s">
        <v>64</v>
      </c>
      <c r="D34" s="1" t="s">
        <v>86</v>
      </c>
      <c r="E34" s="11" t="s">
        <v>133</v>
      </c>
      <c r="F34" s="94">
        <f>F28</f>
        <v>9.0509999999999993E-2</v>
      </c>
      <c r="G34" s="69" t="s">
        <v>324</v>
      </c>
      <c r="H34" s="1">
        <f>INDEX(Data_base_case!$D$8:$FS$118,MATCH(Scenarios_definition!C34,Data_base_case!$D$8:$D$118,0),MATCH(Scenarios_definition!D34&amp;Scenarios_definition!G34,Data_base_case!$D$7:$FS$7,0))</f>
        <v>8.8827433387272267E-2</v>
      </c>
    </row>
    <row r="35" spans="1:8" x14ac:dyDescent="0.3">
      <c r="A35" s="13"/>
      <c r="B35" s="71" t="str">
        <f t="shared" si="1"/>
        <v>2030 NH3 SOEC - CL</v>
      </c>
      <c r="C35" s="2" t="s">
        <v>66</v>
      </c>
      <c r="D35" s="1" t="s">
        <v>86</v>
      </c>
      <c r="E35" s="11" t="s">
        <v>133</v>
      </c>
      <c r="F35" s="94">
        <f>F28</f>
        <v>9.0509999999999993E-2</v>
      </c>
      <c r="G35" s="69" t="s">
        <v>324</v>
      </c>
      <c r="H35" s="1">
        <f>INDEX(Data_base_case!$D$8:$FS$118,MATCH(Scenarios_definition!C35,Data_base_case!$D$8:$D$118,0),MATCH(Scenarios_definition!D35&amp;Scenarios_definition!G35,Data_base_case!$D$7:$FS$7,0))</f>
        <v>8.8827433387272267E-2</v>
      </c>
    </row>
    <row r="36" spans="1:8" x14ac:dyDescent="0.3">
      <c r="A36" s="13"/>
      <c r="B36" s="71" t="str">
        <f t="shared" si="1"/>
        <v>2030 NH3 SOEC - CL</v>
      </c>
      <c r="C36" s="2" t="s">
        <v>68</v>
      </c>
      <c r="D36" s="1" t="s">
        <v>86</v>
      </c>
      <c r="E36" s="11" t="s">
        <v>133</v>
      </c>
      <c r="F36" s="94">
        <f>F28</f>
        <v>9.0509999999999993E-2</v>
      </c>
      <c r="G36" s="69" t="s">
        <v>324</v>
      </c>
      <c r="H36" s="1">
        <f>INDEX(Data_base_case!$D$8:$FS$118,MATCH(Scenarios_definition!C36,Data_base_case!$D$8:$D$118,0),MATCH(Scenarios_definition!D36&amp;Scenarios_definition!G36,Data_base_case!$D$7:$FS$7,0))</f>
        <v>8.8827433387272267E-2</v>
      </c>
    </row>
    <row r="37" spans="1:8" x14ac:dyDescent="0.3">
      <c r="A37" s="13"/>
      <c r="B37" s="71" t="str">
        <f t="shared" si="1"/>
        <v>2030 NH3 SOEC - CL</v>
      </c>
      <c r="C37" s="2" t="s">
        <v>70</v>
      </c>
      <c r="D37" s="1" t="s">
        <v>86</v>
      </c>
      <c r="E37" s="11" t="s">
        <v>133</v>
      </c>
      <c r="F37" s="94">
        <f>F28</f>
        <v>9.0509999999999993E-2</v>
      </c>
      <c r="G37" s="69" t="s">
        <v>324</v>
      </c>
      <c r="H37" s="1">
        <f>INDEX(Data_base_case!$D$8:$FS$118,MATCH(Scenarios_definition!C37,Data_base_case!$D$8:$D$118,0),MATCH(Scenarios_definition!D37&amp;Scenarios_definition!G37,Data_base_case!$D$7:$FS$7,0))</f>
        <v>8.8827433387272267E-2</v>
      </c>
    </row>
    <row r="38" spans="1:8" x14ac:dyDescent="0.3">
      <c r="A38" s="13"/>
      <c r="B38" s="71" t="str">
        <f t="shared" si="1"/>
        <v>2030 NH3 SOEC - CL</v>
      </c>
      <c r="C38" s="2" t="s">
        <v>72</v>
      </c>
      <c r="D38" s="1" t="s">
        <v>86</v>
      </c>
      <c r="E38" s="11" t="s">
        <v>133</v>
      </c>
      <c r="F38" s="94">
        <f>F28</f>
        <v>9.0509999999999993E-2</v>
      </c>
      <c r="G38" s="69" t="s">
        <v>324</v>
      </c>
      <c r="H38" s="1">
        <f>INDEX(Data_base_case!$D$8:$FS$118,MATCH(Scenarios_definition!C38,Data_base_case!$D$8:$D$118,0),MATCH(Scenarios_definition!D38&amp;Scenarios_definition!G38,Data_base_case!$D$7:$FS$7,0))</f>
        <v>8.8827433387272267E-2</v>
      </c>
    </row>
    <row r="39" spans="1:8" x14ac:dyDescent="0.3">
      <c r="A39" s="13"/>
      <c r="B39" s="71" t="str">
        <f t="shared" si="1"/>
        <v>2030 NH3 SOEC - CL</v>
      </c>
      <c r="C39" s="2" t="s">
        <v>165</v>
      </c>
      <c r="D39" s="1" t="s">
        <v>86</v>
      </c>
      <c r="E39" s="11" t="s">
        <v>133</v>
      </c>
      <c r="F39" s="94">
        <f>F28</f>
        <v>9.0509999999999993E-2</v>
      </c>
      <c r="G39" s="69" t="s">
        <v>324</v>
      </c>
      <c r="H39" s="1">
        <f>INDEX(Data_base_case!$D$8:$FS$118,MATCH(Scenarios_definition!C39,Data_base_case!$D$8:$D$118,0),MATCH(Scenarios_definition!D39&amp;Scenarios_definition!G39,Data_base_case!$D$7:$FS$7,0))</f>
        <v>8.8827433387272267E-2</v>
      </c>
    </row>
    <row r="40" spans="1:8" s="100" customFormat="1" x14ac:dyDescent="0.3">
      <c r="A40" s="97"/>
      <c r="B40" s="98" t="str">
        <f t="shared" si="1"/>
        <v>2030 NH3 SOEC - CL</v>
      </c>
      <c r="C40" s="99" t="s">
        <v>46</v>
      </c>
      <c r="D40" s="100" t="s">
        <v>86</v>
      </c>
      <c r="E40" s="101" t="s">
        <v>133</v>
      </c>
      <c r="F40" s="102">
        <f>F23</f>
        <v>9.5299999999999996E-2</v>
      </c>
      <c r="G40" s="103" t="s">
        <v>324</v>
      </c>
      <c r="H40" s="100">
        <f>INDEX(Data_base_case!$D$8:$FS$118,MATCH(Scenarios_definition!C40,Data_base_case!$D$8:$D$118,0),MATCH(Scenarios_definition!D40&amp;Scenarios_definition!G40,Data_base_case!$D$7:$FS$7,0))</f>
        <v>0.10185220882315059</v>
      </c>
    </row>
    <row r="41" spans="1:8" x14ac:dyDescent="0.3">
      <c r="A41" s="13" t="s">
        <v>508</v>
      </c>
      <c r="B41" s="71" t="s">
        <v>523</v>
      </c>
      <c r="C41" s="2" t="s">
        <v>95</v>
      </c>
      <c r="D41" s="1" t="s">
        <v>86</v>
      </c>
      <c r="E41" s="11" t="s">
        <v>133</v>
      </c>
      <c r="F41" s="94">
        <v>8.9630000000000001E-2</v>
      </c>
      <c r="G41" s="69" t="s">
        <v>324</v>
      </c>
      <c r="H41" s="1">
        <f>INDEX(Data_base_case!$D$8:$FS$118,MATCH(Scenarios_definition!C41,Data_base_case!$D$8:$D$118,0),MATCH(Scenarios_definition!D41&amp;Scenarios_definition!G41,Data_base_case!$D$7:$FS$7,0))</f>
        <v>8.8495575221238937E-2</v>
      </c>
    </row>
    <row r="42" spans="1:8" x14ac:dyDescent="0.3">
      <c r="A42" s="13"/>
      <c r="B42" s="71" t="str">
        <f>B41</f>
        <v>2030 NH3 SOEC - AU</v>
      </c>
      <c r="C42" s="2" t="s">
        <v>242</v>
      </c>
      <c r="D42" s="1" t="s">
        <v>86</v>
      </c>
      <c r="E42" s="11" t="s">
        <v>133</v>
      </c>
      <c r="F42" s="94">
        <f>F41</f>
        <v>8.9630000000000001E-2</v>
      </c>
      <c r="G42" s="69" t="s">
        <v>324</v>
      </c>
      <c r="H42" s="1">
        <f>INDEX(Data_base_case!$D$8:$FS$118,MATCH(Scenarios_definition!C42,Data_base_case!$D$8:$D$118,0),MATCH(Scenarios_definition!D42&amp;Scenarios_definition!G42,Data_base_case!$D$7:$FS$7,0))</f>
        <v>8.8495575221238937E-2</v>
      </c>
    </row>
    <row r="43" spans="1:8" x14ac:dyDescent="0.3">
      <c r="A43" s="13"/>
      <c r="B43" s="71" t="str">
        <f>B42</f>
        <v>2030 NH3 SOEC - AU</v>
      </c>
      <c r="C43" s="96" t="s">
        <v>162</v>
      </c>
      <c r="D43" s="1" t="s">
        <v>86</v>
      </c>
      <c r="E43" s="11" t="s">
        <v>133</v>
      </c>
      <c r="F43" s="94">
        <v>7.6980000000000007E-2</v>
      </c>
      <c r="G43" s="69" t="s">
        <v>324</v>
      </c>
      <c r="H43" s="1">
        <f>INDEX(Data_base_case!$D$8:$FS$118,MATCH(Scenarios_definition!C43,Data_base_case!$D$8:$D$118,0),MATCH(Scenarios_definition!D43&amp;Scenarios_definition!G43,Data_base_case!$D$7:$FS$7,0))</f>
        <v>8.174285816161557E-2</v>
      </c>
    </row>
    <row r="44" spans="1:8" x14ac:dyDescent="0.3">
      <c r="A44" s="13"/>
      <c r="B44" s="71" t="str">
        <f t="shared" ref="B44:B58" si="2">B43</f>
        <v>2030 NH3 SOEC - AU</v>
      </c>
      <c r="C44" s="6" t="s">
        <v>47</v>
      </c>
      <c r="D44" s="1" t="s">
        <v>86</v>
      </c>
      <c r="E44" s="11" t="s">
        <v>133</v>
      </c>
      <c r="F44" s="94">
        <v>7.9310000000000005E-2</v>
      </c>
      <c r="G44" s="69" t="s">
        <v>324</v>
      </c>
      <c r="H44" s="1">
        <f>INDEX(Data_base_case!$D$8:$FS$118,MATCH(Scenarios_definition!C44,Data_base_case!$D$8:$D$118,0),MATCH(Scenarios_definition!D44&amp;Scenarios_definition!G44,Data_base_case!$D$7:$FS$7,0))</f>
        <v>8.3860161500585326E-2</v>
      </c>
    </row>
    <row r="45" spans="1:8" x14ac:dyDescent="0.3">
      <c r="A45" s="13"/>
      <c r="B45" s="71" t="str">
        <f t="shared" si="2"/>
        <v>2030 NH3 SOEC - AU</v>
      </c>
      <c r="C45" s="6" t="s">
        <v>49</v>
      </c>
      <c r="D45" s="1" t="s">
        <v>86</v>
      </c>
      <c r="E45" s="11" t="s">
        <v>133</v>
      </c>
      <c r="F45" s="94">
        <f>F44</f>
        <v>7.9310000000000005E-2</v>
      </c>
      <c r="G45" s="69" t="s">
        <v>324</v>
      </c>
      <c r="H45" s="1">
        <f>INDEX(Data_base_case!$D$8:$FS$118,MATCH(Scenarios_definition!C45,Data_base_case!$D$8:$D$118,0),MATCH(Scenarios_definition!D45&amp;Scenarios_definition!G45,Data_base_case!$D$7:$FS$7,0))</f>
        <v>8.3860161500585326E-2</v>
      </c>
    </row>
    <row r="46" spans="1:8" x14ac:dyDescent="0.3">
      <c r="A46" s="13"/>
      <c r="B46" s="71" t="str">
        <f t="shared" si="2"/>
        <v>2030 NH3 SOEC - AU</v>
      </c>
      <c r="C46" s="2" t="s">
        <v>164</v>
      </c>
      <c r="D46" s="1" t="s">
        <v>86</v>
      </c>
      <c r="E46" s="11" t="s">
        <v>133</v>
      </c>
      <c r="F46" s="94">
        <v>8.4589999999999999E-2</v>
      </c>
      <c r="G46" s="69" t="s">
        <v>324</v>
      </c>
      <c r="H46" s="1">
        <f>INDEX(Data_base_case!$D$8:$FS$118,MATCH(Scenarios_definition!C46,Data_base_case!$D$8:$D$118,0),MATCH(Scenarios_definition!D46&amp;Scenarios_definition!G46,Data_base_case!$D$7:$FS$7,0))</f>
        <v>8.8827433387272267E-2</v>
      </c>
    </row>
    <row r="47" spans="1:8" x14ac:dyDescent="0.3">
      <c r="A47" s="13"/>
      <c r="B47" s="71" t="str">
        <f t="shared" si="2"/>
        <v>2030 NH3 SOEC - AU</v>
      </c>
      <c r="C47" s="2" t="s">
        <v>54</v>
      </c>
      <c r="D47" s="1" t="s">
        <v>86</v>
      </c>
      <c r="E47" s="11" t="s">
        <v>133</v>
      </c>
      <c r="F47" s="94">
        <f>F46</f>
        <v>8.4589999999999999E-2</v>
      </c>
      <c r="G47" s="69" t="s">
        <v>324</v>
      </c>
      <c r="H47" s="1">
        <f>INDEX(Data_base_case!$D$8:$FS$118,MATCH(Scenarios_definition!C47,Data_base_case!$D$8:$D$118,0),MATCH(Scenarios_definition!D47&amp;Scenarios_definition!G47,Data_base_case!$D$7:$FS$7,0))</f>
        <v>8.8827433387272267E-2</v>
      </c>
    </row>
    <row r="48" spans="1:8" x14ac:dyDescent="0.3">
      <c r="A48" s="13"/>
      <c r="B48" s="71" t="str">
        <f t="shared" si="2"/>
        <v>2030 NH3 SOEC - AU</v>
      </c>
      <c r="C48" s="2" t="s">
        <v>56</v>
      </c>
      <c r="D48" s="1" t="s">
        <v>86</v>
      </c>
      <c r="E48" s="11" t="s">
        <v>133</v>
      </c>
      <c r="F48" s="94">
        <f>F46</f>
        <v>8.4589999999999999E-2</v>
      </c>
      <c r="G48" s="69" t="s">
        <v>324</v>
      </c>
      <c r="H48" s="1">
        <f>INDEX(Data_base_case!$D$8:$FS$118,MATCH(Scenarios_definition!C48,Data_base_case!$D$8:$D$118,0),MATCH(Scenarios_definition!D48&amp;Scenarios_definition!G48,Data_base_case!$D$7:$FS$7,0))</f>
        <v>8.8827433387272267E-2</v>
      </c>
    </row>
    <row r="49" spans="1:8" x14ac:dyDescent="0.3">
      <c r="A49" s="13"/>
      <c r="B49" s="71" t="str">
        <f t="shared" si="2"/>
        <v>2030 NH3 SOEC - AU</v>
      </c>
      <c r="C49" s="2" t="s">
        <v>58</v>
      </c>
      <c r="D49" s="1" t="s">
        <v>86</v>
      </c>
      <c r="E49" s="11" t="s">
        <v>133</v>
      </c>
      <c r="F49" s="94">
        <f>F46</f>
        <v>8.4589999999999999E-2</v>
      </c>
      <c r="G49" s="69" t="s">
        <v>324</v>
      </c>
      <c r="H49" s="1">
        <f>INDEX(Data_base_case!$D$8:$FS$118,MATCH(Scenarios_definition!C49,Data_base_case!$D$8:$D$118,0),MATCH(Scenarios_definition!D49&amp;Scenarios_definition!G49,Data_base_case!$D$7:$FS$7,0))</f>
        <v>8.8827433387272267E-2</v>
      </c>
    </row>
    <row r="50" spans="1:8" x14ac:dyDescent="0.3">
      <c r="A50" s="13"/>
      <c r="B50" s="71" t="str">
        <f t="shared" si="2"/>
        <v>2030 NH3 SOEC - AU</v>
      </c>
      <c r="C50" s="2" t="s">
        <v>60</v>
      </c>
      <c r="D50" s="1" t="s">
        <v>86</v>
      </c>
      <c r="E50" s="11" t="s">
        <v>133</v>
      </c>
      <c r="F50" s="94">
        <f>F46</f>
        <v>8.4589999999999999E-2</v>
      </c>
      <c r="G50" s="69" t="s">
        <v>324</v>
      </c>
      <c r="H50" s="1">
        <f>INDEX(Data_base_case!$D$8:$FS$118,MATCH(Scenarios_definition!C50,Data_base_case!$D$8:$D$118,0),MATCH(Scenarios_definition!D50&amp;Scenarios_definition!G50,Data_base_case!$D$7:$FS$7,0))</f>
        <v>8.8827433387272267E-2</v>
      </c>
    </row>
    <row r="51" spans="1:8" x14ac:dyDescent="0.3">
      <c r="A51" s="13"/>
      <c r="B51" s="71" t="str">
        <f t="shared" si="2"/>
        <v>2030 NH3 SOEC - AU</v>
      </c>
      <c r="C51" s="2" t="s">
        <v>62</v>
      </c>
      <c r="D51" s="1" t="s">
        <v>86</v>
      </c>
      <c r="E51" s="11" t="s">
        <v>133</v>
      </c>
      <c r="F51" s="94">
        <f>F46</f>
        <v>8.4589999999999999E-2</v>
      </c>
      <c r="G51" s="69" t="s">
        <v>324</v>
      </c>
      <c r="H51" s="1">
        <f>INDEX(Data_base_case!$D$8:$FS$118,MATCH(Scenarios_definition!C51,Data_base_case!$D$8:$D$118,0),MATCH(Scenarios_definition!D51&amp;Scenarios_definition!G51,Data_base_case!$D$7:$FS$7,0))</f>
        <v>8.8827433387272267E-2</v>
      </c>
    </row>
    <row r="52" spans="1:8" x14ac:dyDescent="0.3">
      <c r="A52" s="13"/>
      <c r="B52" s="71" t="str">
        <f t="shared" si="2"/>
        <v>2030 NH3 SOEC - AU</v>
      </c>
      <c r="C52" s="2" t="s">
        <v>64</v>
      </c>
      <c r="D52" s="1" t="s">
        <v>86</v>
      </c>
      <c r="E52" s="11" t="s">
        <v>133</v>
      </c>
      <c r="F52" s="94">
        <f>F46</f>
        <v>8.4589999999999999E-2</v>
      </c>
      <c r="G52" s="69" t="s">
        <v>324</v>
      </c>
      <c r="H52" s="1">
        <f>INDEX(Data_base_case!$D$8:$FS$118,MATCH(Scenarios_definition!C52,Data_base_case!$D$8:$D$118,0),MATCH(Scenarios_definition!D52&amp;Scenarios_definition!G52,Data_base_case!$D$7:$FS$7,0))</f>
        <v>8.8827433387272267E-2</v>
      </c>
    </row>
    <row r="53" spans="1:8" x14ac:dyDescent="0.3">
      <c r="A53" s="13"/>
      <c r="B53" s="71" t="str">
        <f t="shared" si="2"/>
        <v>2030 NH3 SOEC - AU</v>
      </c>
      <c r="C53" s="2" t="s">
        <v>66</v>
      </c>
      <c r="D53" s="1" t="s">
        <v>86</v>
      </c>
      <c r="E53" s="11" t="s">
        <v>133</v>
      </c>
      <c r="F53" s="94">
        <f>F46</f>
        <v>8.4589999999999999E-2</v>
      </c>
      <c r="G53" s="69" t="s">
        <v>324</v>
      </c>
      <c r="H53" s="1">
        <f>INDEX(Data_base_case!$D$8:$FS$118,MATCH(Scenarios_definition!C53,Data_base_case!$D$8:$D$118,0),MATCH(Scenarios_definition!D53&amp;Scenarios_definition!G53,Data_base_case!$D$7:$FS$7,0))</f>
        <v>8.8827433387272267E-2</v>
      </c>
    </row>
    <row r="54" spans="1:8" x14ac:dyDescent="0.3">
      <c r="A54" s="13"/>
      <c r="B54" s="71" t="str">
        <f t="shared" si="2"/>
        <v>2030 NH3 SOEC - AU</v>
      </c>
      <c r="C54" s="2" t="s">
        <v>68</v>
      </c>
      <c r="D54" s="1" t="s">
        <v>86</v>
      </c>
      <c r="E54" s="11" t="s">
        <v>133</v>
      </c>
      <c r="F54" s="94">
        <f>F46</f>
        <v>8.4589999999999999E-2</v>
      </c>
      <c r="G54" s="69" t="s">
        <v>324</v>
      </c>
      <c r="H54" s="1">
        <f>INDEX(Data_base_case!$D$8:$FS$118,MATCH(Scenarios_definition!C54,Data_base_case!$D$8:$D$118,0),MATCH(Scenarios_definition!D54&amp;Scenarios_definition!G54,Data_base_case!$D$7:$FS$7,0))</f>
        <v>8.8827433387272267E-2</v>
      </c>
    </row>
    <row r="55" spans="1:8" x14ac:dyDescent="0.3">
      <c r="A55" s="13"/>
      <c r="B55" s="71" t="str">
        <f t="shared" si="2"/>
        <v>2030 NH3 SOEC - AU</v>
      </c>
      <c r="C55" s="2" t="s">
        <v>70</v>
      </c>
      <c r="D55" s="1" t="s">
        <v>86</v>
      </c>
      <c r="E55" s="11" t="s">
        <v>133</v>
      </c>
      <c r="F55" s="94">
        <f>F46</f>
        <v>8.4589999999999999E-2</v>
      </c>
      <c r="G55" s="69" t="s">
        <v>324</v>
      </c>
      <c r="H55" s="1">
        <f>INDEX(Data_base_case!$D$8:$FS$118,MATCH(Scenarios_definition!C55,Data_base_case!$D$8:$D$118,0),MATCH(Scenarios_definition!D55&amp;Scenarios_definition!G55,Data_base_case!$D$7:$FS$7,0))</f>
        <v>8.8827433387272267E-2</v>
      </c>
    </row>
    <row r="56" spans="1:8" x14ac:dyDescent="0.3">
      <c r="A56" s="13"/>
      <c r="B56" s="71" t="str">
        <f t="shared" si="2"/>
        <v>2030 NH3 SOEC - AU</v>
      </c>
      <c r="C56" s="2" t="s">
        <v>72</v>
      </c>
      <c r="D56" s="1" t="s">
        <v>86</v>
      </c>
      <c r="E56" s="11" t="s">
        <v>133</v>
      </c>
      <c r="F56" s="94">
        <f>F46</f>
        <v>8.4589999999999999E-2</v>
      </c>
      <c r="G56" s="69" t="s">
        <v>324</v>
      </c>
      <c r="H56" s="1">
        <f>INDEX(Data_base_case!$D$8:$FS$118,MATCH(Scenarios_definition!C56,Data_base_case!$D$8:$D$118,0),MATCH(Scenarios_definition!D56&amp;Scenarios_definition!G56,Data_base_case!$D$7:$FS$7,0))</f>
        <v>8.8827433387272267E-2</v>
      </c>
    </row>
    <row r="57" spans="1:8" x14ac:dyDescent="0.3">
      <c r="A57" s="13"/>
      <c r="B57" s="71" t="str">
        <f t="shared" si="2"/>
        <v>2030 NH3 SOEC - AU</v>
      </c>
      <c r="C57" s="2" t="s">
        <v>165</v>
      </c>
      <c r="D57" s="1" t="s">
        <v>86</v>
      </c>
      <c r="E57" s="11" t="s">
        <v>133</v>
      </c>
      <c r="F57" s="94">
        <f>F46</f>
        <v>8.4589999999999999E-2</v>
      </c>
      <c r="G57" s="69" t="s">
        <v>324</v>
      </c>
      <c r="H57" s="1">
        <f>INDEX(Data_base_case!$D$8:$FS$118,MATCH(Scenarios_definition!C57,Data_base_case!$D$8:$D$118,0),MATCH(Scenarios_definition!D57&amp;Scenarios_definition!G57,Data_base_case!$D$7:$FS$7,0))</f>
        <v>8.8827433387272267E-2</v>
      </c>
    </row>
    <row r="58" spans="1:8" s="100" customFormat="1" x14ac:dyDescent="0.3">
      <c r="A58" s="97"/>
      <c r="B58" s="98" t="str">
        <f t="shared" si="2"/>
        <v>2030 NH3 SOEC - AU</v>
      </c>
      <c r="C58" s="99" t="s">
        <v>46</v>
      </c>
      <c r="D58" s="100" t="s">
        <v>86</v>
      </c>
      <c r="E58" s="101" t="s">
        <v>133</v>
      </c>
      <c r="F58" s="102">
        <f>F41</f>
        <v>8.9630000000000001E-2</v>
      </c>
      <c r="G58" s="103" t="s">
        <v>324</v>
      </c>
      <c r="H58" s="100">
        <f>INDEX(Data_base_case!$D$8:$FS$118,MATCH(Scenarios_definition!C58,Data_base_case!$D$8:$D$118,0),MATCH(Scenarios_definition!D58&amp;Scenarios_definition!G58,Data_base_case!$D$7:$FS$7,0))</f>
        <v>0.10185220882315059</v>
      </c>
    </row>
    <row r="59" spans="1:8" x14ac:dyDescent="0.3">
      <c r="A59" s="13" t="s">
        <v>508</v>
      </c>
      <c r="B59" s="71" t="s">
        <v>525</v>
      </c>
      <c r="C59" s="2" t="s">
        <v>95</v>
      </c>
      <c r="D59" s="1" t="s">
        <v>86</v>
      </c>
      <c r="E59" s="11" t="s">
        <v>133</v>
      </c>
      <c r="F59" s="94">
        <v>8.9950000000000002E-2</v>
      </c>
      <c r="G59" s="69" t="s">
        <v>324</v>
      </c>
      <c r="H59" s="1">
        <f>INDEX(Data_base_case!$D$8:$FS$118,MATCH(Scenarios_definition!C59,Data_base_case!$D$8:$D$118,0),MATCH(Scenarios_definition!D59&amp;Scenarios_definition!G59,Data_base_case!$D$7:$FS$7,0))</f>
        <v>8.8495575221238937E-2</v>
      </c>
    </row>
    <row r="60" spans="1:8" x14ac:dyDescent="0.3">
      <c r="A60" s="13"/>
      <c r="B60" s="71" t="str">
        <f>B59</f>
        <v>2030 NH3 SOEC - DK</v>
      </c>
      <c r="C60" s="2" t="s">
        <v>242</v>
      </c>
      <c r="D60" s="1" t="s">
        <v>86</v>
      </c>
      <c r="E60" s="11" t="s">
        <v>133</v>
      </c>
      <c r="F60" s="94">
        <f>F59</f>
        <v>8.9950000000000002E-2</v>
      </c>
      <c r="G60" s="69" t="s">
        <v>324</v>
      </c>
      <c r="H60" s="1">
        <f>INDEX(Data_base_case!$D$8:$FS$118,MATCH(Scenarios_definition!C60,Data_base_case!$D$8:$D$118,0),MATCH(Scenarios_definition!D60&amp;Scenarios_definition!G60,Data_base_case!$D$7:$FS$7,0))</f>
        <v>8.8495575221238937E-2</v>
      </c>
    </row>
    <row r="61" spans="1:8" x14ac:dyDescent="0.3">
      <c r="A61" s="13"/>
      <c r="B61" s="71" t="str">
        <f>B60</f>
        <v>2030 NH3 SOEC - DK</v>
      </c>
      <c r="C61" s="96" t="s">
        <v>162</v>
      </c>
      <c r="D61" s="1" t="s">
        <v>86</v>
      </c>
      <c r="E61" s="11" t="s">
        <v>133</v>
      </c>
      <c r="F61" s="94">
        <v>7.7350000000000002E-2</v>
      </c>
      <c r="G61" s="69" t="s">
        <v>324</v>
      </c>
      <c r="H61" s="1">
        <f>INDEX(Data_base_case!$D$8:$FS$118,MATCH(Scenarios_definition!C61,Data_base_case!$D$8:$D$118,0),MATCH(Scenarios_definition!D61&amp;Scenarios_definition!G61,Data_base_case!$D$7:$FS$7,0))</f>
        <v>8.174285816161557E-2</v>
      </c>
    </row>
    <row r="62" spans="1:8" x14ac:dyDescent="0.3">
      <c r="A62" s="13"/>
      <c r="B62" s="71" t="str">
        <f t="shared" ref="B62:B76" si="3">B61</f>
        <v>2030 NH3 SOEC - DK</v>
      </c>
      <c r="C62" s="6" t="s">
        <v>47</v>
      </c>
      <c r="D62" s="1" t="s">
        <v>86</v>
      </c>
      <c r="E62" s="11" t="s">
        <v>133</v>
      </c>
      <c r="F62" s="94">
        <v>7.9670000000000005E-2</v>
      </c>
      <c r="G62" s="69" t="s">
        <v>324</v>
      </c>
      <c r="H62" s="1">
        <f>INDEX(Data_base_case!$D$8:$FS$118,MATCH(Scenarios_definition!C62,Data_base_case!$D$8:$D$118,0),MATCH(Scenarios_definition!D62&amp;Scenarios_definition!G62,Data_base_case!$D$7:$FS$7,0))</f>
        <v>8.3860161500585326E-2</v>
      </c>
    </row>
    <row r="63" spans="1:8" x14ac:dyDescent="0.3">
      <c r="A63" s="13"/>
      <c r="B63" s="71" t="str">
        <f t="shared" si="3"/>
        <v>2030 NH3 SOEC - DK</v>
      </c>
      <c r="C63" s="6" t="s">
        <v>49</v>
      </c>
      <c r="D63" s="1" t="s">
        <v>86</v>
      </c>
      <c r="E63" s="11" t="s">
        <v>133</v>
      </c>
      <c r="F63" s="94">
        <f>F62</f>
        <v>7.9670000000000005E-2</v>
      </c>
      <c r="G63" s="69" t="s">
        <v>324</v>
      </c>
      <c r="H63" s="1">
        <f>INDEX(Data_base_case!$D$8:$FS$118,MATCH(Scenarios_definition!C63,Data_base_case!$D$8:$D$118,0),MATCH(Scenarios_definition!D63&amp;Scenarios_definition!G63,Data_base_case!$D$7:$FS$7,0))</f>
        <v>8.3860161500585326E-2</v>
      </c>
    </row>
    <row r="64" spans="1:8" x14ac:dyDescent="0.3">
      <c r="A64" s="13"/>
      <c r="B64" s="71" t="str">
        <f t="shared" si="3"/>
        <v>2030 NH3 SOEC - DK</v>
      </c>
      <c r="C64" s="2" t="s">
        <v>164</v>
      </c>
      <c r="D64" s="1" t="s">
        <v>86</v>
      </c>
      <c r="E64" s="11" t="s">
        <v>133</v>
      </c>
      <c r="F64" s="94">
        <v>8.4919999999999995E-2</v>
      </c>
      <c r="G64" s="69" t="s">
        <v>324</v>
      </c>
      <c r="H64" s="1">
        <f>INDEX(Data_base_case!$D$8:$FS$118,MATCH(Scenarios_definition!C64,Data_base_case!$D$8:$D$118,0),MATCH(Scenarios_definition!D64&amp;Scenarios_definition!G64,Data_base_case!$D$7:$FS$7,0))</f>
        <v>8.8827433387272267E-2</v>
      </c>
    </row>
    <row r="65" spans="1:8" x14ac:dyDescent="0.3">
      <c r="A65" s="13"/>
      <c r="B65" s="71" t="str">
        <f t="shared" si="3"/>
        <v>2030 NH3 SOEC - DK</v>
      </c>
      <c r="C65" s="2" t="s">
        <v>54</v>
      </c>
      <c r="D65" s="1" t="s">
        <v>86</v>
      </c>
      <c r="E65" s="11" t="s">
        <v>133</v>
      </c>
      <c r="F65" s="94">
        <f>F64</f>
        <v>8.4919999999999995E-2</v>
      </c>
      <c r="G65" s="69" t="s">
        <v>324</v>
      </c>
      <c r="H65" s="1">
        <f>INDEX(Data_base_case!$D$8:$FS$118,MATCH(Scenarios_definition!C65,Data_base_case!$D$8:$D$118,0),MATCH(Scenarios_definition!D65&amp;Scenarios_definition!G65,Data_base_case!$D$7:$FS$7,0))</f>
        <v>8.8827433387272267E-2</v>
      </c>
    </row>
    <row r="66" spans="1:8" x14ac:dyDescent="0.3">
      <c r="A66" s="13"/>
      <c r="B66" s="71" t="str">
        <f t="shared" si="3"/>
        <v>2030 NH3 SOEC - DK</v>
      </c>
      <c r="C66" s="2" t="s">
        <v>56</v>
      </c>
      <c r="D66" s="1" t="s">
        <v>86</v>
      </c>
      <c r="E66" s="11" t="s">
        <v>133</v>
      </c>
      <c r="F66" s="94">
        <f>F64</f>
        <v>8.4919999999999995E-2</v>
      </c>
      <c r="G66" s="69" t="s">
        <v>324</v>
      </c>
      <c r="H66" s="1">
        <f>INDEX(Data_base_case!$D$8:$FS$118,MATCH(Scenarios_definition!C66,Data_base_case!$D$8:$D$118,0),MATCH(Scenarios_definition!D66&amp;Scenarios_definition!G66,Data_base_case!$D$7:$FS$7,0))</f>
        <v>8.8827433387272267E-2</v>
      </c>
    </row>
    <row r="67" spans="1:8" x14ac:dyDescent="0.3">
      <c r="A67" s="13"/>
      <c r="B67" s="71" t="str">
        <f t="shared" si="3"/>
        <v>2030 NH3 SOEC - DK</v>
      </c>
      <c r="C67" s="2" t="s">
        <v>58</v>
      </c>
      <c r="D67" s="1" t="s">
        <v>86</v>
      </c>
      <c r="E67" s="11" t="s">
        <v>133</v>
      </c>
      <c r="F67" s="94">
        <f>F64</f>
        <v>8.4919999999999995E-2</v>
      </c>
      <c r="G67" s="69" t="s">
        <v>324</v>
      </c>
      <c r="H67" s="1">
        <f>INDEX(Data_base_case!$D$8:$FS$118,MATCH(Scenarios_definition!C67,Data_base_case!$D$8:$D$118,0),MATCH(Scenarios_definition!D67&amp;Scenarios_definition!G67,Data_base_case!$D$7:$FS$7,0))</f>
        <v>8.8827433387272267E-2</v>
      </c>
    </row>
    <row r="68" spans="1:8" x14ac:dyDescent="0.3">
      <c r="A68" s="13"/>
      <c r="B68" s="71" t="str">
        <f t="shared" si="3"/>
        <v>2030 NH3 SOEC - DK</v>
      </c>
      <c r="C68" s="2" t="s">
        <v>60</v>
      </c>
      <c r="D68" s="1" t="s">
        <v>86</v>
      </c>
      <c r="E68" s="11" t="s">
        <v>133</v>
      </c>
      <c r="F68" s="94">
        <f>F64</f>
        <v>8.4919999999999995E-2</v>
      </c>
      <c r="G68" s="69" t="s">
        <v>324</v>
      </c>
      <c r="H68" s="1">
        <f>INDEX(Data_base_case!$D$8:$FS$118,MATCH(Scenarios_definition!C68,Data_base_case!$D$8:$D$118,0),MATCH(Scenarios_definition!D68&amp;Scenarios_definition!G68,Data_base_case!$D$7:$FS$7,0))</f>
        <v>8.8827433387272267E-2</v>
      </c>
    </row>
    <row r="69" spans="1:8" x14ac:dyDescent="0.3">
      <c r="A69" s="13"/>
      <c r="B69" s="71" t="str">
        <f t="shared" si="3"/>
        <v>2030 NH3 SOEC - DK</v>
      </c>
      <c r="C69" s="2" t="s">
        <v>62</v>
      </c>
      <c r="D69" s="1" t="s">
        <v>86</v>
      </c>
      <c r="E69" s="11" t="s">
        <v>133</v>
      </c>
      <c r="F69" s="94">
        <f>F64</f>
        <v>8.4919999999999995E-2</v>
      </c>
      <c r="G69" s="69" t="s">
        <v>324</v>
      </c>
      <c r="H69" s="1">
        <f>INDEX(Data_base_case!$D$8:$FS$118,MATCH(Scenarios_definition!C69,Data_base_case!$D$8:$D$118,0),MATCH(Scenarios_definition!D69&amp;Scenarios_definition!G69,Data_base_case!$D$7:$FS$7,0))</f>
        <v>8.8827433387272267E-2</v>
      </c>
    </row>
    <row r="70" spans="1:8" x14ac:dyDescent="0.3">
      <c r="A70" s="13"/>
      <c r="B70" s="71" t="str">
        <f t="shared" si="3"/>
        <v>2030 NH3 SOEC - DK</v>
      </c>
      <c r="C70" s="2" t="s">
        <v>64</v>
      </c>
      <c r="D70" s="1" t="s">
        <v>86</v>
      </c>
      <c r="E70" s="11" t="s">
        <v>133</v>
      </c>
      <c r="F70" s="94">
        <f>F64</f>
        <v>8.4919999999999995E-2</v>
      </c>
      <c r="G70" s="69" t="s">
        <v>324</v>
      </c>
      <c r="H70" s="1">
        <f>INDEX(Data_base_case!$D$8:$FS$118,MATCH(Scenarios_definition!C70,Data_base_case!$D$8:$D$118,0),MATCH(Scenarios_definition!D70&amp;Scenarios_definition!G70,Data_base_case!$D$7:$FS$7,0))</f>
        <v>8.8827433387272267E-2</v>
      </c>
    </row>
    <row r="71" spans="1:8" x14ac:dyDescent="0.3">
      <c r="A71" s="13"/>
      <c r="B71" s="71" t="str">
        <f t="shared" si="3"/>
        <v>2030 NH3 SOEC - DK</v>
      </c>
      <c r="C71" s="2" t="s">
        <v>66</v>
      </c>
      <c r="D71" s="1" t="s">
        <v>86</v>
      </c>
      <c r="E71" s="11" t="s">
        <v>133</v>
      </c>
      <c r="F71" s="94">
        <f>F64</f>
        <v>8.4919999999999995E-2</v>
      </c>
      <c r="G71" s="69" t="s">
        <v>324</v>
      </c>
      <c r="H71" s="1">
        <f>INDEX(Data_base_case!$D$8:$FS$118,MATCH(Scenarios_definition!C71,Data_base_case!$D$8:$D$118,0),MATCH(Scenarios_definition!D71&amp;Scenarios_definition!G71,Data_base_case!$D$7:$FS$7,0))</f>
        <v>8.8827433387272267E-2</v>
      </c>
    </row>
    <row r="72" spans="1:8" x14ac:dyDescent="0.3">
      <c r="A72" s="13"/>
      <c r="B72" s="71" t="str">
        <f t="shared" si="3"/>
        <v>2030 NH3 SOEC - DK</v>
      </c>
      <c r="C72" s="2" t="s">
        <v>68</v>
      </c>
      <c r="D72" s="1" t="s">
        <v>86</v>
      </c>
      <c r="E72" s="11" t="s">
        <v>133</v>
      </c>
      <c r="F72" s="94">
        <f>F64</f>
        <v>8.4919999999999995E-2</v>
      </c>
      <c r="G72" s="69" t="s">
        <v>324</v>
      </c>
      <c r="H72" s="1">
        <f>INDEX(Data_base_case!$D$8:$FS$118,MATCH(Scenarios_definition!C72,Data_base_case!$D$8:$D$118,0),MATCH(Scenarios_definition!D72&amp;Scenarios_definition!G72,Data_base_case!$D$7:$FS$7,0))</f>
        <v>8.8827433387272267E-2</v>
      </c>
    </row>
    <row r="73" spans="1:8" x14ac:dyDescent="0.3">
      <c r="A73" s="13"/>
      <c r="B73" s="71" t="str">
        <f t="shared" si="3"/>
        <v>2030 NH3 SOEC - DK</v>
      </c>
      <c r="C73" s="2" t="s">
        <v>70</v>
      </c>
      <c r="D73" s="1" t="s">
        <v>86</v>
      </c>
      <c r="E73" s="11" t="s">
        <v>133</v>
      </c>
      <c r="F73" s="94">
        <f>F64</f>
        <v>8.4919999999999995E-2</v>
      </c>
      <c r="G73" s="69" t="s">
        <v>324</v>
      </c>
      <c r="H73" s="1">
        <f>INDEX(Data_base_case!$D$8:$FS$118,MATCH(Scenarios_definition!C73,Data_base_case!$D$8:$D$118,0),MATCH(Scenarios_definition!D73&amp;Scenarios_definition!G73,Data_base_case!$D$7:$FS$7,0))</f>
        <v>8.8827433387272267E-2</v>
      </c>
    </row>
    <row r="74" spans="1:8" x14ac:dyDescent="0.3">
      <c r="A74" s="13"/>
      <c r="B74" s="71" t="str">
        <f t="shared" si="3"/>
        <v>2030 NH3 SOEC - DK</v>
      </c>
      <c r="C74" s="2" t="s">
        <v>72</v>
      </c>
      <c r="D74" s="1" t="s">
        <v>86</v>
      </c>
      <c r="E74" s="11" t="s">
        <v>133</v>
      </c>
      <c r="F74" s="94">
        <f>F64</f>
        <v>8.4919999999999995E-2</v>
      </c>
      <c r="G74" s="69" t="s">
        <v>324</v>
      </c>
      <c r="H74" s="1">
        <f>INDEX(Data_base_case!$D$8:$FS$118,MATCH(Scenarios_definition!C74,Data_base_case!$D$8:$D$118,0),MATCH(Scenarios_definition!D74&amp;Scenarios_definition!G74,Data_base_case!$D$7:$FS$7,0))</f>
        <v>8.8827433387272267E-2</v>
      </c>
    </row>
    <row r="75" spans="1:8" x14ac:dyDescent="0.3">
      <c r="A75" s="13"/>
      <c r="B75" s="71" t="str">
        <f t="shared" si="3"/>
        <v>2030 NH3 SOEC - DK</v>
      </c>
      <c r="C75" s="2" t="s">
        <v>165</v>
      </c>
      <c r="D75" s="1" t="s">
        <v>86</v>
      </c>
      <c r="E75" s="11" t="s">
        <v>133</v>
      </c>
      <c r="F75" s="94">
        <f>F64</f>
        <v>8.4919999999999995E-2</v>
      </c>
      <c r="G75" s="69" t="s">
        <v>324</v>
      </c>
      <c r="H75" s="1">
        <f>INDEX(Data_base_case!$D$8:$FS$118,MATCH(Scenarios_definition!C75,Data_base_case!$D$8:$D$118,0),MATCH(Scenarios_definition!D75&amp;Scenarios_definition!G75,Data_base_case!$D$7:$FS$7,0))</f>
        <v>8.8827433387272267E-2</v>
      </c>
    </row>
    <row r="76" spans="1:8" s="100" customFormat="1" x14ac:dyDescent="0.3">
      <c r="A76" s="97"/>
      <c r="B76" s="98" t="str">
        <f t="shared" si="3"/>
        <v>2030 NH3 SOEC - DK</v>
      </c>
      <c r="C76" s="99" t="s">
        <v>46</v>
      </c>
      <c r="D76" s="100" t="s">
        <v>86</v>
      </c>
      <c r="E76" s="101" t="s">
        <v>133</v>
      </c>
      <c r="F76" s="102">
        <f>F59</f>
        <v>8.9950000000000002E-2</v>
      </c>
      <c r="G76" s="103" t="s">
        <v>324</v>
      </c>
      <c r="H76" s="100">
        <f>INDEX(Data_base_case!$D$8:$FS$118,MATCH(Scenarios_definition!C76,Data_base_case!$D$8:$D$118,0),MATCH(Scenarios_definition!D76&amp;Scenarios_definition!G76,Data_base_case!$D$7:$FS$7,0))</f>
        <v>0.10185220882315059</v>
      </c>
    </row>
  </sheetData>
  <phoneticPr fontId="15" type="noConversion"/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93"/>
  <sheetViews>
    <sheetView tabSelected="1" workbookViewId="0">
      <selection activeCell="C14" sqref="C14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7.2187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55468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11" t="s">
        <v>156</v>
      </c>
      <c r="C2" s="112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13" t="s">
        <v>182</v>
      </c>
      <c r="I2" s="113" t="s">
        <v>181</v>
      </c>
      <c r="J2" s="13" t="s">
        <v>87</v>
      </c>
      <c r="K2" s="13" t="s">
        <v>167</v>
      </c>
      <c r="L2" s="13" t="s">
        <v>167</v>
      </c>
      <c r="M2" s="113" t="s">
        <v>255</v>
      </c>
      <c r="N2" s="114" t="s">
        <v>256</v>
      </c>
      <c r="O2" s="115" t="s">
        <v>258</v>
      </c>
      <c r="P2" s="113" t="s">
        <v>173</v>
      </c>
      <c r="Q2" s="113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11"/>
      <c r="C3" s="112"/>
      <c r="D3" s="13" t="s">
        <v>260</v>
      </c>
      <c r="E3" s="13" t="s">
        <v>120</v>
      </c>
      <c r="F3" s="13" t="s">
        <v>93</v>
      </c>
      <c r="G3" s="13">
        <v>2030</v>
      </c>
      <c r="H3" s="113"/>
      <c r="I3" s="113"/>
      <c r="J3" s="13" t="s">
        <v>104</v>
      </c>
      <c r="M3" s="113"/>
      <c r="N3" s="114"/>
      <c r="O3" s="115"/>
      <c r="P3" s="113"/>
      <c r="Q3" s="113"/>
      <c r="R3" s="13"/>
      <c r="S3" s="13"/>
      <c r="T3" s="13"/>
    </row>
    <row r="4" spans="1:35" x14ac:dyDescent="0.3">
      <c r="B4" s="111"/>
      <c r="C4" s="112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113"/>
      <c r="J4" s="13" t="s">
        <v>233</v>
      </c>
      <c r="K4" s="13"/>
      <c r="L4" s="13"/>
      <c r="M4" s="113"/>
      <c r="N4" s="114"/>
      <c r="O4" s="115"/>
      <c r="P4" s="113"/>
      <c r="Q4" s="113"/>
      <c r="R4" s="13"/>
      <c r="S4" s="13"/>
      <c r="T4" s="13"/>
    </row>
    <row r="5" spans="1:35" x14ac:dyDescent="0.3">
      <c r="B5" s="111"/>
      <c r="C5" s="112"/>
      <c r="D5" s="13" t="s">
        <v>231</v>
      </c>
      <c r="E5" s="13" t="s">
        <v>420</v>
      </c>
      <c r="F5" s="13" t="s">
        <v>133</v>
      </c>
      <c r="G5" s="13"/>
      <c r="H5" s="13"/>
      <c r="I5" s="40"/>
      <c r="J5" s="13"/>
      <c r="K5" s="13"/>
      <c r="L5" s="13"/>
      <c r="M5" s="113"/>
      <c r="N5" s="114"/>
      <c r="O5" s="115"/>
      <c r="P5" s="113"/>
      <c r="Q5" s="113"/>
      <c r="R5" s="13"/>
      <c r="S5" s="13"/>
      <c r="T5" s="13"/>
    </row>
    <row r="6" spans="1:35" x14ac:dyDescent="0.3">
      <c r="B6" s="111"/>
      <c r="C6" s="112"/>
      <c r="D6" s="13"/>
      <c r="E6" s="13" t="s">
        <v>421</v>
      </c>
      <c r="F6" s="13"/>
      <c r="G6" s="13"/>
      <c r="H6" s="13"/>
      <c r="I6" s="40"/>
      <c r="J6" s="13"/>
      <c r="K6" s="13"/>
      <c r="L6" s="13"/>
      <c r="M6" s="113"/>
      <c r="N6" s="114"/>
      <c r="O6" s="115"/>
      <c r="P6" s="113"/>
      <c r="Q6" s="113"/>
      <c r="R6" s="13"/>
      <c r="S6" s="13"/>
      <c r="T6" s="13"/>
    </row>
    <row r="7" spans="1:35" x14ac:dyDescent="0.3">
      <c r="B7" s="111"/>
      <c r="C7" s="112"/>
      <c r="E7" s="13" t="s">
        <v>422</v>
      </c>
      <c r="F7" s="13"/>
      <c r="G7" s="13"/>
      <c r="H7" s="13"/>
      <c r="I7" s="13"/>
      <c r="J7" s="13"/>
      <c r="K7" s="13"/>
      <c r="L7" s="13"/>
      <c r="M7" s="113"/>
      <c r="N7" s="114"/>
      <c r="O7" s="115"/>
      <c r="P7" s="113"/>
      <c r="Q7" s="113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10" t="s">
        <v>151</v>
      </c>
      <c r="AH7" s="107"/>
      <c r="AI7" s="107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432</v>
      </c>
      <c r="AE9" s="29" t="s">
        <v>433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39" si="0">ROW(A10)-ROW($A$9)</f>
        <v>1</v>
      </c>
      <c r="B10" s="70" t="s">
        <v>514</v>
      </c>
      <c r="C10" s="71" t="s">
        <v>508</v>
      </c>
      <c r="D10" s="72" t="s">
        <v>231</v>
      </c>
      <c r="E10" s="70" t="s">
        <v>120</v>
      </c>
      <c r="F10" s="73" t="s">
        <v>122</v>
      </c>
      <c r="G10" s="73" t="str">
        <f t="shared" ref="G10" si="1">"2030 bench"</f>
        <v>2030 bench</v>
      </c>
      <c r="H10" s="73" t="s">
        <v>239</v>
      </c>
      <c r="I10" s="73">
        <v>2020</v>
      </c>
      <c r="J10" s="73" t="s">
        <v>104</v>
      </c>
      <c r="K10" s="73">
        <v>0</v>
      </c>
      <c r="L10" s="73">
        <v>0</v>
      </c>
      <c r="M10" s="73">
        <v>-1</v>
      </c>
      <c r="N10" s="73" t="s">
        <v>122</v>
      </c>
      <c r="O10" s="73">
        <v>0</v>
      </c>
      <c r="P10" s="73">
        <v>1</v>
      </c>
      <c r="Q10" s="73">
        <v>0</v>
      </c>
      <c r="R10" s="72" t="s">
        <v>221</v>
      </c>
      <c r="S10" s="72" t="s">
        <v>222</v>
      </c>
      <c r="T10" s="72" t="s">
        <v>423</v>
      </c>
      <c r="U10" s="74" t="b">
        <v>0</v>
      </c>
      <c r="V10" s="72" t="b">
        <v>1</v>
      </c>
      <c r="W10" s="72" t="b">
        <v>0</v>
      </c>
      <c r="X10" s="72" t="b">
        <v>0</v>
      </c>
      <c r="Y10" s="72" t="b">
        <v>1</v>
      </c>
      <c r="Z10" s="72" t="b">
        <v>0</v>
      </c>
      <c r="AA10" s="72" t="b">
        <v>0</v>
      </c>
      <c r="AB10" s="72" t="b">
        <v>0</v>
      </c>
      <c r="AC10" s="72" t="b">
        <v>0</v>
      </c>
      <c r="AD10" s="72" t="b">
        <v>1</v>
      </c>
      <c r="AE10" s="72" t="b">
        <v>1</v>
      </c>
      <c r="AF10" s="75" t="b">
        <v>0</v>
      </c>
      <c r="AG10" s="72" t="b">
        <v>0</v>
      </c>
      <c r="AH10" s="72" t="b">
        <v>0</v>
      </c>
      <c r="AI10" s="72" t="b">
        <v>1</v>
      </c>
    </row>
    <row r="11" spans="1:35" x14ac:dyDescent="0.3">
      <c r="A11" s="13">
        <f t="shared" si="0"/>
        <v>2</v>
      </c>
      <c r="B11" s="70" t="s">
        <v>518</v>
      </c>
      <c r="C11" s="71" t="s">
        <v>516</v>
      </c>
      <c r="D11" s="92" t="s">
        <v>515</v>
      </c>
      <c r="E11" s="70" t="s">
        <v>120</v>
      </c>
      <c r="F11" s="73" t="s">
        <v>122</v>
      </c>
      <c r="G11" s="73" t="str">
        <f t="shared" ref="G11:G18" si="2">"2030 bench"</f>
        <v>2030 bench</v>
      </c>
      <c r="H11" s="73" t="s">
        <v>239</v>
      </c>
      <c r="I11" s="93" t="s">
        <v>517</v>
      </c>
      <c r="J11" s="73" t="s">
        <v>104</v>
      </c>
      <c r="K11" s="73">
        <v>0</v>
      </c>
      <c r="L11" s="73">
        <v>0</v>
      </c>
      <c r="M11" s="73">
        <v>-1</v>
      </c>
      <c r="N11" s="73" t="s">
        <v>122</v>
      </c>
      <c r="O11" s="73">
        <v>0</v>
      </c>
      <c r="P11" s="73">
        <v>1</v>
      </c>
      <c r="Q11" s="73">
        <v>0</v>
      </c>
      <c r="R11" s="72" t="s">
        <v>221</v>
      </c>
      <c r="S11" s="72" t="s">
        <v>222</v>
      </c>
      <c r="T11" s="72" t="s">
        <v>423</v>
      </c>
      <c r="U11" s="74" t="b">
        <v>0</v>
      </c>
      <c r="V11" s="72" t="b">
        <v>1</v>
      </c>
      <c r="W11" s="72" t="b">
        <v>0</v>
      </c>
      <c r="X11" s="72" t="b">
        <v>0</v>
      </c>
      <c r="Y11" s="72" t="b">
        <v>1</v>
      </c>
      <c r="Z11" s="72" t="b">
        <v>0</v>
      </c>
      <c r="AA11" s="72" t="b">
        <v>0</v>
      </c>
      <c r="AB11" s="72" t="b">
        <v>0</v>
      </c>
      <c r="AC11" s="72" t="b">
        <v>0</v>
      </c>
      <c r="AD11" s="72" t="b">
        <v>1</v>
      </c>
      <c r="AE11" s="72" t="b">
        <v>1</v>
      </c>
      <c r="AF11" s="75" t="b">
        <v>0</v>
      </c>
      <c r="AG11" s="72" t="b">
        <v>0</v>
      </c>
      <c r="AH11" s="72" t="b">
        <v>0</v>
      </c>
      <c r="AI11" s="72" t="b">
        <v>1</v>
      </c>
    </row>
    <row r="12" spans="1:35" x14ac:dyDescent="0.3">
      <c r="A12" s="13">
        <f t="shared" si="0"/>
        <v>3</v>
      </c>
      <c r="B12" s="70" t="s">
        <v>519</v>
      </c>
      <c r="C12" s="71" t="s">
        <v>516</v>
      </c>
      <c r="D12" s="92" t="s">
        <v>515</v>
      </c>
      <c r="E12" s="70" t="s">
        <v>120</v>
      </c>
      <c r="F12" s="73" t="s">
        <v>133</v>
      </c>
      <c r="G12" s="73" t="str">
        <f t="shared" si="2"/>
        <v>2030 bench</v>
      </c>
      <c r="H12" s="73" t="s">
        <v>239</v>
      </c>
      <c r="I12" s="93" t="s">
        <v>517</v>
      </c>
      <c r="J12" s="73" t="s">
        <v>104</v>
      </c>
      <c r="K12" s="73">
        <v>0</v>
      </c>
      <c r="L12" s="73">
        <v>0</v>
      </c>
      <c r="M12" s="73">
        <v>-1</v>
      </c>
      <c r="N12" s="73" t="s">
        <v>122</v>
      </c>
      <c r="O12" s="73">
        <v>0</v>
      </c>
      <c r="P12" s="73">
        <v>1</v>
      </c>
      <c r="Q12" s="73">
        <v>0</v>
      </c>
      <c r="R12" s="72" t="s">
        <v>221</v>
      </c>
      <c r="S12" s="72" t="s">
        <v>222</v>
      </c>
      <c r="T12" s="72" t="s">
        <v>423</v>
      </c>
      <c r="U12" s="74" t="b">
        <v>0</v>
      </c>
      <c r="V12" s="72" t="b">
        <v>1</v>
      </c>
      <c r="W12" s="72" t="b">
        <v>0</v>
      </c>
      <c r="X12" s="72" t="b">
        <v>0</v>
      </c>
      <c r="Y12" s="72" t="b">
        <v>1</v>
      </c>
      <c r="Z12" s="72" t="b">
        <v>0</v>
      </c>
      <c r="AA12" s="72" t="b">
        <v>0</v>
      </c>
      <c r="AB12" s="72" t="b">
        <v>0</v>
      </c>
      <c r="AC12" s="72" t="b">
        <v>0</v>
      </c>
      <c r="AD12" s="72" t="b">
        <v>1</v>
      </c>
      <c r="AE12" s="72" t="b">
        <v>1</v>
      </c>
      <c r="AF12" s="75" t="b">
        <v>0</v>
      </c>
      <c r="AG12" s="72" t="b">
        <v>0</v>
      </c>
      <c r="AH12" s="72" t="b">
        <v>0</v>
      </c>
      <c r="AI12" s="72" t="b">
        <v>1</v>
      </c>
    </row>
    <row r="13" spans="1:35" x14ac:dyDescent="0.3">
      <c r="A13" s="13">
        <f t="shared" si="0"/>
        <v>4</v>
      </c>
      <c r="B13" s="70" t="s">
        <v>520</v>
      </c>
      <c r="C13" s="71" t="s">
        <v>524</v>
      </c>
      <c r="D13" s="72" t="s">
        <v>240</v>
      </c>
      <c r="E13" s="70" t="s">
        <v>120</v>
      </c>
      <c r="F13" s="73" t="s">
        <v>122</v>
      </c>
      <c r="G13" s="73" t="str">
        <f t="shared" si="2"/>
        <v>2030 bench</v>
      </c>
      <c r="H13" s="73" t="s">
        <v>239</v>
      </c>
      <c r="I13" s="93" t="s">
        <v>517</v>
      </c>
      <c r="J13" s="73" t="s">
        <v>104</v>
      </c>
      <c r="K13" s="73">
        <v>0</v>
      </c>
      <c r="L13" s="73">
        <v>0</v>
      </c>
      <c r="M13" s="73">
        <v>-1</v>
      </c>
      <c r="N13" s="73" t="s">
        <v>122</v>
      </c>
      <c r="O13" s="73">
        <v>0</v>
      </c>
      <c r="P13" s="73">
        <v>1</v>
      </c>
      <c r="Q13" s="73">
        <v>0</v>
      </c>
      <c r="R13" s="72" t="s">
        <v>221</v>
      </c>
      <c r="S13" s="72" t="s">
        <v>222</v>
      </c>
      <c r="T13" s="72" t="s">
        <v>423</v>
      </c>
      <c r="U13" s="74" t="b">
        <v>0</v>
      </c>
      <c r="V13" s="72" t="b">
        <v>1</v>
      </c>
      <c r="W13" s="72" t="b">
        <v>0</v>
      </c>
      <c r="X13" s="72" t="b">
        <v>0</v>
      </c>
      <c r="Y13" s="72" t="b">
        <v>1</v>
      </c>
      <c r="Z13" s="72" t="b">
        <v>0</v>
      </c>
      <c r="AA13" s="72" t="b">
        <v>0</v>
      </c>
      <c r="AB13" s="72" t="b">
        <v>0</v>
      </c>
      <c r="AC13" s="72" t="b">
        <v>0</v>
      </c>
      <c r="AD13" s="72" t="b">
        <v>1</v>
      </c>
      <c r="AE13" s="72" t="b">
        <v>1</v>
      </c>
      <c r="AF13" s="75" t="b">
        <v>0</v>
      </c>
      <c r="AG13" s="72" t="b">
        <v>0</v>
      </c>
      <c r="AH13" s="72" t="b">
        <v>0</v>
      </c>
      <c r="AI13" s="72" t="b">
        <v>1</v>
      </c>
    </row>
    <row r="14" spans="1:35" x14ac:dyDescent="0.3">
      <c r="A14" s="13">
        <f t="shared" si="0"/>
        <v>5</v>
      </c>
      <c r="B14" s="70" t="s">
        <v>526</v>
      </c>
      <c r="C14" s="71" t="s">
        <v>524</v>
      </c>
      <c r="D14" s="72" t="s">
        <v>240</v>
      </c>
      <c r="E14" s="70" t="s">
        <v>120</v>
      </c>
      <c r="F14" s="73" t="s">
        <v>133</v>
      </c>
      <c r="G14" s="73" t="str">
        <f t="shared" si="2"/>
        <v>2030 bench</v>
      </c>
      <c r="H14" s="73" t="s">
        <v>239</v>
      </c>
      <c r="I14" s="93" t="s">
        <v>517</v>
      </c>
      <c r="J14" s="73" t="s">
        <v>104</v>
      </c>
      <c r="K14" s="73">
        <v>0</v>
      </c>
      <c r="L14" s="73">
        <v>0</v>
      </c>
      <c r="M14" s="73">
        <v>-1</v>
      </c>
      <c r="N14" s="73" t="s">
        <v>122</v>
      </c>
      <c r="O14" s="73">
        <v>0</v>
      </c>
      <c r="P14" s="73">
        <v>1</v>
      </c>
      <c r="Q14" s="73">
        <v>0</v>
      </c>
      <c r="R14" s="72" t="s">
        <v>221</v>
      </c>
      <c r="S14" s="72" t="s">
        <v>222</v>
      </c>
      <c r="T14" s="72" t="s">
        <v>423</v>
      </c>
      <c r="U14" s="74" t="b">
        <v>0</v>
      </c>
      <c r="V14" s="72" t="b">
        <v>1</v>
      </c>
      <c r="W14" s="72" t="b">
        <v>0</v>
      </c>
      <c r="X14" s="72" t="b">
        <v>0</v>
      </c>
      <c r="Y14" s="72" t="b">
        <v>1</v>
      </c>
      <c r="Z14" s="72" t="b">
        <v>0</v>
      </c>
      <c r="AA14" s="72" t="b">
        <v>0</v>
      </c>
      <c r="AB14" s="72" t="b">
        <v>0</v>
      </c>
      <c r="AC14" s="72" t="b">
        <v>0</v>
      </c>
      <c r="AD14" s="72" t="b">
        <v>1</v>
      </c>
      <c r="AE14" s="72" t="b">
        <v>1</v>
      </c>
      <c r="AF14" s="75" t="b">
        <v>0</v>
      </c>
      <c r="AG14" s="72" t="b">
        <v>0</v>
      </c>
      <c r="AH14" s="72" t="b">
        <v>0</v>
      </c>
      <c r="AI14" s="72" t="b">
        <v>1</v>
      </c>
    </row>
    <row r="15" spans="1:35" x14ac:dyDescent="0.3">
      <c r="A15" s="13">
        <f t="shared" si="0"/>
        <v>6</v>
      </c>
      <c r="B15" s="70" t="s">
        <v>521</v>
      </c>
      <c r="C15" s="71" t="s">
        <v>523</v>
      </c>
      <c r="D15" s="72" t="s">
        <v>260</v>
      </c>
      <c r="E15" s="70" t="s">
        <v>120</v>
      </c>
      <c r="F15" s="73" t="s">
        <v>122</v>
      </c>
      <c r="G15" s="73" t="str">
        <f t="shared" si="2"/>
        <v>2030 bench</v>
      </c>
      <c r="H15" s="73" t="s">
        <v>239</v>
      </c>
      <c r="I15" s="93" t="s">
        <v>517</v>
      </c>
      <c r="J15" s="73" t="s">
        <v>104</v>
      </c>
      <c r="K15" s="73">
        <v>0</v>
      </c>
      <c r="L15" s="73">
        <v>0</v>
      </c>
      <c r="M15" s="73">
        <v>-1</v>
      </c>
      <c r="N15" s="73" t="s">
        <v>122</v>
      </c>
      <c r="O15" s="73">
        <v>0</v>
      </c>
      <c r="P15" s="73">
        <v>1</v>
      </c>
      <c r="Q15" s="73">
        <v>0</v>
      </c>
      <c r="R15" s="72" t="s">
        <v>221</v>
      </c>
      <c r="S15" s="72" t="s">
        <v>222</v>
      </c>
      <c r="T15" s="72" t="s">
        <v>423</v>
      </c>
      <c r="U15" s="74" t="b">
        <v>0</v>
      </c>
      <c r="V15" s="72" t="b">
        <v>1</v>
      </c>
      <c r="W15" s="72" t="b">
        <v>0</v>
      </c>
      <c r="X15" s="72" t="b">
        <v>0</v>
      </c>
      <c r="Y15" s="72" t="b">
        <v>1</v>
      </c>
      <c r="Z15" s="72" t="b">
        <v>0</v>
      </c>
      <c r="AA15" s="72" t="b">
        <v>0</v>
      </c>
      <c r="AB15" s="72" t="b">
        <v>0</v>
      </c>
      <c r="AC15" s="72" t="b">
        <v>0</v>
      </c>
      <c r="AD15" s="72" t="b">
        <v>1</v>
      </c>
      <c r="AE15" s="72" t="b">
        <v>1</v>
      </c>
      <c r="AF15" s="75" t="b">
        <v>0</v>
      </c>
      <c r="AG15" s="72" t="b">
        <v>0</v>
      </c>
      <c r="AH15" s="72" t="b">
        <v>0</v>
      </c>
      <c r="AI15" s="72" t="b">
        <v>1</v>
      </c>
    </row>
    <row r="16" spans="1:35" x14ac:dyDescent="0.3">
      <c r="A16" s="13">
        <f t="shared" si="0"/>
        <v>7</v>
      </c>
      <c r="B16" s="70" t="s">
        <v>527</v>
      </c>
      <c r="C16" s="71" t="s">
        <v>523</v>
      </c>
      <c r="D16" s="72" t="s">
        <v>260</v>
      </c>
      <c r="E16" s="70" t="s">
        <v>120</v>
      </c>
      <c r="F16" s="73" t="s">
        <v>133</v>
      </c>
      <c r="G16" s="73" t="str">
        <f t="shared" si="2"/>
        <v>2030 bench</v>
      </c>
      <c r="H16" s="73" t="s">
        <v>239</v>
      </c>
      <c r="I16" s="93" t="s">
        <v>517</v>
      </c>
      <c r="J16" s="73" t="s">
        <v>104</v>
      </c>
      <c r="K16" s="73">
        <v>0</v>
      </c>
      <c r="L16" s="73">
        <v>0</v>
      </c>
      <c r="M16" s="73">
        <v>-1</v>
      </c>
      <c r="N16" s="73" t="s">
        <v>122</v>
      </c>
      <c r="O16" s="73">
        <v>0</v>
      </c>
      <c r="P16" s="73">
        <v>1</v>
      </c>
      <c r="Q16" s="73">
        <v>0</v>
      </c>
      <c r="R16" s="72" t="s">
        <v>221</v>
      </c>
      <c r="S16" s="72" t="s">
        <v>222</v>
      </c>
      <c r="T16" s="72" t="s">
        <v>423</v>
      </c>
      <c r="U16" s="74" t="b">
        <v>0</v>
      </c>
      <c r="V16" s="72" t="b">
        <v>1</v>
      </c>
      <c r="W16" s="72" t="b">
        <v>0</v>
      </c>
      <c r="X16" s="72" t="b">
        <v>0</v>
      </c>
      <c r="Y16" s="72" t="b">
        <v>1</v>
      </c>
      <c r="Z16" s="72" t="b">
        <v>0</v>
      </c>
      <c r="AA16" s="72" t="b">
        <v>0</v>
      </c>
      <c r="AB16" s="72" t="b">
        <v>0</v>
      </c>
      <c r="AC16" s="72" t="b">
        <v>0</v>
      </c>
      <c r="AD16" s="72" t="b">
        <v>1</v>
      </c>
      <c r="AE16" s="72" t="b">
        <v>1</v>
      </c>
      <c r="AF16" s="75" t="b">
        <v>0</v>
      </c>
      <c r="AG16" s="72" t="b">
        <v>0</v>
      </c>
      <c r="AH16" s="72" t="b">
        <v>0</v>
      </c>
      <c r="AI16" s="72" t="b">
        <v>1</v>
      </c>
    </row>
    <row r="17" spans="1:35" x14ac:dyDescent="0.3">
      <c r="A17" s="13">
        <f t="shared" si="0"/>
        <v>8</v>
      </c>
      <c r="B17" s="70" t="s">
        <v>522</v>
      </c>
      <c r="C17" s="71" t="s">
        <v>525</v>
      </c>
      <c r="D17" s="72" t="s">
        <v>259</v>
      </c>
      <c r="E17" s="70" t="s">
        <v>120</v>
      </c>
      <c r="F17" s="73" t="s">
        <v>122</v>
      </c>
      <c r="G17" s="73" t="str">
        <f t="shared" si="2"/>
        <v>2030 bench</v>
      </c>
      <c r="H17" s="73" t="s">
        <v>239</v>
      </c>
      <c r="I17" s="93" t="s">
        <v>517</v>
      </c>
      <c r="J17" s="73" t="s">
        <v>104</v>
      </c>
      <c r="K17" s="73">
        <v>0</v>
      </c>
      <c r="L17" s="73">
        <v>0</v>
      </c>
      <c r="M17" s="73">
        <v>-1</v>
      </c>
      <c r="N17" s="73" t="s">
        <v>122</v>
      </c>
      <c r="O17" s="73">
        <v>0</v>
      </c>
      <c r="P17" s="73">
        <v>1</v>
      </c>
      <c r="Q17" s="73">
        <v>0</v>
      </c>
      <c r="R17" s="72" t="s">
        <v>221</v>
      </c>
      <c r="S17" s="72" t="s">
        <v>222</v>
      </c>
      <c r="T17" s="72" t="s">
        <v>423</v>
      </c>
      <c r="U17" s="74" t="b">
        <v>0</v>
      </c>
      <c r="V17" s="72" t="b">
        <v>1</v>
      </c>
      <c r="W17" s="72" t="b">
        <v>0</v>
      </c>
      <c r="X17" s="72" t="b">
        <v>0</v>
      </c>
      <c r="Y17" s="72" t="b">
        <v>1</v>
      </c>
      <c r="Z17" s="72" t="b">
        <v>0</v>
      </c>
      <c r="AA17" s="72" t="b">
        <v>0</v>
      </c>
      <c r="AB17" s="72" t="b">
        <v>0</v>
      </c>
      <c r="AC17" s="72" t="b">
        <v>0</v>
      </c>
      <c r="AD17" s="72" t="b">
        <v>1</v>
      </c>
      <c r="AE17" s="72" t="b">
        <v>1</v>
      </c>
      <c r="AF17" s="75" t="b">
        <v>0</v>
      </c>
      <c r="AG17" s="72" t="b">
        <v>0</v>
      </c>
      <c r="AH17" s="72" t="b">
        <v>0</v>
      </c>
      <c r="AI17" s="72" t="b">
        <v>1</v>
      </c>
    </row>
    <row r="18" spans="1:35" x14ac:dyDescent="0.3">
      <c r="A18" s="13">
        <f t="shared" si="0"/>
        <v>9</v>
      </c>
      <c r="B18" s="70" t="s">
        <v>528</v>
      </c>
      <c r="C18" s="71" t="s">
        <v>525</v>
      </c>
      <c r="D18" s="104" t="s">
        <v>231</v>
      </c>
      <c r="E18" s="70" t="s">
        <v>120</v>
      </c>
      <c r="F18" s="73" t="s">
        <v>122</v>
      </c>
      <c r="G18" s="73" t="str">
        <f t="shared" si="2"/>
        <v>2030 bench</v>
      </c>
      <c r="H18" s="73" t="s">
        <v>239</v>
      </c>
      <c r="I18" s="93">
        <v>2020</v>
      </c>
      <c r="J18" s="73" t="s">
        <v>104</v>
      </c>
      <c r="K18" s="73">
        <v>0</v>
      </c>
      <c r="L18" s="73">
        <v>0</v>
      </c>
      <c r="M18" s="73">
        <v>-1</v>
      </c>
      <c r="N18" s="73" t="s">
        <v>122</v>
      </c>
      <c r="O18" s="73">
        <v>0</v>
      </c>
      <c r="P18" s="73">
        <v>1</v>
      </c>
      <c r="Q18" s="73">
        <v>0</v>
      </c>
      <c r="R18" s="72" t="s">
        <v>221</v>
      </c>
      <c r="S18" s="72" t="s">
        <v>222</v>
      </c>
      <c r="T18" s="72" t="s">
        <v>423</v>
      </c>
      <c r="U18" s="74" t="b">
        <v>0</v>
      </c>
      <c r="V18" s="72" t="b">
        <v>1</v>
      </c>
      <c r="W18" s="72" t="b">
        <v>0</v>
      </c>
      <c r="X18" s="72" t="b">
        <v>0</v>
      </c>
      <c r="Y18" s="72" t="b">
        <v>1</v>
      </c>
      <c r="Z18" s="72" t="b">
        <v>0</v>
      </c>
      <c r="AA18" s="72" t="b">
        <v>0</v>
      </c>
      <c r="AB18" s="72" t="b">
        <v>0</v>
      </c>
      <c r="AC18" s="72" t="b">
        <v>0</v>
      </c>
      <c r="AD18" s="72" t="b">
        <v>1</v>
      </c>
      <c r="AE18" s="72" t="b">
        <v>1</v>
      </c>
      <c r="AF18" s="75" t="b">
        <v>0</v>
      </c>
      <c r="AG18" s="72" t="b">
        <v>0</v>
      </c>
      <c r="AH18" s="72" t="b">
        <v>0</v>
      </c>
      <c r="AI18" s="72" t="b">
        <v>1</v>
      </c>
    </row>
    <row r="19" spans="1:35" s="91" customFormat="1" x14ac:dyDescent="0.3">
      <c r="A19" s="84">
        <f t="shared" si="0"/>
        <v>10</v>
      </c>
      <c r="B19" s="85" t="s">
        <v>511</v>
      </c>
      <c r="C19" s="86" t="s">
        <v>509</v>
      </c>
      <c r="D19" s="87" t="s">
        <v>231</v>
      </c>
      <c r="E19" s="85" t="s">
        <v>120</v>
      </c>
      <c r="F19" s="88" t="s">
        <v>122</v>
      </c>
      <c r="G19" s="88" t="str">
        <f t="shared" ref="G19:G39" si="3">"2030 bench"</f>
        <v>2030 bench</v>
      </c>
      <c r="H19" s="88" t="s">
        <v>239</v>
      </c>
      <c r="I19" s="88">
        <v>2015</v>
      </c>
      <c r="J19" s="88" t="s">
        <v>87</v>
      </c>
      <c r="K19" s="88">
        <v>0</v>
      </c>
      <c r="L19" s="88">
        <v>0</v>
      </c>
      <c r="M19" s="88">
        <v>-1</v>
      </c>
      <c r="N19" s="88" t="s">
        <v>122</v>
      </c>
      <c r="O19" s="88">
        <v>0</v>
      </c>
      <c r="P19" s="88">
        <v>1</v>
      </c>
      <c r="Q19" s="88">
        <v>0</v>
      </c>
      <c r="R19" s="87" t="s">
        <v>221</v>
      </c>
      <c r="S19" s="87" t="s">
        <v>222</v>
      </c>
      <c r="T19" s="87" t="s">
        <v>423</v>
      </c>
      <c r="U19" s="89" t="b">
        <v>0</v>
      </c>
      <c r="V19" s="87" t="b">
        <v>1</v>
      </c>
      <c r="W19" s="87" t="b">
        <v>0</v>
      </c>
      <c r="X19" s="87" t="b">
        <v>0</v>
      </c>
      <c r="Y19" s="87" t="b">
        <v>1</v>
      </c>
      <c r="Z19" s="87" t="b">
        <v>0</v>
      </c>
      <c r="AA19" s="87" t="b">
        <v>0</v>
      </c>
      <c r="AB19" s="72" t="b">
        <v>0</v>
      </c>
      <c r="AC19" s="87" t="b">
        <v>0</v>
      </c>
      <c r="AD19" s="87" t="b">
        <v>1</v>
      </c>
      <c r="AE19" s="87" t="b">
        <v>1</v>
      </c>
      <c r="AF19" s="90" t="b">
        <v>0</v>
      </c>
      <c r="AG19" s="87" t="b">
        <v>0</v>
      </c>
      <c r="AH19" s="87" t="b">
        <v>0</v>
      </c>
      <c r="AI19" s="87" t="b">
        <v>1</v>
      </c>
    </row>
    <row r="20" spans="1:35" x14ac:dyDescent="0.3">
      <c r="A20" s="13">
        <f t="shared" si="0"/>
        <v>11</v>
      </c>
      <c r="B20" s="70" t="s">
        <v>513</v>
      </c>
      <c r="C20" s="71" t="s">
        <v>508</v>
      </c>
      <c r="D20" s="72" t="s">
        <v>231</v>
      </c>
      <c r="E20" s="70" t="s">
        <v>120</v>
      </c>
      <c r="F20" s="73" t="s">
        <v>122</v>
      </c>
      <c r="G20" s="73" t="str">
        <f t="shared" si="3"/>
        <v>2030 bench</v>
      </c>
      <c r="H20" s="73" t="s">
        <v>239</v>
      </c>
      <c r="I20" s="73">
        <v>2015</v>
      </c>
      <c r="J20" s="73" t="s">
        <v>104</v>
      </c>
      <c r="K20" s="73">
        <v>0</v>
      </c>
      <c r="L20" s="73">
        <v>0</v>
      </c>
      <c r="M20" s="73">
        <v>-1</v>
      </c>
      <c r="N20" s="73" t="s">
        <v>122</v>
      </c>
      <c r="O20" s="73">
        <v>0</v>
      </c>
      <c r="P20" s="73">
        <v>1</v>
      </c>
      <c r="Q20" s="73">
        <v>0</v>
      </c>
      <c r="R20" s="72" t="s">
        <v>221</v>
      </c>
      <c r="S20" s="72" t="s">
        <v>222</v>
      </c>
      <c r="T20" s="72" t="s">
        <v>423</v>
      </c>
      <c r="U20" s="74" t="b">
        <v>0</v>
      </c>
      <c r="V20" s="72" t="b">
        <v>1</v>
      </c>
      <c r="W20" s="72" t="b">
        <v>0</v>
      </c>
      <c r="X20" s="72" t="b">
        <v>0</v>
      </c>
      <c r="Y20" s="72" t="b">
        <v>1</v>
      </c>
      <c r="Z20" s="72" t="b">
        <v>0</v>
      </c>
      <c r="AA20" s="72" t="b">
        <v>0</v>
      </c>
      <c r="AB20" s="72" t="b">
        <v>0</v>
      </c>
      <c r="AC20" s="72" t="b">
        <v>0</v>
      </c>
      <c r="AD20" s="72" t="b">
        <v>1</v>
      </c>
      <c r="AE20" s="72" t="b">
        <v>1</v>
      </c>
      <c r="AF20" s="75" t="b">
        <v>0</v>
      </c>
      <c r="AG20" s="72" t="b">
        <v>0</v>
      </c>
      <c r="AH20" s="72" t="b">
        <v>0</v>
      </c>
      <c r="AI20" s="72" t="b">
        <v>1</v>
      </c>
    </row>
    <row r="21" spans="1:35" x14ac:dyDescent="0.3">
      <c r="A21" s="13">
        <f t="shared" si="0"/>
        <v>12</v>
      </c>
      <c r="B21" s="70" t="s">
        <v>512</v>
      </c>
      <c r="C21" s="71" t="s">
        <v>510</v>
      </c>
      <c r="D21" s="72" t="s">
        <v>231</v>
      </c>
      <c r="E21" s="70" t="s">
        <v>120</v>
      </c>
      <c r="F21" s="73" t="s">
        <v>122</v>
      </c>
      <c r="G21" s="73" t="str">
        <f t="shared" si="3"/>
        <v>2030 bench</v>
      </c>
      <c r="H21" s="73" t="s">
        <v>239</v>
      </c>
      <c r="I21" s="73">
        <v>2015</v>
      </c>
      <c r="J21" s="73" t="s">
        <v>233</v>
      </c>
      <c r="K21" s="73">
        <v>0</v>
      </c>
      <c r="L21" s="73">
        <v>0</v>
      </c>
      <c r="M21" s="73">
        <v>-1</v>
      </c>
      <c r="N21" s="73" t="s">
        <v>122</v>
      </c>
      <c r="O21" s="73">
        <v>0</v>
      </c>
      <c r="P21" s="73">
        <v>1</v>
      </c>
      <c r="Q21" s="73">
        <v>0</v>
      </c>
      <c r="R21" s="72" t="s">
        <v>221</v>
      </c>
      <c r="S21" s="72" t="s">
        <v>222</v>
      </c>
      <c r="T21" s="72" t="s">
        <v>423</v>
      </c>
      <c r="U21" s="74" t="b">
        <v>0</v>
      </c>
      <c r="V21" s="72" t="b">
        <v>1</v>
      </c>
      <c r="W21" s="72" t="b">
        <v>0</v>
      </c>
      <c r="X21" s="72" t="b">
        <v>0</v>
      </c>
      <c r="Y21" s="72" t="b">
        <v>1</v>
      </c>
      <c r="Z21" s="72" t="b">
        <v>0</v>
      </c>
      <c r="AA21" s="72" t="b">
        <v>0</v>
      </c>
      <c r="AB21" s="72" t="b">
        <v>0</v>
      </c>
      <c r="AC21" s="72" t="b">
        <v>0</v>
      </c>
      <c r="AD21" s="72" t="b">
        <v>1</v>
      </c>
      <c r="AE21" s="72" t="b">
        <v>1</v>
      </c>
      <c r="AF21" s="75" t="b">
        <v>0</v>
      </c>
      <c r="AG21" s="72" t="b">
        <v>0</v>
      </c>
      <c r="AH21" s="72" t="b">
        <v>0</v>
      </c>
      <c r="AI21" s="72" t="b">
        <v>1</v>
      </c>
    </row>
    <row r="22" spans="1:35" x14ac:dyDescent="0.3">
      <c r="A22" s="13">
        <f t="shared" si="0"/>
        <v>13</v>
      </c>
      <c r="B22" s="70" t="s">
        <v>511</v>
      </c>
      <c r="C22" s="71" t="s">
        <v>509</v>
      </c>
      <c r="D22" s="72" t="s">
        <v>231</v>
      </c>
      <c r="E22" s="70" t="s">
        <v>120</v>
      </c>
      <c r="F22" s="73" t="s">
        <v>122</v>
      </c>
      <c r="G22" s="73" t="str">
        <f t="shared" si="3"/>
        <v>2030 bench</v>
      </c>
      <c r="H22" s="73" t="s">
        <v>239</v>
      </c>
      <c r="I22" s="73">
        <v>2016</v>
      </c>
      <c r="J22" s="73" t="s">
        <v>87</v>
      </c>
      <c r="K22" s="73">
        <v>0</v>
      </c>
      <c r="L22" s="73">
        <v>0</v>
      </c>
      <c r="M22" s="73">
        <v>-1</v>
      </c>
      <c r="N22" s="73" t="s">
        <v>122</v>
      </c>
      <c r="O22" s="73">
        <v>0</v>
      </c>
      <c r="P22" s="73">
        <v>1</v>
      </c>
      <c r="Q22" s="73">
        <v>0</v>
      </c>
      <c r="R22" s="72" t="s">
        <v>221</v>
      </c>
      <c r="S22" s="72" t="s">
        <v>222</v>
      </c>
      <c r="T22" s="72" t="s">
        <v>423</v>
      </c>
      <c r="U22" s="74" t="b">
        <v>0</v>
      </c>
      <c r="V22" s="72" t="b">
        <v>1</v>
      </c>
      <c r="W22" s="72" t="b">
        <v>0</v>
      </c>
      <c r="X22" s="72" t="b">
        <v>0</v>
      </c>
      <c r="Y22" s="72" t="b">
        <v>1</v>
      </c>
      <c r="Z22" s="72" t="b">
        <v>0</v>
      </c>
      <c r="AA22" s="72" t="b">
        <v>0</v>
      </c>
      <c r="AB22" s="72" t="b">
        <v>0</v>
      </c>
      <c r="AC22" s="72" t="b">
        <v>0</v>
      </c>
      <c r="AD22" s="72" t="b">
        <v>1</v>
      </c>
      <c r="AE22" s="72" t="b">
        <v>1</v>
      </c>
      <c r="AF22" s="75" t="b">
        <v>0</v>
      </c>
      <c r="AG22" s="72" t="b">
        <v>0</v>
      </c>
      <c r="AH22" s="72" t="b">
        <v>0</v>
      </c>
      <c r="AI22" s="72" t="b">
        <v>1</v>
      </c>
    </row>
    <row r="23" spans="1:35" x14ac:dyDescent="0.3">
      <c r="A23" s="13">
        <f t="shared" si="0"/>
        <v>14</v>
      </c>
      <c r="B23" s="70" t="s">
        <v>513</v>
      </c>
      <c r="C23" s="71" t="s">
        <v>508</v>
      </c>
      <c r="D23" s="72" t="s">
        <v>231</v>
      </c>
      <c r="E23" s="70" t="s">
        <v>120</v>
      </c>
      <c r="F23" s="73" t="s">
        <v>122</v>
      </c>
      <c r="G23" s="73" t="str">
        <f t="shared" si="3"/>
        <v>2030 bench</v>
      </c>
      <c r="H23" s="73" t="s">
        <v>239</v>
      </c>
      <c r="I23" s="73">
        <v>2016</v>
      </c>
      <c r="J23" s="73" t="s">
        <v>104</v>
      </c>
      <c r="K23" s="73">
        <v>0</v>
      </c>
      <c r="L23" s="73">
        <v>0</v>
      </c>
      <c r="M23" s="73">
        <v>-1</v>
      </c>
      <c r="N23" s="73" t="s">
        <v>122</v>
      </c>
      <c r="O23" s="73">
        <v>0</v>
      </c>
      <c r="P23" s="73">
        <v>1</v>
      </c>
      <c r="Q23" s="73">
        <v>0</v>
      </c>
      <c r="R23" s="72" t="s">
        <v>221</v>
      </c>
      <c r="S23" s="72" t="s">
        <v>222</v>
      </c>
      <c r="T23" s="72" t="s">
        <v>423</v>
      </c>
      <c r="U23" s="74" t="b">
        <v>0</v>
      </c>
      <c r="V23" s="72" t="b">
        <v>1</v>
      </c>
      <c r="W23" s="72" t="b">
        <v>0</v>
      </c>
      <c r="X23" s="72" t="b">
        <v>0</v>
      </c>
      <c r="Y23" s="72" t="b">
        <v>1</v>
      </c>
      <c r="Z23" s="72" t="b">
        <v>0</v>
      </c>
      <c r="AA23" s="72" t="b">
        <v>0</v>
      </c>
      <c r="AB23" s="72" t="b">
        <v>0</v>
      </c>
      <c r="AC23" s="72" t="b">
        <v>0</v>
      </c>
      <c r="AD23" s="72" t="b">
        <v>1</v>
      </c>
      <c r="AE23" s="72" t="b">
        <v>1</v>
      </c>
      <c r="AF23" s="75" t="b">
        <v>0</v>
      </c>
      <c r="AG23" s="72" t="b">
        <v>0</v>
      </c>
      <c r="AH23" s="72" t="b">
        <v>0</v>
      </c>
      <c r="AI23" s="72" t="b">
        <v>1</v>
      </c>
    </row>
    <row r="24" spans="1:35" x14ac:dyDescent="0.3">
      <c r="A24" s="13">
        <f t="shared" si="0"/>
        <v>15</v>
      </c>
      <c r="B24" s="70" t="s">
        <v>512</v>
      </c>
      <c r="C24" s="71" t="s">
        <v>510</v>
      </c>
      <c r="D24" s="72" t="s">
        <v>231</v>
      </c>
      <c r="E24" s="70" t="s">
        <v>120</v>
      </c>
      <c r="F24" s="73" t="s">
        <v>122</v>
      </c>
      <c r="G24" s="73" t="str">
        <f t="shared" si="3"/>
        <v>2030 bench</v>
      </c>
      <c r="H24" s="73" t="s">
        <v>239</v>
      </c>
      <c r="I24" s="73">
        <v>2016</v>
      </c>
      <c r="J24" s="73" t="s">
        <v>233</v>
      </c>
      <c r="K24" s="73">
        <v>0</v>
      </c>
      <c r="L24" s="73">
        <v>0</v>
      </c>
      <c r="M24" s="73">
        <v>-1</v>
      </c>
      <c r="N24" s="73" t="s">
        <v>122</v>
      </c>
      <c r="O24" s="73">
        <v>0</v>
      </c>
      <c r="P24" s="73">
        <v>1</v>
      </c>
      <c r="Q24" s="73">
        <v>0</v>
      </c>
      <c r="R24" s="72" t="s">
        <v>221</v>
      </c>
      <c r="S24" s="72" t="s">
        <v>222</v>
      </c>
      <c r="T24" s="72" t="s">
        <v>423</v>
      </c>
      <c r="U24" s="74" t="b">
        <v>0</v>
      </c>
      <c r="V24" s="72" t="b">
        <v>1</v>
      </c>
      <c r="W24" s="72" t="b">
        <v>0</v>
      </c>
      <c r="X24" s="72" t="b">
        <v>0</v>
      </c>
      <c r="Y24" s="72" t="b">
        <v>1</v>
      </c>
      <c r="Z24" s="72" t="b">
        <v>0</v>
      </c>
      <c r="AA24" s="72" t="b">
        <v>0</v>
      </c>
      <c r="AB24" s="72" t="b">
        <v>0</v>
      </c>
      <c r="AC24" s="72" t="b">
        <v>0</v>
      </c>
      <c r="AD24" s="72" t="b">
        <v>1</v>
      </c>
      <c r="AE24" s="72" t="b">
        <v>1</v>
      </c>
      <c r="AF24" s="75" t="b">
        <v>0</v>
      </c>
      <c r="AG24" s="72" t="b">
        <v>0</v>
      </c>
      <c r="AH24" s="72" t="b">
        <v>0</v>
      </c>
      <c r="AI24" s="72" t="b">
        <v>1</v>
      </c>
    </row>
    <row r="25" spans="1:35" x14ac:dyDescent="0.3">
      <c r="A25" s="13">
        <f t="shared" si="0"/>
        <v>16</v>
      </c>
      <c r="B25" s="70" t="s">
        <v>511</v>
      </c>
      <c r="C25" s="71" t="s">
        <v>509</v>
      </c>
      <c r="D25" s="72" t="s">
        <v>231</v>
      </c>
      <c r="E25" s="70" t="s">
        <v>120</v>
      </c>
      <c r="F25" s="73" t="s">
        <v>122</v>
      </c>
      <c r="G25" s="73" t="str">
        <f t="shared" si="3"/>
        <v>2030 bench</v>
      </c>
      <c r="H25" s="73" t="s">
        <v>239</v>
      </c>
      <c r="I25" s="73">
        <v>2017</v>
      </c>
      <c r="J25" s="73" t="s">
        <v>87</v>
      </c>
      <c r="K25" s="73">
        <v>0</v>
      </c>
      <c r="L25" s="73">
        <v>0</v>
      </c>
      <c r="M25" s="73">
        <v>-1</v>
      </c>
      <c r="N25" s="73" t="s">
        <v>122</v>
      </c>
      <c r="O25" s="73">
        <v>0</v>
      </c>
      <c r="P25" s="73">
        <v>1</v>
      </c>
      <c r="Q25" s="73">
        <v>0</v>
      </c>
      <c r="R25" s="72" t="s">
        <v>221</v>
      </c>
      <c r="S25" s="72" t="s">
        <v>222</v>
      </c>
      <c r="T25" s="72" t="s">
        <v>423</v>
      </c>
      <c r="U25" s="74" t="b">
        <v>0</v>
      </c>
      <c r="V25" s="72" t="b">
        <v>1</v>
      </c>
      <c r="W25" s="72" t="b">
        <v>0</v>
      </c>
      <c r="X25" s="72" t="b">
        <v>0</v>
      </c>
      <c r="Y25" s="72" t="b">
        <v>1</v>
      </c>
      <c r="Z25" s="72" t="b">
        <v>0</v>
      </c>
      <c r="AA25" s="72" t="b">
        <v>0</v>
      </c>
      <c r="AB25" s="72" t="b">
        <v>0</v>
      </c>
      <c r="AC25" s="72" t="b">
        <v>0</v>
      </c>
      <c r="AD25" s="72" t="b">
        <v>1</v>
      </c>
      <c r="AE25" s="72" t="b">
        <v>1</v>
      </c>
      <c r="AF25" s="75" t="b">
        <v>0</v>
      </c>
      <c r="AG25" s="72" t="b">
        <v>0</v>
      </c>
      <c r="AH25" s="72" t="b">
        <v>0</v>
      </c>
      <c r="AI25" s="72" t="b">
        <v>1</v>
      </c>
    </row>
    <row r="26" spans="1:35" x14ac:dyDescent="0.3">
      <c r="A26" s="13">
        <f t="shared" si="0"/>
        <v>17</v>
      </c>
      <c r="B26" s="70" t="s">
        <v>513</v>
      </c>
      <c r="C26" s="71" t="s">
        <v>508</v>
      </c>
      <c r="D26" s="72" t="s">
        <v>231</v>
      </c>
      <c r="E26" s="70" t="s">
        <v>120</v>
      </c>
      <c r="F26" s="73" t="s">
        <v>122</v>
      </c>
      <c r="G26" s="73" t="str">
        <f t="shared" si="3"/>
        <v>2030 bench</v>
      </c>
      <c r="H26" s="73" t="s">
        <v>239</v>
      </c>
      <c r="I26" s="73">
        <v>2017</v>
      </c>
      <c r="J26" s="73" t="s">
        <v>104</v>
      </c>
      <c r="K26" s="73">
        <v>0</v>
      </c>
      <c r="L26" s="73">
        <v>0</v>
      </c>
      <c r="M26" s="73">
        <v>-1</v>
      </c>
      <c r="N26" s="73" t="s">
        <v>122</v>
      </c>
      <c r="O26" s="73">
        <v>0</v>
      </c>
      <c r="P26" s="73">
        <v>1</v>
      </c>
      <c r="Q26" s="73">
        <v>0</v>
      </c>
      <c r="R26" s="72" t="s">
        <v>221</v>
      </c>
      <c r="S26" s="72" t="s">
        <v>222</v>
      </c>
      <c r="T26" s="72" t="s">
        <v>423</v>
      </c>
      <c r="U26" s="74" t="b">
        <v>0</v>
      </c>
      <c r="V26" s="72" t="b">
        <v>1</v>
      </c>
      <c r="W26" s="72" t="b">
        <v>0</v>
      </c>
      <c r="X26" s="72" t="b">
        <v>0</v>
      </c>
      <c r="Y26" s="72" t="b">
        <v>1</v>
      </c>
      <c r="Z26" s="72" t="b">
        <v>0</v>
      </c>
      <c r="AA26" s="72" t="b">
        <v>0</v>
      </c>
      <c r="AB26" s="72" t="b">
        <v>0</v>
      </c>
      <c r="AC26" s="72" t="b">
        <v>0</v>
      </c>
      <c r="AD26" s="72" t="b">
        <v>1</v>
      </c>
      <c r="AE26" s="72" t="b">
        <v>1</v>
      </c>
      <c r="AF26" s="75" t="b">
        <v>0</v>
      </c>
      <c r="AG26" s="72" t="b">
        <v>0</v>
      </c>
      <c r="AH26" s="72" t="b">
        <v>0</v>
      </c>
      <c r="AI26" s="72" t="b">
        <v>1</v>
      </c>
    </row>
    <row r="27" spans="1:35" x14ac:dyDescent="0.3">
      <c r="A27" s="13">
        <f t="shared" si="0"/>
        <v>18</v>
      </c>
      <c r="B27" s="70" t="s">
        <v>512</v>
      </c>
      <c r="C27" s="71" t="s">
        <v>510</v>
      </c>
      <c r="D27" s="72" t="s">
        <v>231</v>
      </c>
      <c r="E27" s="70" t="s">
        <v>120</v>
      </c>
      <c r="F27" s="73" t="s">
        <v>122</v>
      </c>
      <c r="G27" s="73" t="str">
        <f t="shared" si="3"/>
        <v>2030 bench</v>
      </c>
      <c r="H27" s="73" t="s">
        <v>239</v>
      </c>
      <c r="I27" s="73">
        <v>2017</v>
      </c>
      <c r="J27" s="73" t="s">
        <v>233</v>
      </c>
      <c r="K27" s="73">
        <v>0</v>
      </c>
      <c r="L27" s="73">
        <v>0</v>
      </c>
      <c r="M27" s="73">
        <v>-1</v>
      </c>
      <c r="N27" s="73" t="s">
        <v>122</v>
      </c>
      <c r="O27" s="73">
        <v>0</v>
      </c>
      <c r="P27" s="73">
        <v>1</v>
      </c>
      <c r="Q27" s="73">
        <v>0</v>
      </c>
      <c r="R27" s="72" t="s">
        <v>221</v>
      </c>
      <c r="S27" s="72" t="s">
        <v>222</v>
      </c>
      <c r="T27" s="72" t="s">
        <v>423</v>
      </c>
      <c r="U27" s="74" t="b">
        <v>0</v>
      </c>
      <c r="V27" s="72" t="b">
        <v>1</v>
      </c>
      <c r="W27" s="72" t="b">
        <v>0</v>
      </c>
      <c r="X27" s="72" t="b">
        <v>0</v>
      </c>
      <c r="Y27" s="72" t="b">
        <v>1</v>
      </c>
      <c r="Z27" s="72" t="b">
        <v>0</v>
      </c>
      <c r="AA27" s="72" t="b">
        <v>0</v>
      </c>
      <c r="AB27" s="72" t="b">
        <v>0</v>
      </c>
      <c r="AC27" s="72" t="b">
        <v>0</v>
      </c>
      <c r="AD27" s="72" t="b">
        <v>1</v>
      </c>
      <c r="AE27" s="72" t="b">
        <v>1</v>
      </c>
      <c r="AF27" s="75" t="b">
        <v>0</v>
      </c>
      <c r="AG27" s="72" t="b">
        <v>0</v>
      </c>
      <c r="AH27" s="72" t="b">
        <v>0</v>
      </c>
      <c r="AI27" s="72" t="b">
        <v>1</v>
      </c>
    </row>
    <row r="28" spans="1:35" x14ac:dyDescent="0.3">
      <c r="A28" s="13">
        <f t="shared" si="0"/>
        <v>19</v>
      </c>
      <c r="B28" s="70" t="s">
        <v>511</v>
      </c>
      <c r="C28" s="71" t="s">
        <v>509</v>
      </c>
      <c r="D28" s="72" t="s">
        <v>231</v>
      </c>
      <c r="E28" s="70" t="s">
        <v>120</v>
      </c>
      <c r="F28" s="73" t="s">
        <v>122</v>
      </c>
      <c r="G28" s="73" t="str">
        <f t="shared" si="3"/>
        <v>2030 bench</v>
      </c>
      <c r="H28" s="73" t="s">
        <v>239</v>
      </c>
      <c r="I28" s="73">
        <v>2018</v>
      </c>
      <c r="J28" s="73" t="s">
        <v>87</v>
      </c>
      <c r="K28" s="73">
        <v>0</v>
      </c>
      <c r="L28" s="73">
        <v>0</v>
      </c>
      <c r="M28" s="73">
        <v>-1</v>
      </c>
      <c r="N28" s="73" t="s">
        <v>122</v>
      </c>
      <c r="O28" s="73">
        <v>0</v>
      </c>
      <c r="P28" s="73">
        <v>1</v>
      </c>
      <c r="Q28" s="73">
        <v>0</v>
      </c>
      <c r="R28" s="72" t="s">
        <v>221</v>
      </c>
      <c r="S28" s="72" t="s">
        <v>222</v>
      </c>
      <c r="T28" s="72" t="s">
        <v>423</v>
      </c>
      <c r="U28" s="74" t="b">
        <v>0</v>
      </c>
      <c r="V28" s="72" t="b">
        <v>1</v>
      </c>
      <c r="W28" s="72" t="b">
        <v>0</v>
      </c>
      <c r="X28" s="72" t="b">
        <v>0</v>
      </c>
      <c r="Y28" s="72" t="b">
        <v>1</v>
      </c>
      <c r="Z28" s="72" t="b">
        <v>0</v>
      </c>
      <c r="AA28" s="72" t="b">
        <v>0</v>
      </c>
      <c r="AB28" s="72" t="b">
        <v>0</v>
      </c>
      <c r="AC28" s="72" t="b">
        <v>0</v>
      </c>
      <c r="AD28" s="72" t="b">
        <v>1</v>
      </c>
      <c r="AE28" s="72" t="b">
        <v>1</v>
      </c>
      <c r="AF28" s="75" t="b">
        <v>0</v>
      </c>
      <c r="AG28" s="72" t="b">
        <v>0</v>
      </c>
      <c r="AH28" s="72" t="b">
        <v>0</v>
      </c>
      <c r="AI28" s="72" t="b">
        <v>1</v>
      </c>
    </row>
    <row r="29" spans="1:35" x14ac:dyDescent="0.3">
      <c r="A29" s="13">
        <f t="shared" si="0"/>
        <v>20</v>
      </c>
      <c r="B29" s="70" t="s">
        <v>513</v>
      </c>
      <c r="C29" s="71" t="s">
        <v>508</v>
      </c>
      <c r="D29" s="72" t="s">
        <v>231</v>
      </c>
      <c r="E29" s="70" t="s">
        <v>120</v>
      </c>
      <c r="F29" s="73" t="s">
        <v>122</v>
      </c>
      <c r="G29" s="73" t="str">
        <f t="shared" si="3"/>
        <v>2030 bench</v>
      </c>
      <c r="H29" s="73" t="s">
        <v>239</v>
      </c>
      <c r="I29" s="73">
        <v>2018</v>
      </c>
      <c r="J29" s="73" t="s">
        <v>104</v>
      </c>
      <c r="K29" s="73">
        <v>0</v>
      </c>
      <c r="L29" s="73">
        <v>0</v>
      </c>
      <c r="M29" s="73">
        <v>-1</v>
      </c>
      <c r="N29" s="73" t="s">
        <v>122</v>
      </c>
      <c r="O29" s="73">
        <v>0</v>
      </c>
      <c r="P29" s="73">
        <v>1</v>
      </c>
      <c r="Q29" s="73">
        <v>0</v>
      </c>
      <c r="R29" s="72" t="s">
        <v>221</v>
      </c>
      <c r="S29" s="72" t="s">
        <v>222</v>
      </c>
      <c r="T29" s="72" t="s">
        <v>423</v>
      </c>
      <c r="U29" s="74" t="b">
        <v>0</v>
      </c>
      <c r="V29" s="72" t="b">
        <v>1</v>
      </c>
      <c r="W29" s="72" t="b">
        <v>0</v>
      </c>
      <c r="X29" s="72" t="b">
        <v>0</v>
      </c>
      <c r="Y29" s="72" t="b">
        <v>1</v>
      </c>
      <c r="Z29" s="72" t="b">
        <v>0</v>
      </c>
      <c r="AA29" s="72" t="b">
        <v>0</v>
      </c>
      <c r="AB29" s="72" t="b">
        <v>0</v>
      </c>
      <c r="AC29" s="72" t="b">
        <v>0</v>
      </c>
      <c r="AD29" s="72" t="b">
        <v>1</v>
      </c>
      <c r="AE29" s="72" t="b">
        <v>1</v>
      </c>
      <c r="AF29" s="75" t="b">
        <v>0</v>
      </c>
      <c r="AG29" s="72" t="b">
        <v>0</v>
      </c>
      <c r="AH29" s="72" t="b">
        <v>0</v>
      </c>
      <c r="AI29" s="72" t="b">
        <v>1</v>
      </c>
    </row>
    <row r="30" spans="1:35" x14ac:dyDescent="0.3">
      <c r="A30" s="13">
        <f t="shared" si="0"/>
        <v>21</v>
      </c>
      <c r="B30" s="70" t="s">
        <v>512</v>
      </c>
      <c r="C30" s="71" t="s">
        <v>510</v>
      </c>
      <c r="D30" s="72" t="s">
        <v>231</v>
      </c>
      <c r="E30" s="70" t="s">
        <v>120</v>
      </c>
      <c r="F30" s="73" t="s">
        <v>122</v>
      </c>
      <c r="G30" s="73" t="str">
        <f t="shared" si="3"/>
        <v>2030 bench</v>
      </c>
      <c r="H30" s="73" t="s">
        <v>239</v>
      </c>
      <c r="I30" s="73">
        <v>2018</v>
      </c>
      <c r="J30" s="73" t="s">
        <v>233</v>
      </c>
      <c r="K30" s="73">
        <v>0</v>
      </c>
      <c r="L30" s="73">
        <v>0</v>
      </c>
      <c r="M30" s="73">
        <v>-1</v>
      </c>
      <c r="N30" s="73" t="s">
        <v>122</v>
      </c>
      <c r="O30" s="73">
        <v>0</v>
      </c>
      <c r="P30" s="73">
        <v>1</v>
      </c>
      <c r="Q30" s="73">
        <v>0</v>
      </c>
      <c r="R30" s="72" t="s">
        <v>221</v>
      </c>
      <c r="S30" s="72" t="s">
        <v>222</v>
      </c>
      <c r="T30" s="72" t="s">
        <v>423</v>
      </c>
      <c r="U30" s="74" t="b">
        <v>0</v>
      </c>
      <c r="V30" s="72" t="b">
        <v>1</v>
      </c>
      <c r="W30" s="72" t="b">
        <v>0</v>
      </c>
      <c r="X30" s="72" t="b">
        <v>0</v>
      </c>
      <c r="Y30" s="72" t="b">
        <v>1</v>
      </c>
      <c r="Z30" s="72" t="b">
        <v>0</v>
      </c>
      <c r="AA30" s="72" t="b">
        <v>0</v>
      </c>
      <c r="AB30" s="72" t="b">
        <v>0</v>
      </c>
      <c r="AC30" s="72" t="b">
        <v>0</v>
      </c>
      <c r="AD30" s="72" t="b">
        <v>1</v>
      </c>
      <c r="AE30" s="72" t="b">
        <v>1</v>
      </c>
      <c r="AF30" s="75" t="b">
        <v>0</v>
      </c>
      <c r="AG30" s="72" t="b">
        <v>0</v>
      </c>
      <c r="AH30" s="72" t="b">
        <v>0</v>
      </c>
      <c r="AI30" s="72" t="b">
        <v>1</v>
      </c>
    </row>
    <row r="31" spans="1:35" x14ac:dyDescent="0.3">
      <c r="A31" s="13">
        <f t="shared" si="0"/>
        <v>22</v>
      </c>
      <c r="B31" s="70" t="s">
        <v>511</v>
      </c>
      <c r="C31" s="71" t="s">
        <v>509</v>
      </c>
      <c r="D31" s="72" t="s">
        <v>231</v>
      </c>
      <c r="E31" s="70" t="s">
        <v>120</v>
      </c>
      <c r="F31" s="73" t="s">
        <v>122</v>
      </c>
      <c r="G31" s="73" t="str">
        <f t="shared" si="3"/>
        <v>2030 bench</v>
      </c>
      <c r="H31" s="73" t="s">
        <v>239</v>
      </c>
      <c r="I31" s="73">
        <v>2019</v>
      </c>
      <c r="J31" s="73" t="s">
        <v>87</v>
      </c>
      <c r="K31" s="73">
        <v>0</v>
      </c>
      <c r="L31" s="73">
        <v>0</v>
      </c>
      <c r="M31" s="73">
        <v>-1</v>
      </c>
      <c r="N31" s="73" t="s">
        <v>122</v>
      </c>
      <c r="O31" s="73">
        <v>0</v>
      </c>
      <c r="P31" s="73">
        <v>1</v>
      </c>
      <c r="Q31" s="73">
        <v>0</v>
      </c>
      <c r="R31" s="72" t="s">
        <v>221</v>
      </c>
      <c r="S31" s="72" t="s">
        <v>222</v>
      </c>
      <c r="T31" s="72" t="s">
        <v>423</v>
      </c>
      <c r="U31" s="74" t="b">
        <v>0</v>
      </c>
      <c r="V31" s="72" t="b">
        <v>1</v>
      </c>
      <c r="W31" s="72" t="b">
        <v>0</v>
      </c>
      <c r="X31" s="72" t="b">
        <v>0</v>
      </c>
      <c r="Y31" s="72" t="b">
        <v>1</v>
      </c>
      <c r="Z31" s="72" t="b">
        <v>0</v>
      </c>
      <c r="AA31" s="72" t="b">
        <v>0</v>
      </c>
      <c r="AB31" s="72" t="b">
        <v>0</v>
      </c>
      <c r="AC31" s="72" t="b">
        <v>0</v>
      </c>
      <c r="AD31" s="72" t="b">
        <v>1</v>
      </c>
      <c r="AE31" s="72" t="b">
        <v>1</v>
      </c>
      <c r="AF31" s="75" t="b">
        <v>0</v>
      </c>
      <c r="AG31" s="72" t="b">
        <v>0</v>
      </c>
      <c r="AH31" s="72" t="b">
        <v>0</v>
      </c>
      <c r="AI31" s="72" t="b">
        <v>1</v>
      </c>
    </row>
    <row r="32" spans="1:35" x14ac:dyDescent="0.3">
      <c r="A32" s="13">
        <f t="shared" si="0"/>
        <v>23</v>
      </c>
      <c r="B32" s="70" t="s">
        <v>513</v>
      </c>
      <c r="C32" s="71" t="s">
        <v>508</v>
      </c>
      <c r="D32" s="72" t="s">
        <v>231</v>
      </c>
      <c r="E32" s="70" t="s">
        <v>120</v>
      </c>
      <c r="F32" s="73" t="s">
        <v>122</v>
      </c>
      <c r="G32" s="73" t="str">
        <f t="shared" si="3"/>
        <v>2030 bench</v>
      </c>
      <c r="H32" s="73" t="s">
        <v>239</v>
      </c>
      <c r="I32" s="73">
        <v>2019</v>
      </c>
      <c r="J32" s="73" t="s">
        <v>104</v>
      </c>
      <c r="K32" s="73">
        <v>0</v>
      </c>
      <c r="L32" s="73">
        <v>0</v>
      </c>
      <c r="M32" s="73">
        <v>-1</v>
      </c>
      <c r="N32" s="73" t="s">
        <v>122</v>
      </c>
      <c r="O32" s="73">
        <v>0</v>
      </c>
      <c r="P32" s="73">
        <v>1</v>
      </c>
      <c r="Q32" s="73">
        <v>0</v>
      </c>
      <c r="R32" s="72" t="s">
        <v>221</v>
      </c>
      <c r="S32" s="72" t="s">
        <v>222</v>
      </c>
      <c r="T32" s="72" t="s">
        <v>423</v>
      </c>
      <c r="U32" s="74" t="b">
        <v>0</v>
      </c>
      <c r="V32" s="72" t="b">
        <v>1</v>
      </c>
      <c r="W32" s="72" t="b">
        <v>0</v>
      </c>
      <c r="X32" s="72" t="b">
        <v>0</v>
      </c>
      <c r="Y32" s="72" t="b">
        <v>1</v>
      </c>
      <c r="Z32" s="72" t="b">
        <v>0</v>
      </c>
      <c r="AA32" s="72" t="b">
        <v>0</v>
      </c>
      <c r="AB32" s="72" t="b">
        <v>0</v>
      </c>
      <c r="AC32" s="72" t="b">
        <v>0</v>
      </c>
      <c r="AD32" s="72" t="b">
        <v>1</v>
      </c>
      <c r="AE32" s="72" t="b">
        <v>1</v>
      </c>
      <c r="AF32" s="75" t="b">
        <v>0</v>
      </c>
      <c r="AG32" s="72" t="b">
        <v>0</v>
      </c>
      <c r="AH32" s="72" t="b">
        <v>0</v>
      </c>
      <c r="AI32" s="72" t="b">
        <v>1</v>
      </c>
    </row>
    <row r="33" spans="1:35" x14ac:dyDescent="0.3">
      <c r="A33" s="13">
        <f t="shared" si="0"/>
        <v>24</v>
      </c>
      <c r="B33" s="70" t="s">
        <v>512</v>
      </c>
      <c r="C33" s="71" t="s">
        <v>510</v>
      </c>
      <c r="D33" s="72" t="s">
        <v>231</v>
      </c>
      <c r="E33" s="70" t="s">
        <v>120</v>
      </c>
      <c r="F33" s="73" t="s">
        <v>122</v>
      </c>
      <c r="G33" s="73" t="str">
        <f t="shared" si="3"/>
        <v>2030 bench</v>
      </c>
      <c r="H33" s="73" t="s">
        <v>239</v>
      </c>
      <c r="I33" s="73">
        <v>2019</v>
      </c>
      <c r="J33" s="73" t="s">
        <v>233</v>
      </c>
      <c r="K33" s="73">
        <v>0</v>
      </c>
      <c r="L33" s="73">
        <v>0</v>
      </c>
      <c r="M33" s="73">
        <v>-1</v>
      </c>
      <c r="N33" s="73" t="s">
        <v>122</v>
      </c>
      <c r="O33" s="73">
        <v>0</v>
      </c>
      <c r="P33" s="73">
        <v>1</v>
      </c>
      <c r="Q33" s="73">
        <v>0</v>
      </c>
      <c r="R33" s="72" t="s">
        <v>221</v>
      </c>
      <c r="S33" s="72" t="s">
        <v>222</v>
      </c>
      <c r="T33" s="72" t="s">
        <v>423</v>
      </c>
      <c r="U33" s="74" t="b">
        <v>0</v>
      </c>
      <c r="V33" s="72" t="b">
        <v>1</v>
      </c>
      <c r="W33" s="72" t="b">
        <v>0</v>
      </c>
      <c r="X33" s="72" t="b">
        <v>0</v>
      </c>
      <c r="Y33" s="72" t="b">
        <v>1</v>
      </c>
      <c r="Z33" s="72" t="b">
        <v>0</v>
      </c>
      <c r="AA33" s="72" t="b">
        <v>0</v>
      </c>
      <c r="AB33" s="72" t="b">
        <v>0</v>
      </c>
      <c r="AC33" s="72" t="b">
        <v>0</v>
      </c>
      <c r="AD33" s="72" t="b">
        <v>1</v>
      </c>
      <c r="AE33" s="72" t="b">
        <v>1</v>
      </c>
      <c r="AF33" s="75" t="b">
        <v>0</v>
      </c>
      <c r="AG33" s="72" t="b">
        <v>0</v>
      </c>
      <c r="AH33" s="72" t="b">
        <v>0</v>
      </c>
      <c r="AI33" s="72" t="b">
        <v>1</v>
      </c>
    </row>
    <row r="34" spans="1:35" x14ac:dyDescent="0.3">
      <c r="A34" s="13">
        <f t="shared" si="0"/>
        <v>25</v>
      </c>
      <c r="B34" s="70" t="s">
        <v>511</v>
      </c>
      <c r="C34" s="71" t="s">
        <v>509</v>
      </c>
      <c r="D34" s="72" t="s">
        <v>231</v>
      </c>
      <c r="E34" s="70" t="s">
        <v>120</v>
      </c>
      <c r="F34" s="73" t="s">
        <v>122</v>
      </c>
      <c r="G34" s="73" t="str">
        <f t="shared" si="3"/>
        <v>2030 bench</v>
      </c>
      <c r="H34" s="73" t="s">
        <v>239</v>
      </c>
      <c r="I34" s="73">
        <v>2020</v>
      </c>
      <c r="J34" s="73" t="s">
        <v>87</v>
      </c>
      <c r="K34" s="73">
        <v>0</v>
      </c>
      <c r="L34" s="73">
        <v>0</v>
      </c>
      <c r="M34" s="73">
        <v>-1</v>
      </c>
      <c r="N34" s="73" t="s">
        <v>122</v>
      </c>
      <c r="O34" s="73">
        <v>0</v>
      </c>
      <c r="P34" s="73">
        <v>1</v>
      </c>
      <c r="Q34" s="73">
        <v>0</v>
      </c>
      <c r="R34" s="72" t="s">
        <v>221</v>
      </c>
      <c r="S34" s="72" t="s">
        <v>222</v>
      </c>
      <c r="T34" s="72" t="s">
        <v>423</v>
      </c>
      <c r="U34" s="74" t="b">
        <v>0</v>
      </c>
      <c r="V34" s="72" t="b">
        <v>1</v>
      </c>
      <c r="W34" s="72" t="b">
        <v>0</v>
      </c>
      <c r="X34" s="72" t="b">
        <v>0</v>
      </c>
      <c r="Y34" s="72" t="b">
        <v>1</v>
      </c>
      <c r="Z34" s="72" t="b">
        <v>0</v>
      </c>
      <c r="AA34" s="72" t="b">
        <v>0</v>
      </c>
      <c r="AB34" s="72" t="b">
        <v>0</v>
      </c>
      <c r="AC34" s="72" t="b">
        <v>0</v>
      </c>
      <c r="AD34" s="72" t="b">
        <v>1</v>
      </c>
      <c r="AE34" s="72" t="b">
        <v>1</v>
      </c>
      <c r="AF34" s="75" t="b">
        <v>0</v>
      </c>
      <c r="AG34" s="72" t="b">
        <v>0</v>
      </c>
      <c r="AH34" s="72" t="b">
        <v>0</v>
      </c>
      <c r="AI34" s="72" t="b">
        <v>1</v>
      </c>
    </row>
    <row r="35" spans="1:35" x14ac:dyDescent="0.3">
      <c r="A35" s="13">
        <f t="shared" si="0"/>
        <v>26</v>
      </c>
      <c r="B35" s="70" t="s">
        <v>513</v>
      </c>
      <c r="C35" s="71" t="s">
        <v>508</v>
      </c>
      <c r="D35" s="72" t="s">
        <v>231</v>
      </c>
      <c r="E35" s="70" t="s">
        <v>120</v>
      </c>
      <c r="F35" s="73" t="s">
        <v>122</v>
      </c>
      <c r="G35" s="73" t="str">
        <f t="shared" si="3"/>
        <v>2030 bench</v>
      </c>
      <c r="H35" s="73" t="s">
        <v>239</v>
      </c>
      <c r="I35" s="73">
        <v>2020</v>
      </c>
      <c r="J35" s="73" t="s">
        <v>104</v>
      </c>
      <c r="K35" s="73">
        <v>0</v>
      </c>
      <c r="L35" s="73">
        <v>0</v>
      </c>
      <c r="M35" s="73">
        <v>-1</v>
      </c>
      <c r="N35" s="73" t="s">
        <v>122</v>
      </c>
      <c r="O35" s="73">
        <v>0</v>
      </c>
      <c r="P35" s="73">
        <v>1</v>
      </c>
      <c r="Q35" s="73">
        <v>0</v>
      </c>
      <c r="R35" s="72" t="s">
        <v>221</v>
      </c>
      <c r="S35" s="72" t="s">
        <v>222</v>
      </c>
      <c r="T35" s="72" t="s">
        <v>423</v>
      </c>
      <c r="U35" s="74" t="b">
        <v>0</v>
      </c>
      <c r="V35" s="72" t="b">
        <v>1</v>
      </c>
      <c r="W35" s="72" t="b">
        <v>0</v>
      </c>
      <c r="X35" s="72" t="b">
        <v>0</v>
      </c>
      <c r="Y35" s="72" t="b">
        <v>1</v>
      </c>
      <c r="Z35" s="72" t="b">
        <v>0</v>
      </c>
      <c r="AA35" s="72" t="b">
        <v>0</v>
      </c>
      <c r="AB35" s="72" t="b">
        <v>0</v>
      </c>
      <c r="AC35" s="72" t="b">
        <v>0</v>
      </c>
      <c r="AD35" s="72" t="b">
        <v>1</v>
      </c>
      <c r="AE35" s="72" t="b">
        <v>1</v>
      </c>
      <c r="AF35" s="75" t="b">
        <v>0</v>
      </c>
      <c r="AG35" s="72" t="b">
        <v>0</v>
      </c>
      <c r="AH35" s="72" t="b">
        <v>0</v>
      </c>
      <c r="AI35" s="72" t="b">
        <v>1</v>
      </c>
    </row>
    <row r="36" spans="1:35" x14ac:dyDescent="0.3">
      <c r="A36" s="13">
        <f t="shared" si="0"/>
        <v>27</v>
      </c>
      <c r="B36" s="70" t="s">
        <v>512</v>
      </c>
      <c r="C36" s="71" t="s">
        <v>510</v>
      </c>
      <c r="D36" s="72" t="s">
        <v>231</v>
      </c>
      <c r="E36" s="70" t="s">
        <v>120</v>
      </c>
      <c r="F36" s="73" t="s">
        <v>122</v>
      </c>
      <c r="G36" s="73" t="str">
        <f t="shared" si="3"/>
        <v>2030 bench</v>
      </c>
      <c r="H36" s="73" t="s">
        <v>239</v>
      </c>
      <c r="I36" s="73">
        <v>2020</v>
      </c>
      <c r="J36" s="73" t="s">
        <v>233</v>
      </c>
      <c r="K36" s="73">
        <v>0</v>
      </c>
      <c r="L36" s="73">
        <v>0</v>
      </c>
      <c r="M36" s="73">
        <v>-1</v>
      </c>
      <c r="N36" s="73" t="s">
        <v>122</v>
      </c>
      <c r="O36" s="73">
        <v>0</v>
      </c>
      <c r="P36" s="73">
        <v>1</v>
      </c>
      <c r="Q36" s="73">
        <v>0</v>
      </c>
      <c r="R36" s="72" t="s">
        <v>221</v>
      </c>
      <c r="S36" s="72" t="s">
        <v>222</v>
      </c>
      <c r="T36" s="72" t="s">
        <v>423</v>
      </c>
      <c r="U36" s="74" t="b">
        <v>0</v>
      </c>
      <c r="V36" s="72" t="b">
        <v>1</v>
      </c>
      <c r="W36" s="72" t="b">
        <v>0</v>
      </c>
      <c r="X36" s="72" t="b">
        <v>0</v>
      </c>
      <c r="Y36" s="72" t="b">
        <v>1</v>
      </c>
      <c r="Z36" s="72" t="b">
        <v>0</v>
      </c>
      <c r="AA36" s="72" t="b">
        <v>0</v>
      </c>
      <c r="AB36" s="72" t="b">
        <v>0</v>
      </c>
      <c r="AC36" s="72" t="b">
        <v>0</v>
      </c>
      <c r="AD36" s="72" t="b">
        <v>1</v>
      </c>
      <c r="AE36" s="72" t="b">
        <v>1</v>
      </c>
      <c r="AF36" s="75" t="b">
        <v>0</v>
      </c>
      <c r="AG36" s="72" t="b">
        <v>0</v>
      </c>
      <c r="AH36" s="72" t="b">
        <v>0</v>
      </c>
      <c r="AI36" s="72" t="b">
        <v>1</v>
      </c>
    </row>
    <row r="37" spans="1:35" x14ac:dyDescent="0.3">
      <c r="A37" s="13">
        <f t="shared" si="0"/>
        <v>28</v>
      </c>
      <c r="B37" s="70" t="s">
        <v>511</v>
      </c>
      <c r="C37" s="71" t="s">
        <v>509</v>
      </c>
      <c r="D37" s="72" t="s">
        <v>231</v>
      </c>
      <c r="E37" s="70" t="s">
        <v>120</v>
      </c>
      <c r="F37" s="73" t="s">
        <v>122</v>
      </c>
      <c r="G37" s="73" t="str">
        <f t="shared" si="3"/>
        <v>2030 bench</v>
      </c>
      <c r="H37" s="73" t="s">
        <v>239</v>
      </c>
      <c r="I37" s="73">
        <v>2021</v>
      </c>
      <c r="J37" s="73" t="s">
        <v>87</v>
      </c>
      <c r="K37" s="73">
        <v>0</v>
      </c>
      <c r="L37" s="73">
        <v>0</v>
      </c>
      <c r="M37" s="73">
        <v>-1</v>
      </c>
      <c r="N37" s="73" t="s">
        <v>122</v>
      </c>
      <c r="O37" s="73">
        <v>0</v>
      </c>
      <c r="P37" s="73">
        <v>1</v>
      </c>
      <c r="Q37" s="73">
        <v>0</v>
      </c>
      <c r="R37" s="72" t="s">
        <v>221</v>
      </c>
      <c r="S37" s="72" t="s">
        <v>222</v>
      </c>
      <c r="T37" s="72" t="s">
        <v>423</v>
      </c>
      <c r="U37" s="74" t="b">
        <v>0</v>
      </c>
      <c r="V37" s="72" t="b">
        <v>1</v>
      </c>
      <c r="W37" s="72" t="b">
        <v>0</v>
      </c>
      <c r="X37" s="72" t="b">
        <v>0</v>
      </c>
      <c r="Y37" s="72" t="b">
        <v>1</v>
      </c>
      <c r="Z37" s="72" t="b">
        <v>0</v>
      </c>
      <c r="AA37" s="72" t="b">
        <v>0</v>
      </c>
      <c r="AB37" s="72" t="b">
        <v>0</v>
      </c>
      <c r="AC37" s="72" t="b">
        <v>0</v>
      </c>
      <c r="AD37" s="72" t="b">
        <v>1</v>
      </c>
      <c r="AE37" s="72" t="b">
        <v>1</v>
      </c>
      <c r="AF37" s="75" t="b">
        <v>0</v>
      </c>
      <c r="AG37" s="72" t="b">
        <v>0</v>
      </c>
      <c r="AH37" s="72" t="b">
        <v>0</v>
      </c>
      <c r="AI37" s="72" t="b">
        <v>1</v>
      </c>
    </row>
    <row r="38" spans="1:35" x14ac:dyDescent="0.3">
      <c r="A38" s="13">
        <f t="shared" si="0"/>
        <v>29</v>
      </c>
      <c r="B38" s="70" t="s">
        <v>513</v>
      </c>
      <c r="C38" s="71" t="s">
        <v>508</v>
      </c>
      <c r="D38" s="72" t="s">
        <v>231</v>
      </c>
      <c r="E38" s="70" t="s">
        <v>120</v>
      </c>
      <c r="F38" s="73" t="s">
        <v>122</v>
      </c>
      <c r="G38" s="73" t="str">
        <f t="shared" si="3"/>
        <v>2030 bench</v>
      </c>
      <c r="H38" s="73" t="s">
        <v>239</v>
      </c>
      <c r="I38" s="73">
        <v>2021</v>
      </c>
      <c r="J38" s="73" t="s">
        <v>104</v>
      </c>
      <c r="K38" s="73">
        <v>0</v>
      </c>
      <c r="L38" s="73">
        <v>0</v>
      </c>
      <c r="M38" s="73">
        <v>-1</v>
      </c>
      <c r="N38" s="73" t="s">
        <v>122</v>
      </c>
      <c r="O38" s="73">
        <v>0</v>
      </c>
      <c r="P38" s="73">
        <v>1</v>
      </c>
      <c r="Q38" s="73">
        <v>0</v>
      </c>
      <c r="R38" s="72" t="s">
        <v>221</v>
      </c>
      <c r="S38" s="72" t="s">
        <v>222</v>
      </c>
      <c r="T38" s="72" t="s">
        <v>423</v>
      </c>
      <c r="U38" s="74" t="b">
        <v>0</v>
      </c>
      <c r="V38" s="72" t="b">
        <v>1</v>
      </c>
      <c r="W38" s="72" t="b">
        <v>0</v>
      </c>
      <c r="X38" s="72" t="b">
        <v>0</v>
      </c>
      <c r="Y38" s="72" t="b">
        <v>1</v>
      </c>
      <c r="Z38" s="72" t="b">
        <v>0</v>
      </c>
      <c r="AA38" s="72" t="b">
        <v>0</v>
      </c>
      <c r="AB38" s="72" t="b">
        <v>0</v>
      </c>
      <c r="AC38" s="72" t="b">
        <v>0</v>
      </c>
      <c r="AD38" s="72" t="b">
        <v>1</v>
      </c>
      <c r="AE38" s="72" t="b">
        <v>1</v>
      </c>
      <c r="AF38" s="75" t="b">
        <v>0</v>
      </c>
      <c r="AG38" s="72" t="b">
        <v>0</v>
      </c>
      <c r="AH38" s="72" t="b">
        <v>0</v>
      </c>
      <c r="AI38" s="72" t="b">
        <v>1</v>
      </c>
    </row>
    <row r="39" spans="1:35" x14ac:dyDescent="0.3">
      <c r="A39" s="13">
        <f t="shared" si="0"/>
        <v>30</v>
      </c>
      <c r="B39" s="70" t="s">
        <v>512</v>
      </c>
      <c r="C39" s="71" t="s">
        <v>510</v>
      </c>
      <c r="D39" s="72" t="s">
        <v>231</v>
      </c>
      <c r="E39" s="70" t="s">
        <v>120</v>
      </c>
      <c r="F39" s="73" t="s">
        <v>122</v>
      </c>
      <c r="G39" s="73" t="str">
        <f t="shared" si="3"/>
        <v>2030 bench</v>
      </c>
      <c r="H39" s="73" t="s">
        <v>239</v>
      </c>
      <c r="I39" s="73">
        <v>2021</v>
      </c>
      <c r="J39" s="73" t="s">
        <v>233</v>
      </c>
      <c r="K39" s="73">
        <v>0</v>
      </c>
      <c r="L39" s="73">
        <v>0</v>
      </c>
      <c r="M39" s="73">
        <v>-1</v>
      </c>
      <c r="N39" s="73" t="s">
        <v>122</v>
      </c>
      <c r="O39" s="73">
        <v>0</v>
      </c>
      <c r="P39" s="73">
        <v>1</v>
      </c>
      <c r="Q39" s="73">
        <v>0</v>
      </c>
      <c r="R39" s="72" t="s">
        <v>221</v>
      </c>
      <c r="S39" s="72" t="s">
        <v>222</v>
      </c>
      <c r="T39" s="72" t="s">
        <v>423</v>
      </c>
      <c r="U39" s="74" t="b">
        <v>0</v>
      </c>
      <c r="V39" s="72" t="b">
        <v>1</v>
      </c>
      <c r="W39" s="72" t="b">
        <v>0</v>
      </c>
      <c r="X39" s="72" t="b">
        <v>0</v>
      </c>
      <c r="Y39" s="72" t="b">
        <v>1</v>
      </c>
      <c r="Z39" s="72" t="b">
        <v>0</v>
      </c>
      <c r="AA39" s="72" t="b">
        <v>0</v>
      </c>
      <c r="AB39" s="72" t="b">
        <v>0</v>
      </c>
      <c r="AC39" s="72" t="b">
        <v>0</v>
      </c>
      <c r="AD39" s="72" t="b">
        <v>1</v>
      </c>
      <c r="AE39" s="72" t="b">
        <v>1</v>
      </c>
      <c r="AF39" s="75" t="b">
        <v>0</v>
      </c>
      <c r="AG39" s="72" t="b">
        <v>0</v>
      </c>
      <c r="AH39" s="72" t="b">
        <v>0</v>
      </c>
      <c r="AI39" s="72" t="b">
        <v>1</v>
      </c>
    </row>
    <row r="40" spans="1:35" x14ac:dyDescent="0.3">
      <c r="A40" s="13">
        <f t="shared" ref="A40:A69" si="4">ROW(A40)-ROW($A$9)</f>
        <v>31</v>
      </c>
      <c r="B40" s="13" t="s">
        <v>440</v>
      </c>
      <c r="C40" s="17" t="s">
        <v>448</v>
      </c>
      <c r="D40" t="s">
        <v>259</v>
      </c>
      <c r="E40" s="13" t="s">
        <v>422</v>
      </c>
      <c r="F40" s="17" t="s">
        <v>122</v>
      </c>
      <c r="G40" s="17" t="str">
        <f t="shared" ref="G40:G70" si="5">"2030 bench"</f>
        <v>2030 bench</v>
      </c>
      <c r="H40" s="17" t="s">
        <v>239</v>
      </c>
      <c r="I40" s="17" t="str">
        <f t="shared" ref="I40:I69" si="6">"2019"</f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423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s="72" t="b">
        <v>0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4"/>
        <v>32</v>
      </c>
      <c r="B41" s="13" t="s">
        <v>441</v>
      </c>
      <c r="C41" s="17" t="s">
        <v>449</v>
      </c>
      <c r="D41" t="s">
        <v>259</v>
      </c>
      <c r="E41" s="13" t="s">
        <v>419</v>
      </c>
      <c r="F41" s="17" t="s">
        <v>122</v>
      </c>
      <c r="G41" s="17" t="str">
        <f>"2030 bench"</f>
        <v>2030 bench</v>
      </c>
      <c r="H41" s="17" t="s">
        <v>239</v>
      </c>
      <c r="I41" s="17" t="str">
        <f t="shared" si="6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423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s="72" t="b">
        <v>0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4"/>
        <v>33</v>
      </c>
      <c r="B42" s="13" t="s">
        <v>441</v>
      </c>
      <c r="C42" s="17" t="s">
        <v>450</v>
      </c>
      <c r="D42" t="s">
        <v>259</v>
      </c>
      <c r="E42" s="13" t="s">
        <v>420</v>
      </c>
      <c r="F42" s="17" t="s">
        <v>122</v>
      </c>
      <c r="G42" s="17" t="str">
        <f t="shared" si="5"/>
        <v>2030 bench</v>
      </c>
      <c r="H42" s="17" t="s">
        <v>239</v>
      </c>
      <c r="I42" s="17" t="str">
        <f t="shared" si="6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423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s="72" t="b">
        <v>0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4"/>
        <v>34</v>
      </c>
      <c r="B43" s="13" t="s">
        <v>441</v>
      </c>
      <c r="C43" s="17" t="s">
        <v>451</v>
      </c>
      <c r="D43" t="s">
        <v>259</v>
      </c>
      <c r="E43" s="13" t="s">
        <v>421</v>
      </c>
      <c r="F43" s="17" t="s">
        <v>122</v>
      </c>
      <c r="G43" s="17" t="str">
        <f t="shared" si="5"/>
        <v>2030 bench</v>
      </c>
      <c r="H43" s="17" t="s">
        <v>239</v>
      </c>
      <c r="I43" s="17" t="str">
        <f t="shared" si="6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423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s="72" t="b">
        <v>0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4"/>
        <v>35</v>
      </c>
      <c r="B44" s="13" t="s">
        <v>441</v>
      </c>
      <c r="C44" s="17" t="s">
        <v>452</v>
      </c>
      <c r="D44" t="s">
        <v>259</v>
      </c>
      <c r="E44" s="13" t="s">
        <v>422</v>
      </c>
      <c r="F44" s="17" t="s">
        <v>122</v>
      </c>
      <c r="G44" s="17" t="str">
        <f t="shared" si="5"/>
        <v>2030 bench</v>
      </c>
      <c r="H44" s="17" t="s">
        <v>239</v>
      </c>
      <c r="I44" s="17" t="str">
        <f t="shared" si="6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423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s="72" t="b">
        <v>0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si="4"/>
        <v>36</v>
      </c>
      <c r="B45" s="13" t="s">
        <v>442</v>
      </c>
      <c r="C45" s="17" t="s">
        <v>453</v>
      </c>
      <c r="D45" t="s">
        <v>259</v>
      </c>
      <c r="E45" s="13" t="s">
        <v>419</v>
      </c>
      <c r="F45" s="17" t="s">
        <v>122</v>
      </c>
      <c r="G45" s="17" t="str">
        <f>"2030 bench"</f>
        <v>2030 bench</v>
      </c>
      <c r="H45" s="17" t="s">
        <v>239</v>
      </c>
      <c r="I45" s="17" t="str">
        <f t="shared" si="6"/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423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s="72" t="b">
        <v>0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4"/>
        <v>37</v>
      </c>
      <c r="B46" s="13" t="s">
        <v>442</v>
      </c>
      <c r="C46" s="17" t="s">
        <v>454</v>
      </c>
      <c r="D46" t="s">
        <v>259</v>
      </c>
      <c r="E46" s="13" t="s">
        <v>420</v>
      </c>
      <c r="F46" s="17" t="s">
        <v>122</v>
      </c>
      <c r="G46" s="17" t="str">
        <f t="shared" si="5"/>
        <v>2030 bench</v>
      </c>
      <c r="H46" s="17" t="s">
        <v>239</v>
      </c>
      <c r="I46" s="17" t="str">
        <f t="shared" si="6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423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s="72" t="b">
        <v>0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4"/>
        <v>38</v>
      </c>
      <c r="B47" s="13" t="s">
        <v>442</v>
      </c>
      <c r="C47" s="17" t="s">
        <v>455</v>
      </c>
      <c r="D47" t="s">
        <v>259</v>
      </c>
      <c r="E47" s="13" t="s">
        <v>421</v>
      </c>
      <c r="F47" s="17" t="s">
        <v>122</v>
      </c>
      <c r="G47" s="17" t="str">
        <f t="shared" si="5"/>
        <v>2030 bench</v>
      </c>
      <c r="H47" s="17" t="s">
        <v>239</v>
      </c>
      <c r="I47" s="17" t="str">
        <f t="shared" si="6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423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s="72" t="b">
        <v>0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4"/>
        <v>39</v>
      </c>
      <c r="B48" s="13" t="s">
        <v>442</v>
      </c>
      <c r="C48" s="17" t="s">
        <v>456</v>
      </c>
      <c r="D48" t="s">
        <v>259</v>
      </c>
      <c r="E48" s="13" t="s">
        <v>422</v>
      </c>
      <c r="F48" s="17" t="s">
        <v>122</v>
      </c>
      <c r="G48" s="17" t="str">
        <f t="shared" si="5"/>
        <v>2030 bench</v>
      </c>
      <c r="H48" s="17" t="s">
        <v>239</v>
      </c>
      <c r="I48" s="17" t="str">
        <f t="shared" si="6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423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s="72" t="b">
        <v>0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4"/>
        <v>40</v>
      </c>
      <c r="B49" s="13" t="s">
        <v>443</v>
      </c>
      <c r="C49" s="17" t="s">
        <v>457</v>
      </c>
      <c r="D49" t="s">
        <v>259</v>
      </c>
      <c r="E49" s="13" t="s">
        <v>419</v>
      </c>
      <c r="F49" s="17" t="s">
        <v>122</v>
      </c>
      <c r="G49" s="17" t="str">
        <f>"2030 bench"</f>
        <v>2030 bench</v>
      </c>
      <c r="H49" s="17" t="s">
        <v>239</v>
      </c>
      <c r="I49" s="17" t="str">
        <f t="shared" si="6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423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s="72" t="b">
        <v>0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4"/>
        <v>41</v>
      </c>
      <c r="B50" s="13" t="s">
        <v>443</v>
      </c>
      <c r="C50" s="17" t="s">
        <v>458</v>
      </c>
      <c r="D50" t="s">
        <v>259</v>
      </c>
      <c r="E50" s="13" t="s">
        <v>420</v>
      </c>
      <c r="F50" s="17" t="s">
        <v>122</v>
      </c>
      <c r="G50" s="17" t="str">
        <f t="shared" si="5"/>
        <v>2030 bench</v>
      </c>
      <c r="H50" s="17" t="s">
        <v>239</v>
      </c>
      <c r="I50" s="17" t="str">
        <f t="shared" si="6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423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s="72" t="b">
        <v>0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4"/>
        <v>42</v>
      </c>
      <c r="B51" s="13" t="s">
        <v>443</v>
      </c>
      <c r="C51" s="17" t="s">
        <v>459</v>
      </c>
      <c r="D51" t="s">
        <v>259</v>
      </c>
      <c r="E51" s="13" t="s">
        <v>421</v>
      </c>
      <c r="F51" s="17" t="s">
        <v>122</v>
      </c>
      <c r="G51" s="17" t="str">
        <f t="shared" si="5"/>
        <v>2030 bench</v>
      </c>
      <c r="H51" s="17" t="s">
        <v>239</v>
      </c>
      <c r="I51" s="17" t="str">
        <f t="shared" si="6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423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s="72" t="b">
        <v>0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4"/>
        <v>43</v>
      </c>
      <c r="B52" s="13" t="s">
        <v>443</v>
      </c>
      <c r="C52" s="17" t="s">
        <v>460</v>
      </c>
      <c r="D52" t="s">
        <v>259</v>
      </c>
      <c r="E52" s="13" t="s">
        <v>422</v>
      </c>
      <c r="F52" s="17" t="s">
        <v>122</v>
      </c>
      <c r="G52" s="17" t="str">
        <f t="shared" si="5"/>
        <v>2030 bench</v>
      </c>
      <c r="H52" s="17" t="s">
        <v>239</v>
      </c>
      <c r="I52" s="17" t="str">
        <f t="shared" si="6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423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s="72" t="b">
        <v>0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4"/>
        <v>44</v>
      </c>
      <c r="B53" s="13" t="s">
        <v>444</v>
      </c>
      <c r="C53" s="17" t="s">
        <v>461</v>
      </c>
      <c r="D53" t="s">
        <v>259</v>
      </c>
      <c r="E53" s="13" t="s">
        <v>419</v>
      </c>
      <c r="F53" s="17" t="s">
        <v>122</v>
      </c>
      <c r="G53" s="17" t="str">
        <f>"2030 bench"</f>
        <v>2030 bench</v>
      </c>
      <c r="H53" s="17" t="s">
        <v>239</v>
      </c>
      <c r="I53" s="17" t="str">
        <f t="shared" si="6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423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s="72" t="b">
        <v>0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4"/>
        <v>45</v>
      </c>
      <c r="B54" s="13" t="s">
        <v>444</v>
      </c>
      <c r="C54" s="17" t="s">
        <v>462</v>
      </c>
      <c r="D54" t="s">
        <v>259</v>
      </c>
      <c r="E54" s="13" t="s">
        <v>420</v>
      </c>
      <c r="F54" s="17" t="s">
        <v>122</v>
      </c>
      <c r="G54" s="17" t="str">
        <f t="shared" si="5"/>
        <v>2030 bench</v>
      </c>
      <c r="H54" s="17" t="s">
        <v>239</v>
      </c>
      <c r="I54" s="17" t="str">
        <f t="shared" si="6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423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s="72" t="b">
        <v>0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4"/>
        <v>46</v>
      </c>
      <c r="B55" s="13" t="s">
        <v>444</v>
      </c>
      <c r="C55" s="17" t="s">
        <v>463</v>
      </c>
      <c r="D55" t="s">
        <v>259</v>
      </c>
      <c r="E55" s="13" t="s">
        <v>421</v>
      </c>
      <c r="F55" s="17" t="s">
        <v>122</v>
      </c>
      <c r="G55" s="17" t="str">
        <f t="shared" si="5"/>
        <v>2030 bench</v>
      </c>
      <c r="H55" s="17" t="s">
        <v>239</v>
      </c>
      <c r="I55" s="17" t="str">
        <f t="shared" si="6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423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s="72" t="b">
        <v>0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4"/>
        <v>47</v>
      </c>
      <c r="B56" s="13" t="s">
        <v>444</v>
      </c>
      <c r="C56" s="17" t="s">
        <v>464</v>
      </c>
      <c r="D56" t="s">
        <v>259</v>
      </c>
      <c r="E56" s="13" t="s">
        <v>422</v>
      </c>
      <c r="F56" s="17" t="s">
        <v>122</v>
      </c>
      <c r="G56" s="17" t="str">
        <f t="shared" si="5"/>
        <v>2030 bench</v>
      </c>
      <c r="H56" s="17" t="s">
        <v>239</v>
      </c>
      <c r="I56" s="17" t="str">
        <f t="shared" si="6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423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s="72" t="b">
        <v>0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4"/>
        <v>48</v>
      </c>
      <c r="B57" s="13" t="s">
        <v>445</v>
      </c>
      <c r="C57" s="17" t="s">
        <v>465</v>
      </c>
      <c r="D57" t="s">
        <v>259</v>
      </c>
      <c r="E57" s="13" t="s">
        <v>419</v>
      </c>
      <c r="F57" s="17" t="s">
        <v>122</v>
      </c>
      <c r="G57" s="17" t="str">
        <f>"2030 bench"</f>
        <v>2030 bench</v>
      </c>
      <c r="H57" s="17" t="s">
        <v>239</v>
      </c>
      <c r="I57" s="17" t="str">
        <f t="shared" si="6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423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s="72" t="b">
        <v>0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4"/>
        <v>49</v>
      </c>
      <c r="B58" s="13" t="s">
        <v>445</v>
      </c>
      <c r="C58" s="17" t="s">
        <v>466</v>
      </c>
      <c r="D58" t="s">
        <v>259</v>
      </c>
      <c r="E58" s="13" t="s">
        <v>420</v>
      </c>
      <c r="F58" s="17" t="s">
        <v>122</v>
      </c>
      <c r="G58" s="17" t="str">
        <f t="shared" si="5"/>
        <v>2030 bench</v>
      </c>
      <c r="H58" s="17" t="s">
        <v>239</v>
      </c>
      <c r="I58" s="17" t="str">
        <f t="shared" si="6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423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s="72" t="b">
        <v>0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4"/>
        <v>50</v>
      </c>
      <c r="B59" s="13" t="s">
        <v>445</v>
      </c>
      <c r="C59" s="17" t="s">
        <v>467</v>
      </c>
      <c r="D59" t="s">
        <v>259</v>
      </c>
      <c r="E59" s="13" t="s">
        <v>421</v>
      </c>
      <c r="F59" s="17" t="s">
        <v>122</v>
      </c>
      <c r="G59" s="17" t="str">
        <f t="shared" si="5"/>
        <v>2030 bench</v>
      </c>
      <c r="H59" s="17" t="s">
        <v>239</v>
      </c>
      <c r="I59" s="17" t="str">
        <f t="shared" si="6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423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s="72" t="b">
        <v>0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4"/>
        <v>51</v>
      </c>
      <c r="B60" s="13" t="s">
        <v>445</v>
      </c>
      <c r="C60" s="17" t="s">
        <v>468</v>
      </c>
      <c r="D60" t="s">
        <v>259</v>
      </c>
      <c r="E60" s="13" t="s">
        <v>422</v>
      </c>
      <c r="F60" s="17" t="s">
        <v>122</v>
      </c>
      <c r="G60" s="17" t="str">
        <f t="shared" si="5"/>
        <v>2030 bench</v>
      </c>
      <c r="H60" s="17" t="s">
        <v>239</v>
      </c>
      <c r="I60" s="17" t="str">
        <f t="shared" si="6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423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s="72" t="b">
        <v>0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4"/>
        <v>52</v>
      </c>
      <c r="B61" s="13" t="s">
        <v>446</v>
      </c>
      <c r="C61" s="17" t="s">
        <v>469</v>
      </c>
      <c r="D61" t="s">
        <v>259</v>
      </c>
      <c r="E61" s="13" t="s">
        <v>419</v>
      </c>
      <c r="F61" s="17" t="s">
        <v>122</v>
      </c>
      <c r="G61" s="17" t="str">
        <f>"2030 bench"</f>
        <v>2030 bench</v>
      </c>
      <c r="H61" s="17" t="s">
        <v>239</v>
      </c>
      <c r="I61" s="17" t="str">
        <f t="shared" si="6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423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s="72" t="b">
        <v>0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4"/>
        <v>53</v>
      </c>
      <c r="B62" s="13" t="s">
        <v>446</v>
      </c>
      <c r="C62" s="17" t="s">
        <v>470</v>
      </c>
      <c r="D62" t="s">
        <v>259</v>
      </c>
      <c r="E62" s="13" t="s">
        <v>420</v>
      </c>
      <c r="F62" s="17" t="s">
        <v>122</v>
      </c>
      <c r="G62" s="17" t="str">
        <f t="shared" si="5"/>
        <v>2030 bench</v>
      </c>
      <c r="H62" s="17" t="s">
        <v>239</v>
      </c>
      <c r="I62" s="17" t="str">
        <f t="shared" si="6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423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s="72" t="b">
        <v>0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4"/>
        <v>54</v>
      </c>
      <c r="B63" s="13" t="s">
        <v>446</v>
      </c>
      <c r="C63" s="17" t="s">
        <v>471</v>
      </c>
      <c r="D63" t="s">
        <v>259</v>
      </c>
      <c r="E63" s="13" t="s">
        <v>421</v>
      </c>
      <c r="F63" s="17" t="s">
        <v>122</v>
      </c>
      <c r="G63" s="17" t="str">
        <f t="shared" si="5"/>
        <v>2030 bench</v>
      </c>
      <c r="H63" s="17" t="s">
        <v>239</v>
      </c>
      <c r="I63" s="17" t="str">
        <f t="shared" si="6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423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s="72" t="b">
        <v>0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4"/>
        <v>55</v>
      </c>
      <c r="B64" s="13" t="s">
        <v>446</v>
      </c>
      <c r="C64" s="17" t="s">
        <v>472</v>
      </c>
      <c r="D64" t="s">
        <v>259</v>
      </c>
      <c r="E64" s="13" t="s">
        <v>422</v>
      </c>
      <c r="F64" s="17" t="s">
        <v>122</v>
      </c>
      <c r="G64" s="17" t="str">
        <f t="shared" si="5"/>
        <v>2030 bench</v>
      </c>
      <c r="H64" s="17" t="s">
        <v>239</v>
      </c>
      <c r="I64" s="17" t="str">
        <f t="shared" si="6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423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s="72" t="b">
        <v>0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4"/>
        <v>56</v>
      </c>
      <c r="B65" s="13" t="s">
        <v>447</v>
      </c>
      <c r="C65" s="17" t="s">
        <v>473</v>
      </c>
      <c r="D65" t="s">
        <v>259</v>
      </c>
      <c r="E65" s="13" t="s">
        <v>419</v>
      </c>
      <c r="F65" s="17" t="s">
        <v>122</v>
      </c>
      <c r="G65" s="17" t="str">
        <f>"2030 bench"</f>
        <v>2030 bench</v>
      </c>
      <c r="H65" s="17" t="s">
        <v>239</v>
      </c>
      <c r="I65" s="17" t="str">
        <f t="shared" si="6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423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s="72" t="b">
        <v>0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4"/>
        <v>57</v>
      </c>
      <c r="B66" s="13" t="s">
        <v>447</v>
      </c>
      <c r="C66" s="17" t="s">
        <v>474</v>
      </c>
      <c r="D66" t="s">
        <v>259</v>
      </c>
      <c r="E66" s="13" t="s">
        <v>420</v>
      </c>
      <c r="F66" s="17" t="s">
        <v>122</v>
      </c>
      <c r="G66" s="17" t="str">
        <f t="shared" si="5"/>
        <v>2030 bench</v>
      </c>
      <c r="H66" s="17" t="s">
        <v>239</v>
      </c>
      <c r="I66" s="17" t="str">
        <f t="shared" si="6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423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s="72" t="b">
        <v>0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4"/>
        <v>58</v>
      </c>
      <c r="B67" s="13" t="s">
        <v>447</v>
      </c>
      <c r="C67" s="17" t="s">
        <v>475</v>
      </c>
      <c r="D67" t="s">
        <v>259</v>
      </c>
      <c r="E67" s="13" t="s">
        <v>421</v>
      </c>
      <c r="F67" s="17" t="s">
        <v>122</v>
      </c>
      <c r="G67" s="17" t="str">
        <f t="shared" si="5"/>
        <v>2030 bench</v>
      </c>
      <c r="H67" s="17" t="s">
        <v>239</v>
      </c>
      <c r="I67" s="17" t="str">
        <f t="shared" si="6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423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s="72" t="b">
        <v>0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4"/>
        <v>59</v>
      </c>
      <c r="B68" s="13" t="s">
        <v>447</v>
      </c>
      <c r="C68" s="17" t="s">
        <v>476</v>
      </c>
      <c r="D68" t="s">
        <v>259</v>
      </c>
      <c r="E68" s="13" t="s">
        <v>422</v>
      </c>
      <c r="F68" s="17" t="s">
        <v>122</v>
      </c>
      <c r="G68" s="17" t="str">
        <f t="shared" si="5"/>
        <v>2030 bench</v>
      </c>
      <c r="H68" s="17" t="s">
        <v>239</v>
      </c>
      <c r="I68" s="17" t="str">
        <f t="shared" si="6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423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s="72" t="b">
        <v>0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4"/>
        <v>60</v>
      </c>
      <c r="B69" s="13" t="s">
        <v>477</v>
      </c>
      <c r="C69" s="17" t="s">
        <v>483</v>
      </c>
      <c r="D69" t="s">
        <v>259</v>
      </c>
      <c r="E69" s="13" t="s">
        <v>419</v>
      </c>
      <c r="F69" s="17" t="s">
        <v>122</v>
      </c>
      <c r="G69" s="17" t="str">
        <f>"2030 bench"</f>
        <v>2030 bench</v>
      </c>
      <c r="H69" s="17" t="s">
        <v>239</v>
      </c>
      <c r="I69" s="17" t="str">
        <f t="shared" si="6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423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s="72" t="b">
        <v>0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ref="A70:A93" si="7">ROW(A70)-ROW($A$9)</f>
        <v>61</v>
      </c>
      <c r="B70" s="13" t="s">
        <v>477</v>
      </c>
      <c r="C70" s="17" t="s">
        <v>484</v>
      </c>
      <c r="D70" t="s">
        <v>259</v>
      </c>
      <c r="E70" s="13" t="s">
        <v>420</v>
      </c>
      <c r="F70" s="17" t="s">
        <v>122</v>
      </c>
      <c r="G70" s="17" t="str">
        <f t="shared" si="5"/>
        <v>2030 bench</v>
      </c>
      <c r="H70" s="17" t="s">
        <v>239</v>
      </c>
      <c r="I70" s="17" t="str">
        <f t="shared" ref="I70:I93" si="8">"2019"</f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423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s="72" t="b">
        <v>0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7"/>
        <v>62</v>
      </c>
      <c r="B71" s="13" t="s">
        <v>477</v>
      </c>
      <c r="C71" s="17" t="s">
        <v>485</v>
      </c>
      <c r="D71" t="s">
        <v>259</v>
      </c>
      <c r="E71" s="13" t="s">
        <v>421</v>
      </c>
      <c r="F71" s="17" t="s">
        <v>122</v>
      </c>
      <c r="G71" s="17" t="str">
        <f t="shared" ref="G71:G72" si="9">"2030 bench"</f>
        <v>2030 bench</v>
      </c>
      <c r="H71" s="17" t="s">
        <v>239</v>
      </c>
      <c r="I71" s="17" t="str">
        <f t="shared" si="8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423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s="72" t="b">
        <v>0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7"/>
        <v>63</v>
      </c>
      <c r="B72" s="13" t="s">
        <v>477</v>
      </c>
      <c r="C72" s="17" t="s">
        <v>486</v>
      </c>
      <c r="D72" t="s">
        <v>259</v>
      </c>
      <c r="E72" s="13" t="s">
        <v>422</v>
      </c>
      <c r="F72" s="17" t="s">
        <v>122</v>
      </c>
      <c r="G72" s="17" t="str">
        <f t="shared" si="9"/>
        <v>2030 bench</v>
      </c>
      <c r="H72" s="17" t="s">
        <v>239</v>
      </c>
      <c r="I72" s="17" t="str">
        <f t="shared" si="8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423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s="72" t="b">
        <v>0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7"/>
        <v>64</v>
      </c>
      <c r="B73" s="13" t="s">
        <v>478</v>
      </c>
      <c r="C73" s="17" t="s">
        <v>495</v>
      </c>
      <c r="D73" t="s">
        <v>259</v>
      </c>
      <c r="E73" s="13" t="s">
        <v>419</v>
      </c>
      <c r="F73" s="17" t="s">
        <v>122</v>
      </c>
      <c r="G73" s="17" t="str">
        <f>"2030 bench"</f>
        <v>2030 bench</v>
      </c>
      <c r="H73" s="17" t="s">
        <v>239</v>
      </c>
      <c r="I73" s="17" t="str">
        <f t="shared" si="8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423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s="72" t="b">
        <v>0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7"/>
        <v>65</v>
      </c>
      <c r="B74" s="13" t="s">
        <v>478</v>
      </c>
      <c r="C74" s="17" t="s">
        <v>496</v>
      </c>
      <c r="D74" t="s">
        <v>259</v>
      </c>
      <c r="E74" s="13" t="s">
        <v>420</v>
      </c>
      <c r="F74" s="17" t="s">
        <v>122</v>
      </c>
      <c r="G74" s="17" t="str">
        <f t="shared" ref="G74:G76" si="10">"2030 bench"</f>
        <v>2030 bench</v>
      </c>
      <c r="H74" s="17" t="s">
        <v>239</v>
      </c>
      <c r="I74" s="17" t="str">
        <f t="shared" si="8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423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s="72" t="b">
        <v>0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si="7"/>
        <v>66</v>
      </c>
      <c r="B75" s="13" t="s">
        <v>478</v>
      </c>
      <c r="C75" s="17" t="s">
        <v>497</v>
      </c>
      <c r="D75" t="s">
        <v>259</v>
      </c>
      <c r="E75" s="13" t="s">
        <v>421</v>
      </c>
      <c r="F75" s="17" t="s">
        <v>122</v>
      </c>
      <c r="G75" s="17" t="str">
        <f t="shared" si="10"/>
        <v>2030 bench</v>
      </c>
      <c r="H75" s="17" t="s">
        <v>239</v>
      </c>
      <c r="I75" s="17" t="str">
        <f t="shared" si="8"/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423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s="72" t="b">
        <v>0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7"/>
        <v>67</v>
      </c>
      <c r="B76" s="13" t="s">
        <v>478</v>
      </c>
      <c r="C76" s="17" t="s">
        <v>498</v>
      </c>
      <c r="D76" t="s">
        <v>259</v>
      </c>
      <c r="E76" s="13" t="s">
        <v>422</v>
      </c>
      <c r="F76" s="17" t="s">
        <v>122</v>
      </c>
      <c r="G76" s="17" t="str">
        <f t="shared" si="10"/>
        <v>2030 bench</v>
      </c>
      <c r="H76" s="17" t="s">
        <v>239</v>
      </c>
      <c r="I76" s="17" t="str">
        <f t="shared" si="8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423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s="72" t="b">
        <v>0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7"/>
        <v>68</v>
      </c>
      <c r="B77" s="13" t="s">
        <v>479</v>
      </c>
      <c r="C77" s="17" t="s">
        <v>487</v>
      </c>
      <c r="D77" t="s">
        <v>259</v>
      </c>
      <c r="E77" s="13" t="s">
        <v>419</v>
      </c>
      <c r="F77" s="17" t="s">
        <v>122</v>
      </c>
      <c r="G77" s="17" t="str">
        <f>"2030 bench"</f>
        <v>2030 bench</v>
      </c>
      <c r="H77" s="17" t="s">
        <v>239</v>
      </c>
      <c r="I77" s="17" t="str">
        <f t="shared" si="8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423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s="72" t="b">
        <v>0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si="7"/>
        <v>69</v>
      </c>
      <c r="B78" s="13" t="s">
        <v>479</v>
      </c>
      <c r="C78" s="17" t="s">
        <v>488</v>
      </c>
      <c r="D78" t="s">
        <v>259</v>
      </c>
      <c r="E78" s="13" t="s">
        <v>420</v>
      </c>
      <c r="F78" s="17" t="s">
        <v>122</v>
      </c>
      <c r="G78" s="17" t="str">
        <f t="shared" ref="G78:G88" si="11">"2030 bench"</f>
        <v>2030 bench</v>
      </c>
      <c r="H78" s="17" t="s">
        <v>239</v>
      </c>
      <c r="I78" s="17" t="str">
        <f t="shared" si="8"/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423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s="72" t="b">
        <v>0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7"/>
        <v>70</v>
      </c>
      <c r="B79" s="13" t="s">
        <v>479</v>
      </c>
      <c r="C79" s="17" t="s">
        <v>489</v>
      </c>
      <c r="D79" t="s">
        <v>259</v>
      </c>
      <c r="E79" s="13" t="s">
        <v>421</v>
      </c>
      <c r="F79" s="17" t="s">
        <v>122</v>
      </c>
      <c r="G79" s="17" t="str">
        <f t="shared" si="11"/>
        <v>2030 bench</v>
      </c>
      <c r="H79" s="17" t="s">
        <v>239</v>
      </c>
      <c r="I79" s="17" t="str">
        <f t="shared" si="8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423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s="72" t="b">
        <v>0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7"/>
        <v>71</v>
      </c>
      <c r="B80" s="13" t="s">
        <v>479</v>
      </c>
      <c r="C80" s="17" t="s">
        <v>490</v>
      </c>
      <c r="D80" t="s">
        <v>259</v>
      </c>
      <c r="E80" s="13" t="s">
        <v>422</v>
      </c>
      <c r="F80" s="17" t="s">
        <v>122</v>
      </c>
      <c r="G80" s="17" t="str">
        <f t="shared" si="11"/>
        <v>2030 bench</v>
      </c>
      <c r="H80" s="17" t="s">
        <v>239</v>
      </c>
      <c r="I80" s="17" t="str">
        <f t="shared" si="8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423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s="72" t="b">
        <v>0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7"/>
        <v>72</v>
      </c>
      <c r="B81" s="13" t="s">
        <v>480</v>
      </c>
      <c r="C81" s="17" t="s">
        <v>499</v>
      </c>
      <c r="D81" t="s">
        <v>259</v>
      </c>
      <c r="E81" s="13" t="s">
        <v>419</v>
      </c>
      <c r="F81" s="17" t="s">
        <v>122</v>
      </c>
      <c r="G81" s="17" t="str">
        <f>"2030 bench"</f>
        <v>2030 bench</v>
      </c>
      <c r="H81" s="17" t="s">
        <v>239</v>
      </c>
      <c r="I81" s="17" t="str">
        <f t="shared" si="8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423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s="72" t="b">
        <v>0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7"/>
        <v>73</v>
      </c>
      <c r="B82" s="13" t="s">
        <v>480</v>
      </c>
      <c r="C82" s="17" t="s">
        <v>500</v>
      </c>
      <c r="D82" t="s">
        <v>259</v>
      </c>
      <c r="E82" s="13" t="s">
        <v>420</v>
      </c>
      <c r="F82" s="17" t="s">
        <v>122</v>
      </c>
      <c r="G82" s="17" t="str">
        <f t="shared" ref="G82:G84" si="12">"2030 bench"</f>
        <v>2030 bench</v>
      </c>
      <c r="H82" s="17" t="s">
        <v>239</v>
      </c>
      <c r="I82" s="17" t="str">
        <f t="shared" si="8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s="72" t="b">
        <v>0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7"/>
        <v>74</v>
      </c>
      <c r="B83" s="13" t="s">
        <v>480</v>
      </c>
      <c r="C83" s="17" t="s">
        <v>501</v>
      </c>
      <c r="D83" t="s">
        <v>259</v>
      </c>
      <c r="E83" s="13" t="s">
        <v>421</v>
      </c>
      <c r="F83" s="17" t="s">
        <v>122</v>
      </c>
      <c r="G83" s="17" t="str">
        <f t="shared" si="12"/>
        <v>2030 bench</v>
      </c>
      <c r="H83" s="17" t="s">
        <v>239</v>
      </c>
      <c r="I83" s="17" t="str">
        <f t="shared" si="8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s="72" t="b">
        <v>0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7"/>
        <v>75</v>
      </c>
      <c r="B84" s="13" t="s">
        <v>480</v>
      </c>
      <c r="C84" s="17" t="s">
        <v>502</v>
      </c>
      <c r="D84" t="s">
        <v>259</v>
      </c>
      <c r="E84" s="13" t="s">
        <v>422</v>
      </c>
      <c r="F84" s="17" t="s">
        <v>122</v>
      </c>
      <c r="G84" s="17" t="str">
        <f t="shared" si="12"/>
        <v>2030 bench</v>
      </c>
      <c r="H84" s="17" t="s">
        <v>239</v>
      </c>
      <c r="I84" s="17" t="str">
        <f t="shared" si="8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s="72" t="b">
        <v>0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7"/>
        <v>76</v>
      </c>
      <c r="B85" s="13" t="s">
        <v>481</v>
      </c>
      <c r="C85" s="17" t="s">
        <v>491</v>
      </c>
      <c r="D85" t="s">
        <v>259</v>
      </c>
      <c r="E85" s="13" t="s">
        <v>419</v>
      </c>
      <c r="F85" s="17" t="s">
        <v>122</v>
      </c>
      <c r="G85" s="17" t="str">
        <f>"2030 bench"</f>
        <v>2030 bench</v>
      </c>
      <c r="H85" s="17" t="s">
        <v>239</v>
      </c>
      <c r="I85" s="17" t="str">
        <f t="shared" si="8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s="72" t="b">
        <v>0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7"/>
        <v>77</v>
      </c>
      <c r="B86" s="13" t="s">
        <v>481</v>
      </c>
      <c r="C86" s="17" t="s">
        <v>492</v>
      </c>
      <c r="D86" t="s">
        <v>259</v>
      </c>
      <c r="E86" s="13" t="s">
        <v>420</v>
      </c>
      <c r="F86" s="17" t="s">
        <v>122</v>
      </c>
      <c r="G86" s="17" t="str">
        <f t="shared" si="11"/>
        <v>2030 bench</v>
      </c>
      <c r="H86" s="17" t="s">
        <v>239</v>
      </c>
      <c r="I86" s="17" t="str">
        <f t="shared" si="8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s="72" t="b">
        <v>0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7"/>
        <v>78</v>
      </c>
      <c r="B87" s="13" t="s">
        <v>481</v>
      </c>
      <c r="C87" s="17" t="s">
        <v>493</v>
      </c>
      <c r="D87" t="s">
        <v>259</v>
      </c>
      <c r="E87" s="13" t="s">
        <v>421</v>
      </c>
      <c r="F87" s="17" t="s">
        <v>122</v>
      </c>
      <c r="G87" s="17" t="str">
        <f t="shared" si="11"/>
        <v>2030 bench</v>
      </c>
      <c r="H87" s="17" t="s">
        <v>239</v>
      </c>
      <c r="I87" s="17" t="str">
        <f t="shared" si="8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s="72" t="b">
        <v>0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7"/>
        <v>79</v>
      </c>
      <c r="B88" s="13" t="s">
        <v>481</v>
      </c>
      <c r="C88" s="17" t="s">
        <v>494</v>
      </c>
      <c r="D88" t="s">
        <v>259</v>
      </c>
      <c r="E88" s="13" t="s">
        <v>422</v>
      </c>
      <c r="F88" s="17" t="s">
        <v>122</v>
      </c>
      <c r="G88" s="17" t="str">
        <f t="shared" si="11"/>
        <v>2030 bench</v>
      </c>
      <c r="H88" s="17" t="s">
        <v>239</v>
      </c>
      <c r="I88" s="17" t="str">
        <f t="shared" si="8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s="72" t="b">
        <v>0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7"/>
        <v>80</v>
      </c>
      <c r="B89" s="13" t="s">
        <v>482</v>
      </c>
      <c r="C89" s="17" t="s">
        <v>503</v>
      </c>
      <c r="D89" t="s">
        <v>259</v>
      </c>
      <c r="E89" s="13" t="s">
        <v>419</v>
      </c>
      <c r="F89" s="17" t="s">
        <v>122</v>
      </c>
      <c r="G89" s="17" t="str">
        <f>"2030 bench"</f>
        <v>2030 bench</v>
      </c>
      <c r="H89" s="17" t="s">
        <v>239</v>
      </c>
      <c r="I89" s="17" t="str">
        <f t="shared" si="8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s="72" t="b">
        <v>0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7"/>
        <v>81</v>
      </c>
      <c r="B90" s="13" t="s">
        <v>482</v>
      </c>
      <c r="C90" s="17" t="s">
        <v>504</v>
      </c>
      <c r="D90" t="s">
        <v>259</v>
      </c>
      <c r="E90" s="13" t="s">
        <v>420</v>
      </c>
      <c r="F90" s="17" t="s">
        <v>122</v>
      </c>
      <c r="G90" s="17" t="str">
        <f t="shared" ref="G90:G93" si="13">"2030 bench"</f>
        <v>2030 bench</v>
      </c>
      <c r="H90" s="17" t="s">
        <v>239</v>
      </c>
      <c r="I90" s="17" t="str">
        <f t="shared" si="8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s="72" t="b">
        <v>0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7"/>
        <v>82</v>
      </c>
      <c r="B91" s="13" t="s">
        <v>482</v>
      </c>
      <c r="C91" s="17" t="s">
        <v>505</v>
      </c>
      <c r="D91" t="s">
        <v>259</v>
      </c>
      <c r="E91" s="13" t="s">
        <v>421</v>
      </c>
      <c r="F91" s="17" t="s">
        <v>122</v>
      </c>
      <c r="G91" s="17" t="str">
        <f t="shared" si="13"/>
        <v>2030 bench</v>
      </c>
      <c r="H91" s="17" t="s">
        <v>239</v>
      </c>
      <c r="I91" s="17" t="str">
        <f t="shared" si="8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s="72" t="b">
        <v>0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7"/>
        <v>83</v>
      </c>
      <c r="B92" s="13" t="s">
        <v>482</v>
      </c>
      <c r="C92" s="17" t="s">
        <v>506</v>
      </c>
      <c r="D92" t="s">
        <v>259</v>
      </c>
      <c r="E92" s="13" t="s">
        <v>422</v>
      </c>
      <c r="F92" s="17" t="s">
        <v>122</v>
      </c>
      <c r="G92" s="17" t="str">
        <f t="shared" si="13"/>
        <v>2030 bench</v>
      </c>
      <c r="H92" s="17" t="s">
        <v>239</v>
      </c>
      <c r="I92" s="17" t="str">
        <f t="shared" si="8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s="72" t="b">
        <v>0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7"/>
        <v>84</v>
      </c>
      <c r="B93" s="13" t="s">
        <v>482</v>
      </c>
      <c r="C93" s="17" t="s">
        <v>507</v>
      </c>
      <c r="D93" t="s">
        <v>259</v>
      </c>
      <c r="E93" s="13" t="s">
        <v>249</v>
      </c>
      <c r="F93" s="17" t="s">
        <v>122</v>
      </c>
      <c r="G93" s="17" t="str">
        <f t="shared" si="13"/>
        <v>2030 bench</v>
      </c>
      <c r="H93" s="17" t="s">
        <v>239</v>
      </c>
      <c r="I93" s="17" t="str">
        <f t="shared" si="8"/>
        <v>2019</v>
      </c>
      <c r="J93" s="17" t="s">
        <v>233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s="72" t="b">
        <v>0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AI93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11" t="s">
        <v>156</v>
      </c>
      <c r="C2" s="112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13" t="s">
        <v>182</v>
      </c>
      <c r="I2" s="113" t="s">
        <v>181</v>
      </c>
      <c r="J2" s="13" t="s">
        <v>87</v>
      </c>
      <c r="K2" s="13" t="s">
        <v>167</v>
      </c>
      <c r="L2" s="13" t="s">
        <v>167</v>
      </c>
      <c r="M2" s="113" t="s">
        <v>255</v>
      </c>
      <c r="N2" s="114" t="s">
        <v>256</v>
      </c>
      <c r="O2" s="115" t="s">
        <v>258</v>
      </c>
      <c r="P2" s="113" t="s">
        <v>173</v>
      </c>
      <c r="Q2" s="113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11"/>
      <c r="C3" s="112"/>
      <c r="D3" s="13"/>
      <c r="E3" s="13" t="s">
        <v>120</v>
      </c>
      <c r="F3" s="13" t="s">
        <v>93</v>
      </c>
      <c r="G3" s="13">
        <v>2030</v>
      </c>
      <c r="H3" s="113"/>
      <c r="I3" s="113"/>
      <c r="J3" s="13" t="s">
        <v>104</v>
      </c>
      <c r="M3" s="113"/>
      <c r="N3" s="114"/>
      <c r="O3" s="115"/>
      <c r="P3" s="113"/>
      <c r="Q3" s="113"/>
      <c r="R3" s="13"/>
      <c r="S3" s="13"/>
      <c r="T3" s="13"/>
    </row>
    <row r="4" spans="1:33" x14ac:dyDescent="0.3">
      <c r="B4" s="111"/>
      <c r="C4" s="112"/>
      <c r="D4" s="13"/>
      <c r="E4" s="13" t="s">
        <v>97</v>
      </c>
      <c r="F4" s="13" t="s">
        <v>122</v>
      </c>
      <c r="G4" s="13">
        <v>2050</v>
      </c>
      <c r="H4" s="13"/>
      <c r="I4" s="113"/>
      <c r="J4" s="13" t="s">
        <v>233</v>
      </c>
      <c r="K4" s="13"/>
      <c r="L4" s="13"/>
      <c r="M4" s="113"/>
      <c r="N4" s="114"/>
      <c r="O4" s="115"/>
      <c r="P4" s="113"/>
      <c r="Q4" s="113"/>
      <c r="R4" s="13"/>
      <c r="S4" s="13"/>
      <c r="T4" s="13"/>
    </row>
    <row r="5" spans="1:33" x14ac:dyDescent="0.3">
      <c r="B5" s="111"/>
      <c r="C5" s="112"/>
      <c r="E5" s="13"/>
      <c r="F5" s="13"/>
      <c r="G5" s="13"/>
      <c r="H5" s="13"/>
      <c r="I5" s="13"/>
      <c r="J5" s="13"/>
      <c r="K5" s="13"/>
      <c r="L5" s="13"/>
      <c r="M5" s="113"/>
      <c r="N5" s="114"/>
      <c r="O5" s="115"/>
      <c r="P5" s="113"/>
      <c r="Q5" s="113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10" t="s">
        <v>151</v>
      </c>
      <c r="AF5" s="107"/>
      <c r="AG5" s="107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107" t="s">
        <v>0</v>
      </c>
      <c r="B4" s="107"/>
      <c r="C4" s="107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105" t="s">
        <v>79</v>
      </c>
      <c r="Q4" s="105"/>
      <c r="R4" s="105"/>
      <c r="S4" s="105"/>
      <c r="T4" s="105"/>
      <c r="U4" s="105"/>
      <c r="V4" s="105"/>
      <c r="W4" s="105"/>
      <c r="X4" s="105"/>
      <c r="Y4" s="105"/>
      <c r="Z4" s="105" t="s">
        <v>80</v>
      </c>
      <c r="AA4" s="105"/>
      <c r="AB4" s="105"/>
      <c r="AC4" s="105"/>
      <c r="AD4" s="105"/>
      <c r="AE4" s="105"/>
      <c r="AF4" s="105"/>
      <c r="AG4" s="105"/>
      <c r="AH4" s="105"/>
      <c r="AI4" s="105"/>
      <c r="AJ4" s="105" t="s">
        <v>407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5" t="s">
        <v>81</v>
      </c>
      <c r="AU4" s="105"/>
      <c r="AV4" s="105"/>
      <c r="AW4" s="105"/>
      <c r="AX4" s="105"/>
      <c r="AY4" s="105"/>
      <c r="AZ4" s="105"/>
      <c r="BA4" s="105"/>
      <c r="BB4" s="105"/>
      <c r="BC4" s="29"/>
      <c r="BD4" s="105" t="s">
        <v>82</v>
      </c>
      <c r="BE4" s="105"/>
      <c r="BF4" s="105"/>
      <c r="BG4" s="105"/>
      <c r="BH4" s="105"/>
      <c r="BI4" s="105"/>
      <c r="BJ4" s="105"/>
      <c r="BK4" s="105"/>
      <c r="BL4" s="105"/>
      <c r="BM4" s="29"/>
      <c r="BN4" s="105" t="s">
        <v>83</v>
      </c>
      <c r="BO4" s="105"/>
      <c r="BP4" s="105"/>
      <c r="BQ4" s="105"/>
      <c r="BR4" s="105"/>
      <c r="BS4" s="105"/>
      <c r="BT4" s="105"/>
      <c r="BU4" s="105"/>
      <c r="BV4" s="105"/>
      <c r="BW4" s="29"/>
      <c r="BX4" s="105" t="s">
        <v>84</v>
      </c>
      <c r="BY4" s="105"/>
      <c r="BZ4" s="105"/>
      <c r="CA4" s="105"/>
      <c r="CB4" s="105"/>
      <c r="CC4" s="105"/>
      <c r="CD4" s="105"/>
      <c r="CE4" s="105"/>
      <c r="CF4" s="105"/>
      <c r="CG4" s="29"/>
      <c r="CH4" s="105" t="s">
        <v>183</v>
      </c>
      <c r="CI4" s="105"/>
      <c r="CJ4" s="105"/>
      <c r="CK4" s="105"/>
      <c r="CL4" s="105"/>
      <c r="CM4" s="105"/>
      <c r="CN4" s="105"/>
      <c r="CO4" s="105"/>
      <c r="CP4" s="105"/>
      <c r="CQ4" s="29"/>
      <c r="CR4" s="105" t="s">
        <v>184</v>
      </c>
      <c r="CS4" s="105"/>
      <c r="CT4" s="105"/>
      <c r="CU4" s="105"/>
      <c r="CV4" s="105"/>
      <c r="CW4" s="105"/>
      <c r="CX4" s="105"/>
      <c r="CY4" s="105"/>
      <c r="CZ4" s="105"/>
      <c r="DA4" s="29"/>
      <c r="DB4" s="105" t="s">
        <v>185</v>
      </c>
      <c r="DC4" s="105"/>
      <c r="DD4" s="105"/>
      <c r="DE4" s="105"/>
      <c r="DF4" s="105"/>
      <c r="DG4" s="105"/>
      <c r="DH4" s="105"/>
      <c r="DI4" s="105"/>
      <c r="DJ4" s="105"/>
      <c r="DK4" s="29"/>
      <c r="DL4" s="105" t="s">
        <v>186</v>
      </c>
      <c r="DM4" s="105"/>
      <c r="DN4" s="105"/>
      <c r="DO4" s="105"/>
      <c r="DP4" s="105"/>
      <c r="DQ4" s="105"/>
      <c r="DR4" s="105"/>
      <c r="DS4" s="105"/>
      <c r="DT4" s="105"/>
      <c r="DU4" s="29"/>
      <c r="DV4" s="105" t="s">
        <v>187</v>
      </c>
      <c r="DW4" s="105"/>
      <c r="DX4" s="105"/>
      <c r="DY4" s="105"/>
      <c r="DZ4" s="105"/>
      <c r="EA4" s="105"/>
      <c r="EB4" s="105"/>
      <c r="EC4" s="105"/>
      <c r="ED4" s="105"/>
      <c r="EE4" s="29"/>
      <c r="EF4" s="105" t="s">
        <v>132</v>
      </c>
      <c r="EG4" s="105"/>
      <c r="EH4" s="105"/>
      <c r="EI4" s="105"/>
      <c r="EJ4" s="105"/>
      <c r="EK4" s="105"/>
      <c r="EL4" s="105"/>
      <c r="EM4" s="105"/>
      <c r="EN4" s="105"/>
      <c r="EO4" s="29"/>
      <c r="EP4" s="105" t="s">
        <v>85</v>
      </c>
      <c r="EQ4" s="105"/>
      <c r="ER4" s="105"/>
      <c r="ES4" s="105"/>
      <c r="ET4" s="105"/>
      <c r="EU4" s="105"/>
      <c r="EV4" s="105"/>
      <c r="EW4" s="105"/>
      <c r="EX4" s="105"/>
      <c r="EY4" s="29"/>
      <c r="EZ4" s="105" t="s">
        <v>178</v>
      </c>
      <c r="FA4" s="105"/>
      <c r="FB4" s="105"/>
      <c r="FC4" s="105"/>
      <c r="FD4" s="105"/>
      <c r="FE4" s="105"/>
      <c r="FF4" s="105"/>
      <c r="FG4" s="105"/>
      <c r="FH4" s="105"/>
      <c r="FI4" s="29"/>
      <c r="FJ4" s="105" t="s">
        <v>86</v>
      </c>
      <c r="FK4" s="105"/>
      <c r="FL4" s="105"/>
      <c r="FM4" s="105"/>
      <c r="FN4" s="105"/>
      <c r="FO4" s="105"/>
      <c r="FP4" s="105"/>
      <c r="FQ4" s="105"/>
      <c r="FR4" s="105"/>
      <c r="FS4" s="105"/>
    </row>
    <row r="5" spans="1:175" s="5" customFormat="1" ht="15" customHeight="1" x14ac:dyDescent="0.3">
      <c r="A5" s="37"/>
      <c r="B5" s="108" t="s">
        <v>7</v>
      </c>
      <c r="C5" s="109" t="s">
        <v>8</v>
      </c>
      <c r="D5" s="108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8"/>
      <c r="C6" s="109"/>
      <c r="D6" s="108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5.55" customHeight="1" x14ac:dyDescent="0.3">
      <c r="A7" s="45"/>
      <c r="B7" s="108"/>
      <c r="C7" s="109"/>
      <c r="D7" s="108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8"/>
      <c r="C8" s="109"/>
      <c r="D8" s="108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106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106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6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106"/>
      <c r="B12" s="3" t="s">
        <v>135</v>
      </c>
      <c r="C12" s="11" t="s">
        <v>277</v>
      </c>
      <c r="D12" s="2" t="s">
        <v>436</v>
      </c>
      <c r="E12" s="9">
        <v>0</v>
      </c>
      <c r="F12" s="13">
        <v>0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6"/>
      <c r="B13" s="3" t="s">
        <v>135</v>
      </c>
      <c r="C13" s="11" t="s">
        <v>277</v>
      </c>
      <c r="D13" s="2" t="s">
        <v>437</v>
      </c>
      <c r="E13" s="9">
        <v>0</v>
      </c>
      <c r="F13" s="13">
        <v>0</v>
      </c>
      <c r="G13" s="13" t="s">
        <v>437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6"/>
      <c r="B14" s="3" t="s">
        <v>135</v>
      </c>
      <c r="C14" s="11" t="s">
        <v>277</v>
      </c>
      <c r="D14" s="2" t="s">
        <v>438</v>
      </c>
      <c r="E14" s="9">
        <v>0</v>
      </c>
      <c r="F14" s="13">
        <v>0</v>
      </c>
      <c r="G14" s="13" t="s">
        <v>438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6"/>
      <c r="B15" s="3" t="s">
        <v>135</v>
      </c>
      <c r="C15" s="11" t="s">
        <v>277</v>
      </c>
      <c r="D15" s="2" t="s">
        <v>439</v>
      </c>
      <c r="E15" s="9">
        <v>0</v>
      </c>
      <c r="F15" s="13">
        <v>0</v>
      </c>
      <c r="G15" s="13" t="s">
        <v>439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6"/>
      <c r="B16" s="3" t="s">
        <v>135</v>
      </c>
      <c r="C16" s="4" t="s">
        <v>434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6" customFormat="1" x14ac:dyDescent="0.3">
      <c r="A17" s="106"/>
      <c r="B17" s="62" t="s">
        <v>134</v>
      </c>
      <c r="C17" s="63" t="s">
        <v>171</v>
      </c>
      <c r="D17" s="54" t="s">
        <v>403</v>
      </c>
      <c r="E17" s="9">
        <v>0</v>
      </c>
      <c r="F17" s="64">
        <v>0</v>
      </c>
      <c r="G17" s="64" t="s">
        <v>419</v>
      </c>
      <c r="H17">
        <v>0</v>
      </c>
      <c r="I17" s="65" t="str">
        <f>B33</f>
        <v>Reactant5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 t="s">
        <v>424</v>
      </c>
      <c r="Q17" s="66" t="s">
        <v>424</v>
      </c>
      <c r="R17" s="66" t="s">
        <v>424</v>
      </c>
      <c r="S17" s="66" t="s">
        <v>424</v>
      </c>
      <c r="T17" s="66" t="s">
        <v>424</v>
      </c>
      <c r="U17" s="66" t="s">
        <v>424</v>
      </c>
      <c r="V17" s="66" t="s">
        <v>424</v>
      </c>
      <c r="W17" s="66" t="s">
        <v>424</v>
      </c>
      <c r="X17" s="66" t="s">
        <v>424</v>
      </c>
      <c r="Y17" s="66" t="s">
        <v>424</v>
      </c>
      <c r="Z17" s="66" t="s">
        <v>424</v>
      </c>
      <c r="AA17" s="66" t="s">
        <v>424</v>
      </c>
      <c r="AB17" s="66" t="s">
        <v>424</v>
      </c>
      <c r="AC17" s="66" t="s">
        <v>424</v>
      </c>
      <c r="AD17" s="66" t="s">
        <v>424</v>
      </c>
      <c r="AE17" s="66" t="s">
        <v>424</v>
      </c>
      <c r="AF17" s="66" t="s">
        <v>424</v>
      </c>
      <c r="AG17" s="66" t="s">
        <v>424</v>
      </c>
      <c r="AH17" s="66" t="s">
        <v>424</v>
      </c>
      <c r="AI17" s="66" t="s">
        <v>424</v>
      </c>
      <c r="AJ17" s="66" t="s">
        <v>424</v>
      </c>
      <c r="AK17" s="66" t="s">
        <v>424</v>
      </c>
      <c r="AL17" s="66" t="s">
        <v>424</v>
      </c>
      <c r="AM17" s="66" t="s">
        <v>424</v>
      </c>
      <c r="AN17" s="66" t="s">
        <v>424</v>
      </c>
      <c r="AO17" s="66" t="s">
        <v>424</v>
      </c>
      <c r="AP17" s="66" t="s">
        <v>424</v>
      </c>
      <c r="AQ17" s="66" t="s">
        <v>424</v>
      </c>
      <c r="AR17" s="66" t="s">
        <v>424</v>
      </c>
      <c r="AS17" s="66" t="s">
        <v>424</v>
      </c>
      <c r="AT17" s="56" t="s">
        <v>424</v>
      </c>
      <c r="AU17" s="56" t="s">
        <v>424</v>
      </c>
      <c r="AV17" s="56" t="s">
        <v>424</v>
      </c>
      <c r="AW17" s="56" t="s">
        <v>424</v>
      </c>
      <c r="AX17" s="56" t="s">
        <v>424</v>
      </c>
      <c r="AY17" s="56" t="s">
        <v>424</v>
      </c>
      <c r="AZ17" s="56" t="s">
        <v>424</v>
      </c>
      <c r="BA17" s="56" t="s">
        <v>424</v>
      </c>
      <c r="BB17" s="56" t="s">
        <v>424</v>
      </c>
      <c r="BC17" s="56" t="s">
        <v>424</v>
      </c>
      <c r="BD17" s="56" t="s">
        <v>424</v>
      </c>
      <c r="BE17" s="56" t="s">
        <v>424</v>
      </c>
      <c r="BF17" s="56" t="s">
        <v>424</v>
      </c>
      <c r="BG17" s="56" t="s">
        <v>424</v>
      </c>
      <c r="BH17" s="56" t="s">
        <v>424</v>
      </c>
      <c r="BI17" s="56" t="s">
        <v>424</v>
      </c>
      <c r="BJ17" s="56" t="s">
        <v>424</v>
      </c>
      <c r="BK17" s="56" t="s">
        <v>424</v>
      </c>
      <c r="BL17" s="56" t="s">
        <v>424</v>
      </c>
      <c r="BM17" s="56" t="s">
        <v>424</v>
      </c>
      <c r="BN17" s="56" t="s">
        <v>424</v>
      </c>
      <c r="BO17" s="56" t="s">
        <v>424</v>
      </c>
      <c r="BP17" s="56" t="s">
        <v>424</v>
      </c>
      <c r="BQ17" s="56" t="s">
        <v>424</v>
      </c>
      <c r="BR17" s="56" t="s">
        <v>424</v>
      </c>
      <c r="BS17" s="56" t="s">
        <v>424</v>
      </c>
      <c r="BT17" s="56" t="s">
        <v>424</v>
      </c>
      <c r="BU17" s="56" t="s">
        <v>424</v>
      </c>
      <c r="BV17" s="56" t="s">
        <v>424</v>
      </c>
      <c r="BW17" s="56" t="s">
        <v>424</v>
      </c>
      <c r="BX17" s="55" t="s">
        <v>424</v>
      </c>
      <c r="BY17" s="55" t="s">
        <v>424</v>
      </c>
      <c r="BZ17" s="55" t="s">
        <v>424</v>
      </c>
      <c r="CA17" s="55" t="s">
        <v>424</v>
      </c>
      <c r="CB17" s="55" t="s">
        <v>424</v>
      </c>
      <c r="CC17" s="55" t="s">
        <v>424</v>
      </c>
      <c r="CD17" s="55" t="s">
        <v>424</v>
      </c>
      <c r="CE17" s="55" t="s">
        <v>424</v>
      </c>
      <c r="CF17" s="55" t="s">
        <v>424</v>
      </c>
      <c r="CG17" s="55" t="s">
        <v>424</v>
      </c>
      <c r="CH17" s="66" t="s">
        <v>424</v>
      </c>
      <c r="CI17" s="66" t="s">
        <v>424</v>
      </c>
      <c r="CJ17" s="66" t="s">
        <v>424</v>
      </c>
      <c r="CK17" s="66" t="s">
        <v>424</v>
      </c>
      <c r="CL17" s="66" t="s">
        <v>424</v>
      </c>
      <c r="CM17" s="66" t="s">
        <v>424</v>
      </c>
      <c r="CN17" s="66" t="s">
        <v>424</v>
      </c>
      <c r="CO17" s="66" t="s">
        <v>424</v>
      </c>
      <c r="CP17" s="66" t="s">
        <v>424</v>
      </c>
      <c r="CQ17" s="66" t="s">
        <v>424</v>
      </c>
      <c r="CR17" s="66" t="s">
        <v>424</v>
      </c>
      <c r="CS17" s="66" t="s">
        <v>424</v>
      </c>
      <c r="CT17" s="66" t="s">
        <v>424</v>
      </c>
      <c r="CU17" s="66" t="s">
        <v>424</v>
      </c>
      <c r="CV17" s="66" t="s">
        <v>424</v>
      </c>
      <c r="CW17" s="66" t="s">
        <v>424</v>
      </c>
      <c r="CX17" s="66" t="s">
        <v>424</v>
      </c>
      <c r="CY17" s="66" t="s">
        <v>424</v>
      </c>
      <c r="CZ17" s="66" t="s">
        <v>424</v>
      </c>
      <c r="DA17" s="66" t="s">
        <v>424</v>
      </c>
      <c r="DB17" s="66" t="s">
        <v>424</v>
      </c>
      <c r="DC17" s="66" t="s">
        <v>424</v>
      </c>
      <c r="DD17" s="66" t="s">
        <v>424</v>
      </c>
      <c r="DE17" s="66" t="s">
        <v>424</v>
      </c>
      <c r="DF17" s="66" t="s">
        <v>424</v>
      </c>
      <c r="DG17" s="66" t="s">
        <v>424</v>
      </c>
      <c r="DH17" s="66" t="s">
        <v>424</v>
      </c>
      <c r="DI17" s="66" t="s">
        <v>424</v>
      </c>
      <c r="DJ17" s="66" t="s">
        <v>424</v>
      </c>
      <c r="DK17" s="66" t="s">
        <v>424</v>
      </c>
      <c r="DL17" s="66" t="s">
        <v>424</v>
      </c>
      <c r="DM17" s="66" t="s">
        <v>424</v>
      </c>
      <c r="DN17" s="66" t="s">
        <v>424</v>
      </c>
      <c r="DO17" s="66" t="s">
        <v>424</v>
      </c>
      <c r="DP17" s="66" t="s">
        <v>424</v>
      </c>
      <c r="DQ17" s="66" t="s">
        <v>424</v>
      </c>
      <c r="DR17" s="66" t="s">
        <v>424</v>
      </c>
      <c r="DS17" s="66" t="s">
        <v>424</v>
      </c>
      <c r="DT17" s="66" t="s">
        <v>424</v>
      </c>
      <c r="DU17" s="66" t="s">
        <v>424</v>
      </c>
      <c r="DV17" s="66" t="s">
        <v>424</v>
      </c>
      <c r="DW17" s="66" t="s">
        <v>424</v>
      </c>
      <c r="DX17" s="66" t="s">
        <v>424</v>
      </c>
      <c r="DY17" s="66" t="s">
        <v>424</v>
      </c>
      <c r="DZ17" s="66" t="s">
        <v>424</v>
      </c>
      <c r="EA17" s="66" t="s">
        <v>424</v>
      </c>
      <c r="EB17" s="66" t="s">
        <v>424</v>
      </c>
      <c r="EC17" s="66" t="s">
        <v>424</v>
      </c>
      <c r="ED17" s="66" t="s">
        <v>424</v>
      </c>
      <c r="EE17" s="66" t="s">
        <v>424</v>
      </c>
      <c r="EF17" s="66" t="s">
        <v>424</v>
      </c>
      <c r="EG17" s="66" t="s">
        <v>424</v>
      </c>
      <c r="EH17" s="66" t="s">
        <v>424</v>
      </c>
      <c r="EI17" s="66" t="s">
        <v>424</v>
      </c>
      <c r="EJ17" s="66" t="s">
        <v>424</v>
      </c>
      <c r="EK17" s="66" t="s">
        <v>424</v>
      </c>
      <c r="EL17" s="66" t="s">
        <v>424</v>
      </c>
      <c r="EM17" s="66" t="s">
        <v>424</v>
      </c>
      <c r="EN17" s="66" t="s">
        <v>424</v>
      </c>
      <c r="EO17" s="66" t="s">
        <v>424</v>
      </c>
      <c r="EP17" s="66" t="s">
        <v>424</v>
      </c>
      <c r="EQ17" s="66" t="s">
        <v>424</v>
      </c>
      <c r="ER17" s="66" t="s">
        <v>424</v>
      </c>
      <c r="ES17" s="66" t="s">
        <v>424</v>
      </c>
      <c r="ET17" s="66" t="s">
        <v>424</v>
      </c>
      <c r="EU17" s="66" t="s">
        <v>424</v>
      </c>
      <c r="EV17" s="66" t="s">
        <v>424</v>
      </c>
      <c r="EW17" s="66" t="s">
        <v>424</v>
      </c>
      <c r="EX17" s="66" t="s">
        <v>424</v>
      </c>
      <c r="EY17" s="66" t="s">
        <v>424</v>
      </c>
      <c r="EZ17" s="66" t="s">
        <v>424</v>
      </c>
      <c r="FA17" s="66" t="s">
        <v>424</v>
      </c>
      <c r="FB17" s="66" t="s">
        <v>424</v>
      </c>
      <c r="FC17" s="66" t="s">
        <v>424</v>
      </c>
      <c r="FD17" s="66" t="s">
        <v>424</v>
      </c>
      <c r="FE17" s="66" t="s">
        <v>424</v>
      </c>
      <c r="FF17" s="66" t="s">
        <v>424</v>
      </c>
      <c r="FG17" s="66" t="s">
        <v>424</v>
      </c>
      <c r="FH17" s="66" t="s">
        <v>424</v>
      </c>
      <c r="FI17" s="66" t="s">
        <v>424</v>
      </c>
      <c r="FJ17" s="66" t="s">
        <v>424</v>
      </c>
      <c r="FK17" s="66" t="s">
        <v>424</v>
      </c>
      <c r="FL17" s="66" t="s">
        <v>424</v>
      </c>
      <c r="FM17" s="66" t="s">
        <v>424</v>
      </c>
      <c r="FN17" s="66" t="s">
        <v>424</v>
      </c>
      <c r="FO17" s="66" t="s">
        <v>424</v>
      </c>
      <c r="FP17" s="66" t="s">
        <v>424</v>
      </c>
      <c r="FQ17" s="66" t="s">
        <v>424</v>
      </c>
      <c r="FR17" s="66" t="s">
        <v>424</v>
      </c>
      <c r="FS17" s="66" t="s">
        <v>424</v>
      </c>
    </row>
    <row r="18" spans="1:175" s="66" customFormat="1" x14ac:dyDescent="0.3">
      <c r="A18" s="106"/>
      <c r="B18" s="62" t="s">
        <v>134</v>
      </c>
      <c r="C18" s="63" t="s">
        <v>171</v>
      </c>
      <c r="D18" s="54" t="s">
        <v>404</v>
      </c>
      <c r="E18" s="9">
        <v>0</v>
      </c>
      <c r="F18" s="64">
        <v>0</v>
      </c>
      <c r="G18" s="64" t="s">
        <v>420</v>
      </c>
      <c r="H18">
        <v>0</v>
      </c>
      <c r="I18" s="65" t="str">
        <f>B34</f>
        <v>Reactant6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 t="s">
        <v>424</v>
      </c>
      <c r="Q18" s="66" t="s">
        <v>424</v>
      </c>
      <c r="R18" s="66" t="s">
        <v>424</v>
      </c>
      <c r="S18" s="66" t="s">
        <v>424</v>
      </c>
      <c r="T18" s="66" t="s">
        <v>424</v>
      </c>
      <c r="U18" s="66" t="s">
        <v>424</v>
      </c>
      <c r="V18" s="66" t="s">
        <v>424</v>
      </c>
      <c r="W18" s="66" t="s">
        <v>424</v>
      </c>
      <c r="X18" s="66" t="s">
        <v>424</v>
      </c>
      <c r="Y18" s="66" t="s">
        <v>424</v>
      </c>
      <c r="Z18" s="66" t="s">
        <v>424</v>
      </c>
      <c r="AA18" s="66" t="s">
        <v>424</v>
      </c>
      <c r="AB18" s="66" t="s">
        <v>424</v>
      </c>
      <c r="AC18" s="66" t="s">
        <v>424</v>
      </c>
      <c r="AD18" s="66" t="s">
        <v>424</v>
      </c>
      <c r="AE18" s="66" t="s">
        <v>424</v>
      </c>
      <c r="AF18" s="66" t="s">
        <v>424</v>
      </c>
      <c r="AG18" s="66" t="s">
        <v>424</v>
      </c>
      <c r="AH18" s="66" t="s">
        <v>424</v>
      </c>
      <c r="AI18" s="66" t="s">
        <v>424</v>
      </c>
      <c r="AJ18" s="66" t="s">
        <v>424</v>
      </c>
      <c r="AK18" s="66" t="s">
        <v>424</v>
      </c>
      <c r="AL18" s="66" t="s">
        <v>424</v>
      </c>
      <c r="AM18" s="66" t="s">
        <v>424</v>
      </c>
      <c r="AN18" s="66" t="s">
        <v>424</v>
      </c>
      <c r="AO18" s="66" t="s">
        <v>424</v>
      </c>
      <c r="AP18" s="66" t="s">
        <v>424</v>
      </c>
      <c r="AQ18" s="66" t="s">
        <v>424</v>
      </c>
      <c r="AR18" s="66" t="s">
        <v>424</v>
      </c>
      <c r="AS18" s="66" t="s">
        <v>424</v>
      </c>
      <c r="AT18" s="56" t="s">
        <v>424</v>
      </c>
      <c r="AU18" s="56" t="s">
        <v>424</v>
      </c>
      <c r="AV18" s="56" t="s">
        <v>424</v>
      </c>
      <c r="AW18" s="56" t="s">
        <v>424</v>
      </c>
      <c r="AX18" s="56" t="s">
        <v>424</v>
      </c>
      <c r="AY18" s="56" t="s">
        <v>424</v>
      </c>
      <c r="AZ18" s="56" t="s">
        <v>424</v>
      </c>
      <c r="BA18" s="56" t="s">
        <v>424</v>
      </c>
      <c r="BB18" s="56" t="s">
        <v>424</v>
      </c>
      <c r="BC18" s="56" t="s">
        <v>424</v>
      </c>
      <c r="BD18" s="56" t="s">
        <v>424</v>
      </c>
      <c r="BE18" s="56" t="s">
        <v>424</v>
      </c>
      <c r="BF18" s="56" t="s">
        <v>424</v>
      </c>
      <c r="BG18" s="56" t="s">
        <v>424</v>
      </c>
      <c r="BH18" s="56" t="s">
        <v>424</v>
      </c>
      <c r="BI18" s="56" t="s">
        <v>424</v>
      </c>
      <c r="BJ18" s="56" t="s">
        <v>424</v>
      </c>
      <c r="BK18" s="56" t="s">
        <v>424</v>
      </c>
      <c r="BL18" s="56" t="s">
        <v>424</v>
      </c>
      <c r="BM18" s="56" t="s">
        <v>424</v>
      </c>
      <c r="BN18" s="56" t="s">
        <v>424</v>
      </c>
      <c r="BO18" s="56" t="s">
        <v>424</v>
      </c>
      <c r="BP18" s="56" t="s">
        <v>424</v>
      </c>
      <c r="BQ18" s="56" t="s">
        <v>424</v>
      </c>
      <c r="BR18" s="56" t="s">
        <v>424</v>
      </c>
      <c r="BS18" s="56" t="s">
        <v>424</v>
      </c>
      <c r="BT18" s="56" t="s">
        <v>424</v>
      </c>
      <c r="BU18" s="56" t="s">
        <v>424</v>
      </c>
      <c r="BV18" s="56" t="s">
        <v>424</v>
      </c>
      <c r="BW18" s="56" t="s">
        <v>424</v>
      </c>
      <c r="BX18" s="55" t="s">
        <v>424</v>
      </c>
      <c r="BY18" s="55" t="s">
        <v>424</v>
      </c>
      <c r="BZ18" s="55" t="s">
        <v>424</v>
      </c>
      <c r="CA18" s="55" t="s">
        <v>424</v>
      </c>
      <c r="CB18" s="55" t="s">
        <v>424</v>
      </c>
      <c r="CC18" s="55" t="s">
        <v>424</v>
      </c>
      <c r="CD18" s="55" t="s">
        <v>424</v>
      </c>
      <c r="CE18" s="55" t="s">
        <v>424</v>
      </c>
      <c r="CF18" s="55" t="s">
        <v>424</v>
      </c>
      <c r="CG18" s="55" t="s">
        <v>424</v>
      </c>
      <c r="CH18" s="66" t="s">
        <v>424</v>
      </c>
      <c r="CI18" s="66" t="s">
        <v>424</v>
      </c>
      <c r="CJ18" s="66" t="s">
        <v>424</v>
      </c>
      <c r="CK18" s="66" t="s">
        <v>424</v>
      </c>
      <c r="CL18" s="66" t="s">
        <v>424</v>
      </c>
      <c r="CM18" s="66" t="s">
        <v>424</v>
      </c>
      <c r="CN18" s="66" t="s">
        <v>424</v>
      </c>
      <c r="CO18" s="66" t="s">
        <v>424</v>
      </c>
      <c r="CP18" s="66" t="s">
        <v>424</v>
      </c>
      <c r="CQ18" s="66" t="s">
        <v>424</v>
      </c>
      <c r="CR18" s="66" t="s">
        <v>424</v>
      </c>
      <c r="CS18" s="66" t="s">
        <v>424</v>
      </c>
      <c r="CT18" s="66" t="s">
        <v>424</v>
      </c>
      <c r="CU18" s="66" t="s">
        <v>424</v>
      </c>
      <c r="CV18" s="66" t="s">
        <v>424</v>
      </c>
      <c r="CW18" s="66" t="s">
        <v>424</v>
      </c>
      <c r="CX18" s="66" t="s">
        <v>424</v>
      </c>
      <c r="CY18" s="66" t="s">
        <v>424</v>
      </c>
      <c r="CZ18" s="66" t="s">
        <v>424</v>
      </c>
      <c r="DA18" s="66" t="s">
        <v>424</v>
      </c>
      <c r="DB18" s="66" t="s">
        <v>424</v>
      </c>
      <c r="DC18" s="66" t="s">
        <v>424</v>
      </c>
      <c r="DD18" s="66" t="s">
        <v>424</v>
      </c>
      <c r="DE18" s="66" t="s">
        <v>424</v>
      </c>
      <c r="DF18" s="66" t="s">
        <v>424</v>
      </c>
      <c r="DG18" s="66" t="s">
        <v>424</v>
      </c>
      <c r="DH18" s="66" t="s">
        <v>424</v>
      </c>
      <c r="DI18" s="66" t="s">
        <v>424</v>
      </c>
      <c r="DJ18" s="66" t="s">
        <v>424</v>
      </c>
      <c r="DK18" s="66" t="s">
        <v>424</v>
      </c>
      <c r="DL18" s="66" t="s">
        <v>424</v>
      </c>
      <c r="DM18" s="66" t="s">
        <v>424</v>
      </c>
      <c r="DN18" s="66" t="s">
        <v>424</v>
      </c>
      <c r="DO18" s="66" t="s">
        <v>424</v>
      </c>
      <c r="DP18" s="66" t="s">
        <v>424</v>
      </c>
      <c r="DQ18" s="66" t="s">
        <v>424</v>
      </c>
      <c r="DR18" s="66" t="s">
        <v>424</v>
      </c>
      <c r="DS18" s="66" t="s">
        <v>424</v>
      </c>
      <c r="DT18" s="66" t="s">
        <v>424</v>
      </c>
      <c r="DU18" s="66" t="s">
        <v>424</v>
      </c>
      <c r="DV18" s="66" t="s">
        <v>424</v>
      </c>
      <c r="DW18" s="66" t="s">
        <v>424</v>
      </c>
      <c r="DX18" s="66" t="s">
        <v>424</v>
      </c>
      <c r="DY18" s="66" t="s">
        <v>424</v>
      </c>
      <c r="DZ18" s="66" t="s">
        <v>424</v>
      </c>
      <c r="EA18" s="66" t="s">
        <v>424</v>
      </c>
      <c r="EB18" s="66" t="s">
        <v>424</v>
      </c>
      <c r="EC18" s="66" t="s">
        <v>424</v>
      </c>
      <c r="ED18" s="66" t="s">
        <v>424</v>
      </c>
      <c r="EE18" s="66" t="s">
        <v>424</v>
      </c>
      <c r="EF18" s="66" t="s">
        <v>424</v>
      </c>
      <c r="EG18" s="66" t="s">
        <v>424</v>
      </c>
      <c r="EH18" s="66" t="s">
        <v>424</v>
      </c>
      <c r="EI18" s="66" t="s">
        <v>424</v>
      </c>
      <c r="EJ18" s="66" t="s">
        <v>424</v>
      </c>
      <c r="EK18" s="66" t="s">
        <v>424</v>
      </c>
      <c r="EL18" s="66" t="s">
        <v>424</v>
      </c>
      <c r="EM18" s="66" t="s">
        <v>424</v>
      </c>
      <c r="EN18" s="66" t="s">
        <v>424</v>
      </c>
      <c r="EO18" s="66" t="s">
        <v>424</v>
      </c>
      <c r="EP18" s="66" t="s">
        <v>424</v>
      </c>
      <c r="EQ18" s="66" t="s">
        <v>424</v>
      </c>
      <c r="ER18" s="66" t="s">
        <v>424</v>
      </c>
      <c r="ES18" s="66" t="s">
        <v>424</v>
      </c>
      <c r="ET18" s="66" t="s">
        <v>424</v>
      </c>
      <c r="EU18" s="66" t="s">
        <v>424</v>
      </c>
      <c r="EV18" s="66" t="s">
        <v>424</v>
      </c>
      <c r="EW18" s="66" t="s">
        <v>424</v>
      </c>
      <c r="EX18" s="66" t="s">
        <v>424</v>
      </c>
      <c r="EY18" s="66" t="s">
        <v>424</v>
      </c>
      <c r="EZ18" s="66" t="s">
        <v>424</v>
      </c>
      <c r="FA18" s="66" t="s">
        <v>424</v>
      </c>
      <c r="FB18" s="66" t="s">
        <v>424</v>
      </c>
      <c r="FC18" s="66" t="s">
        <v>424</v>
      </c>
      <c r="FD18" s="66" t="s">
        <v>424</v>
      </c>
      <c r="FE18" s="66" t="s">
        <v>424</v>
      </c>
      <c r="FF18" s="66" t="s">
        <v>424</v>
      </c>
      <c r="FG18" s="66" t="s">
        <v>424</v>
      </c>
      <c r="FH18" s="66" t="s">
        <v>424</v>
      </c>
      <c r="FI18" s="66" t="s">
        <v>424</v>
      </c>
      <c r="FJ18" s="66" t="s">
        <v>424</v>
      </c>
      <c r="FK18" s="66" t="s">
        <v>424</v>
      </c>
      <c r="FL18" s="66" t="s">
        <v>424</v>
      </c>
      <c r="FM18" s="66" t="s">
        <v>424</v>
      </c>
      <c r="FN18" s="66" t="s">
        <v>424</v>
      </c>
      <c r="FO18" s="66" t="s">
        <v>424</v>
      </c>
      <c r="FP18" s="66" t="s">
        <v>424</v>
      </c>
      <c r="FQ18" s="66" t="s">
        <v>424</v>
      </c>
      <c r="FR18" s="66" t="s">
        <v>424</v>
      </c>
      <c r="FS18" s="66" t="s">
        <v>424</v>
      </c>
    </row>
    <row r="19" spans="1:175" s="66" customFormat="1" x14ac:dyDescent="0.3">
      <c r="A19" s="106"/>
      <c r="B19" s="62" t="s">
        <v>134</v>
      </c>
      <c r="C19" s="63" t="s">
        <v>171</v>
      </c>
      <c r="D19" s="54" t="s">
        <v>405</v>
      </c>
      <c r="E19" s="9">
        <v>0</v>
      </c>
      <c r="F19" s="64">
        <v>0</v>
      </c>
      <c r="G19" s="64" t="s">
        <v>421</v>
      </c>
      <c r="H19">
        <v>0</v>
      </c>
      <c r="I19" s="65" t="str">
        <f t="shared" ref="I19:I20" si="3">B35</f>
        <v>Reactant7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 t="s">
        <v>424</v>
      </c>
      <c r="Q19" s="66" t="s">
        <v>424</v>
      </c>
      <c r="R19" s="66" t="s">
        <v>424</v>
      </c>
      <c r="S19" s="66" t="s">
        <v>424</v>
      </c>
      <c r="T19" s="66" t="s">
        <v>424</v>
      </c>
      <c r="U19" s="66" t="s">
        <v>424</v>
      </c>
      <c r="V19" s="66" t="s">
        <v>424</v>
      </c>
      <c r="W19" s="66" t="s">
        <v>424</v>
      </c>
      <c r="X19" s="66" t="s">
        <v>424</v>
      </c>
      <c r="Y19" s="66" t="s">
        <v>424</v>
      </c>
      <c r="Z19" s="66" t="s">
        <v>424</v>
      </c>
      <c r="AA19" s="66" t="s">
        <v>424</v>
      </c>
      <c r="AB19" s="66" t="s">
        <v>424</v>
      </c>
      <c r="AC19" s="66" t="s">
        <v>424</v>
      </c>
      <c r="AD19" s="66" t="s">
        <v>424</v>
      </c>
      <c r="AE19" s="66" t="s">
        <v>424</v>
      </c>
      <c r="AF19" s="66" t="s">
        <v>424</v>
      </c>
      <c r="AG19" s="66" t="s">
        <v>424</v>
      </c>
      <c r="AH19" s="66" t="s">
        <v>424</v>
      </c>
      <c r="AI19" s="66" t="s">
        <v>424</v>
      </c>
      <c r="AJ19" s="66" t="s">
        <v>424</v>
      </c>
      <c r="AK19" s="66" t="s">
        <v>424</v>
      </c>
      <c r="AL19" s="66" t="s">
        <v>424</v>
      </c>
      <c r="AM19" s="66" t="s">
        <v>424</v>
      </c>
      <c r="AN19" s="66" t="s">
        <v>424</v>
      </c>
      <c r="AO19" s="66" t="s">
        <v>424</v>
      </c>
      <c r="AP19" s="66" t="s">
        <v>424</v>
      </c>
      <c r="AQ19" s="66" t="s">
        <v>424</v>
      </c>
      <c r="AR19" s="66" t="s">
        <v>424</v>
      </c>
      <c r="AS19" s="66" t="s">
        <v>424</v>
      </c>
      <c r="AT19" s="56" t="s">
        <v>424</v>
      </c>
      <c r="AU19" s="56" t="s">
        <v>424</v>
      </c>
      <c r="AV19" s="56" t="s">
        <v>424</v>
      </c>
      <c r="AW19" s="56" t="s">
        <v>424</v>
      </c>
      <c r="AX19" s="56" t="s">
        <v>424</v>
      </c>
      <c r="AY19" s="56" t="s">
        <v>424</v>
      </c>
      <c r="AZ19" s="56" t="s">
        <v>424</v>
      </c>
      <c r="BA19" s="56" t="s">
        <v>424</v>
      </c>
      <c r="BB19" s="56" t="s">
        <v>424</v>
      </c>
      <c r="BC19" s="56" t="s">
        <v>424</v>
      </c>
      <c r="BD19" s="56" t="s">
        <v>424</v>
      </c>
      <c r="BE19" s="56" t="s">
        <v>424</v>
      </c>
      <c r="BF19" s="56" t="s">
        <v>424</v>
      </c>
      <c r="BG19" s="56" t="s">
        <v>424</v>
      </c>
      <c r="BH19" s="56" t="s">
        <v>424</v>
      </c>
      <c r="BI19" s="56" t="s">
        <v>424</v>
      </c>
      <c r="BJ19" s="56" t="s">
        <v>424</v>
      </c>
      <c r="BK19" s="56" t="s">
        <v>424</v>
      </c>
      <c r="BL19" s="56" t="s">
        <v>424</v>
      </c>
      <c r="BM19" s="56" t="s">
        <v>424</v>
      </c>
      <c r="BN19" s="56" t="s">
        <v>424</v>
      </c>
      <c r="BO19" s="56" t="s">
        <v>424</v>
      </c>
      <c r="BP19" s="56" t="s">
        <v>424</v>
      </c>
      <c r="BQ19" s="56" t="s">
        <v>424</v>
      </c>
      <c r="BR19" s="56" t="s">
        <v>424</v>
      </c>
      <c r="BS19" s="56" t="s">
        <v>424</v>
      </c>
      <c r="BT19" s="56" t="s">
        <v>424</v>
      </c>
      <c r="BU19" s="56" t="s">
        <v>424</v>
      </c>
      <c r="BV19" s="56" t="s">
        <v>424</v>
      </c>
      <c r="BW19" s="56" t="s">
        <v>424</v>
      </c>
      <c r="BX19" s="55" t="s">
        <v>424</v>
      </c>
      <c r="BY19" s="55" t="s">
        <v>424</v>
      </c>
      <c r="BZ19" s="55" t="s">
        <v>424</v>
      </c>
      <c r="CA19" s="55" t="s">
        <v>424</v>
      </c>
      <c r="CB19" s="55" t="s">
        <v>424</v>
      </c>
      <c r="CC19" s="55" t="s">
        <v>424</v>
      </c>
      <c r="CD19" s="55" t="s">
        <v>424</v>
      </c>
      <c r="CE19" s="55" t="s">
        <v>424</v>
      </c>
      <c r="CF19" s="55" t="s">
        <v>424</v>
      </c>
      <c r="CG19" s="55" t="s">
        <v>424</v>
      </c>
      <c r="CH19" s="66" t="s">
        <v>424</v>
      </c>
      <c r="CI19" s="66" t="s">
        <v>424</v>
      </c>
      <c r="CJ19" s="66" t="s">
        <v>424</v>
      </c>
      <c r="CK19" s="66" t="s">
        <v>424</v>
      </c>
      <c r="CL19" s="66" t="s">
        <v>424</v>
      </c>
      <c r="CM19" s="66" t="s">
        <v>424</v>
      </c>
      <c r="CN19" s="66" t="s">
        <v>424</v>
      </c>
      <c r="CO19" s="66" t="s">
        <v>424</v>
      </c>
      <c r="CP19" s="66" t="s">
        <v>424</v>
      </c>
      <c r="CQ19" s="66" t="s">
        <v>424</v>
      </c>
      <c r="CR19" s="66" t="s">
        <v>424</v>
      </c>
      <c r="CS19" s="66" t="s">
        <v>424</v>
      </c>
      <c r="CT19" s="66" t="s">
        <v>424</v>
      </c>
      <c r="CU19" s="66" t="s">
        <v>424</v>
      </c>
      <c r="CV19" s="66" t="s">
        <v>424</v>
      </c>
      <c r="CW19" s="66" t="s">
        <v>424</v>
      </c>
      <c r="CX19" s="66" t="s">
        <v>424</v>
      </c>
      <c r="CY19" s="66" t="s">
        <v>424</v>
      </c>
      <c r="CZ19" s="66" t="s">
        <v>424</v>
      </c>
      <c r="DA19" s="66" t="s">
        <v>424</v>
      </c>
      <c r="DB19" s="66" t="s">
        <v>424</v>
      </c>
      <c r="DC19" s="66" t="s">
        <v>424</v>
      </c>
      <c r="DD19" s="66" t="s">
        <v>424</v>
      </c>
      <c r="DE19" s="66" t="s">
        <v>424</v>
      </c>
      <c r="DF19" s="66" t="s">
        <v>424</v>
      </c>
      <c r="DG19" s="66" t="s">
        <v>424</v>
      </c>
      <c r="DH19" s="66" t="s">
        <v>424</v>
      </c>
      <c r="DI19" s="66" t="s">
        <v>424</v>
      </c>
      <c r="DJ19" s="66" t="s">
        <v>424</v>
      </c>
      <c r="DK19" s="66" t="s">
        <v>424</v>
      </c>
      <c r="DL19" s="66" t="s">
        <v>424</v>
      </c>
      <c r="DM19" s="66" t="s">
        <v>424</v>
      </c>
      <c r="DN19" s="66" t="s">
        <v>424</v>
      </c>
      <c r="DO19" s="66" t="s">
        <v>424</v>
      </c>
      <c r="DP19" s="66" t="s">
        <v>424</v>
      </c>
      <c r="DQ19" s="66" t="s">
        <v>424</v>
      </c>
      <c r="DR19" s="66" t="s">
        <v>424</v>
      </c>
      <c r="DS19" s="66" t="s">
        <v>424</v>
      </c>
      <c r="DT19" s="66" t="s">
        <v>424</v>
      </c>
      <c r="DU19" s="66" t="s">
        <v>424</v>
      </c>
      <c r="DV19" s="66" t="s">
        <v>424</v>
      </c>
      <c r="DW19" s="66" t="s">
        <v>424</v>
      </c>
      <c r="DX19" s="66" t="s">
        <v>424</v>
      </c>
      <c r="DY19" s="66" t="s">
        <v>424</v>
      </c>
      <c r="DZ19" s="66" t="s">
        <v>424</v>
      </c>
      <c r="EA19" s="66" t="s">
        <v>424</v>
      </c>
      <c r="EB19" s="66" t="s">
        <v>424</v>
      </c>
      <c r="EC19" s="66" t="s">
        <v>424</v>
      </c>
      <c r="ED19" s="66" t="s">
        <v>424</v>
      </c>
      <c r="EE19" s="66" t="s">
        <v>424</v>
      </c>
      <c r="EF19" s="66" t="s">
        <v>424</v>
      </c>
      <c r="EG19" s="66" t="s">
        <v>424</v>
      </c>
      <c r="EH19" s="66" t="s">
        <v>424</v>
      </c>
      <c r="EI19" s="66" t="s">
        <v>424</v>
      </c>
      <c r="EJ19" s="66" t="s">
        <v>424</v>
      </c>
      <c r="EK19" s="66" t="s">
        <v>424</v>
      </c>
      <c r="EL19" s="66" t="s">
        <v>424</v>
      </c>
      <c r="EM19" s="66" t="s">
        <v>424</v>
      </c>
      <c r="EN19" s="66" t="s">
        <v>424</v>
      </c>
      <c r="EO19" s="66" t="s">
        <v>424</v>
      </c>
      <c r="EP19" s="66" t="s">
        <v>424</v>
      </c>
      <c r="EQ19" s="66" t="s">
        <v>424</v>
      </c>
      <c r="ER19" s="66" t="s">
        <v>424</v>
      </c>
      <c r="ES19" s="66" t="s">
        <v>424</v>
      </c>
      <c r="ET19" s="66" t="s">
        <v>424</v>
      </c>
      <c r="EU19" s="66" t="s">
        <v>424</v>
      </c>
      <c r="EV19" s="66" t="s">
        <v>424</v>
      </c>
      <c r="EW19" s="66" t="s">
        <v>424</v>
      </c>
      <c r="EX19" s="66" t="s">
        <v>424</v>
      </c>
      <c r="EY19" s="66" t="s">
        <v>424</v>
      </c>
      <c r="EZ19" s="66" t="s">
        <v>424</v>
      </c>
      <c r="FA19" s="66" t="s">
        <v>424</v>
      </c>
      <c r="FB19" s="66" t="s">
        <v>424</v>
      </c>
      <c r="FC19" s="66" t="s">
        <v>424</v>
      </c>
      <c r="FD19" s="66" t="s">
        <v>424</v>
      </c>
      <c r="FE19" s="66" t="s">
        <v>424</v>
      </c>
      <c r="FF19" s="66" t="s">
        <v>424</v>
      </c>
      <c r="FG19" s="66" t="s">
        <v>424</v>
      </c>
      <c r="FH19" s="66" t="s">
        <v>424</v>
      </c>
      <c r="FI19" s="66" t="s">
        <v>424</v>
      </c>
      <c r="FJ19" s="66" t="s">
        <v>424</v>
      </c>
      <c r="FK19" s="66" t="s">
        <v>424</v>
      </c>
      <c r="FL19" s="66" t="s">
        <v>424</v>
      </c>
      <c r="FM19" s="66" t="s">
        <v>424</v>
      </c>
      <c r="FN19" s="66" t="s">
        <v>424</v>
      </c>
      <c r="FO19" s="66" t="s">
        <v>424</v>
      </c>
      <c r="FP19" s="66" t="s">
        <v>424</v>
      </c>
      <c r="FQ19" s="66" t="s">
        <v>424</v>
      </c>
      <c r="FR19" s="66" t="s">
        <v>424</v>
      </c>
      <c r="FS19" s="66" t="s">
        <v>424</v>
      </c>
    </row>
    <row r="20" spans="1:175" s="66" customFormat="1" x14ac:dyDescent="0.3">
      <c r="A20" s="106"/>
      <c r="B20" s="62" t="s">
        <v>134</v>
      </c>
      <c r="C20" s="63" t="s">
        <v>171</v>
      </c>
      <c r="D20" s="54" t="s">
        <v>406</v>
      </c>
      <c r="E20" s="9">
        <v>0</v>
      </c>
      <c r="F20" s="64">
        <v>0</v>
      </c>
      <c r="G20" s="64" t="s">
        <v>422</v>
      </c>
      <c r="H20">
        <v>0</v>
      </c>
      <c r="I20" s="65" t="str">
        <f t="shared" si="3"/>
        <v>Reactant8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 t="s">
        <v>424</v>
      </c>
      <c r="Q20" s="66" t="s">
        <v>424</v>
      </c>
      <c r="R20" s="66" t="s">
        <v>424</v>
      </c>
      <c r="S20" s="66" t="s">
        <v>424</v>
      </c>
      <c r="T20" s="66" t="s">
        <v>424</v>
      </c>
      <c r="U20" s="66" t="s">
        <v>424</v>
      </c>
      <c r="V20" s="66" t="s">
        <v>424</v>
      </c>
      <c r="W20" s="66" t="s">
        <v>424</v>
      </c>
      <c r="X20" s="66" t="s">
        <v>424</v>
      </c>
      <c r="Y20" s="66" t="s">
        <v>424</v>
      </c>
      <c r="Z20" s="66" t="s">
        <v>424</v>
      </c>
      <c r="AA20" s="66" t="s">
        <v>424</v>
      </c>
      <c r="AB20" s="66" t="s">
        <v>424</v>
      </c>
      <c r="AC20" s="66" t="s">
        <v>424</v>
      </c>
      <c r="AD20" s="66" t="s">
        <v>424</v>
      </c>
      <c r="AE20" s="66" t="s">
        <v>424</v>
      </c>
      <c r="AF20" s="66" t="s">
        <v>424</v>
      </c>
      <c r="AG20" s="66" t="s">
        <v>424</v>
      </c>
      <c r="AH20" s="66" t="s">
        <v>424</v>
      </c>
      <c r="AI20" s="66" t="s">
        <v>424</v>
      </c>
      <c r="AJ20" s="66" t="s">
        <v>424</v>
      </c>
      <c r="AK20" s="66" t="s">
        <v>424</v>
      </c>
      <c r="AL20" s="66" t="s">
        <v>424</v>
      </c>
      <c r="AM20" s="66" t="s">
        <v>424</v>
      </c>
      <c r="AN20" s="66" t="s">
        <v>424</v>
      </c>
      <c r="AO20" s="66" t="s">
        <v>424</v>
      </c>
      <c r="AP20" s="66" t="s">
        <v>424</v>
      </c>
      <c r="AQ20" s="66" t="s">
        <v>424</v>
      </c>
      <c r="AR20" s="66" t="s">
        <v>424</v>
      </c>
      <c r="AS20" s="66" t="s">
        <v>424</v>
      </c>
      <c r="AT20" s="56" t="s">
        <v>424</v>
      </c>
      <c r="AU20" s="56" t="s">
        <v>424</v>
      </c>
      <c r="AV20" s="56" t="s">
        <v>424</v>
      </c>
      <c r="AW20" s="56" t="s">
        <v>424</v>
      </c>
      <c r="AX20" s="56" t="s">
        <v>424</v>
      </c>
      <c r="AY20" s="56" t="s">
        <v>424</v>
      </c>
      <c r="AZ20" s="56" t="s">
        <v>424</v>
      </c>
      <c r="BA20" s="56" t="s">
        <v>424</v>
      </c>
      <c r="BB20" s="56" t="s">
        <v>424</v>
      </c>
      <c r="BC20" s="56" t="s">
        <v>424</v>
      </c>
      <c r="BD20" s="56" t="s">
        <v>424</v>
      </c>
      <c r="BE20" s="56" t="s">
        <v>424</v>
      </c>
      <c r="BF20" s="56" t="s">
        <v>424</v>
      </c>
      <c r="BG20" s="56" t="s">
        <v>424</v>
      </c>
      <c r="BH20" s="56" t="s">
        <v>424</v>
      </c>
      <c r="BI20" s="56" t="s">
        <v>424</v>
      </c>
      <c r="BJ20" s="56" t="s">
        <v>424</v>
      </c>
      <c r="BK20" s="56" t="s">
        <v>424</v>
      </c>
      <c r="BL20" s="56" t="s">
        <v>424</v>
      </c>
      <c r="BM20" s="56" t="s">
        <v>424</v>
      </c>
      <c r="BN20" s="56" t="s">
        <v>424</v>
      </c>
      <c r="BO20" s="56" t="s">
        <v>424</v>
      </c>
      <c r="BP20" s="56" t="s">
        <v>424</v>
      </c>
      <c r="BQ20" s="56" t="s">
        <v>424</v>
      </c>
      <c r="BR20" s="56" t="s">
        <v>424</v>
      </c>
      <c r="BS20" s="56" t="s">
        <v>424</v>
      </c>
      <c r="BT20" s="56" t="s">
        <v>424</v>
      </c>
      <c r="BU20" s="56" t="s">
        <v>424</v>
      </c>
      <c r="BV20" s="56" t="s">
        <v>424</v>
      </c>
      <c r="BW20" s="56" t="s">
        <v>424</v>
      </c>
      <c r="BX20" s="55" t="s">
        <v>424</v>
      </c>
      <c r="BY20" s="55" t="s">
        <v>424</v>
      </c>
      <c r="BZ20" s="55" t="s">
        <v>424</v>
      </c>
      <c r="CA20" s="55" t="s">
        <v>424</v>
      </c>
      <c r="CB20" s="55" t="s">
        <v>424</v>
      </c>
      <c r="CC20" s="55" t="s">
        <v>424</v>
      </c>
      <c r="CD20" s="55" t="s">
        <v>424</v>
      </c>
      <c r="CE20" s="55" t="s">
        <v>424</v>
      </c>
      <c r="CF20" s="55" t="s">
        <v>424</v>
      </c>
      <c r="CG20" s="55" t="s">
        <v>424</v>
      </c>
      <c r="CH20" s="66" t="s">
        <v>424</v>
      </c>
      <c r="CI20" s="66" t="s">
        <v>424</v>
      </c>
      <c r="CJ20" s="66" t="s">
        <v>424</v>
      </c>
      <c r="CK20" s="66" t="s">
        <v>424</v>
      </c>
      <c r="CL20" s="66" t="s">
        <v>424</v>
      </c>
      <c r="CM20" s="66" t="s">
        <v>424</v>
      </c>
      <c r="CN20" s="66" t="s">
        <v>424</v>
      </c>
      <c r="CO20" s="66" t="s">
        <v>424</v>
      </c>
      <c r="CP20" s="66" t="s">
        <v>424</v>
      </c>
      <c r="CQ20" s="66" t="s">
        <v>424</v>
      </c>
      <c r="CR20" s="66" t="s">
        <v>424</v>
      </c>
      <c r="CS20" s="66" t="s">
        <v>424</v>
      </c>
      <c r="CT20" s="66" t="s">
        <v>424</v>
      </c>
      <c r="CU20" s="66" t="s">
        <v>424</v>
      </c>
      <c r="CV20" s="66" t="s">
        <v>424</v>
      </c>
      <c r="CW20" s="66" t="s">
        <v>424</v>
      </c>
      <c r="CX20" s="66" t="s">
        <v>424</v>
      </c>
      <c r="CY20" s="66" t="s">
        <v>424</v>
      </c>
      <c r="CZ20" s="66" t="s">
        <v>424</v>
      </c>
      <c r="DA20" s="66" t="s">
        <v>424</v>
      </c>
      <c r="DB20" s="66" t="s">
        <v>424</v>
      </c>
      <c r="DC20" s="66" t="s">
        <v>424</v>
      </c>
      <c r="DD20" s="66" t="s">
        <v>424</v>
      </c>
      <c r="DE20" s="66" t="s">
        <v>424</v>
      </c>
      <c r="DF20" s="66" t="s">
        <v>424</v>
      </c>
      <c r="DG20" s="66" t="s">
        <v>424</v>
      </c>
      <c r="DH20" s="66" t="s">
        <v>424</v>
      </c>
      <c r="DI20" s="66" t="s">
        <v>424</v>
      </c>
      <c r="DJ20" s="66" t="s">
        <v>424</v>
      </c>
      <c r="DK20" s="66" t="s">
        <v>424</v>
      </c>
      <c r="DL20" s="66" t="s">
        <v>424</v>
      </c>
      <c r="DM20" s="66" t="s">
        <v>424</v>
      </c>
      <c r="DN20" s="66" t="s">
        <v>424</v>
      </c>
      <c r="DO20" s="66" t="s">
        <v>424</v>
      </c>
      <c r="DP20" s="66" t="s">
        <v>424</v>
      </c>
      <c r="DQ20" s="66" t="s">
        <v>424</v>
      </c>
      <c r="DR20" s="66" t="s">
        <v>424</v>
      </c>
      <c r="DS20" s="66" t="s">
        <v>424</v>
      </c>
      <c r="DT20" s="66" t="s">
        <v>424</v>
      </c>
      <c r="DU20" s="66" t="s">
        <v>424</v>
      </c>
      <c r="DV20" s="66" t="s">
        <v>424</v>
      </c>
      <c r="DW20" s="66" t="s">
        <v>424</v>
      </c>
      <c r="DX20" s="66" t="s">
        <v>424</v>
      </c>
      <c r="DY20" s="66" t="s">
        <v>424</v>
      </c>
      <c r="DZ20" s="66" t="s">
        <v>424</v>
      </c>
      <c r="EA20" s="66" t="s">
        <v>424</v>
      </c>
      <c r="EB20" s="66" t="s">
        <v>424</v>
      </c>
      <c r="EC20" s="66" t="s">
        <v>424</v>
      </c>
      <c r="ED20" s="66" t="s">
        <v>424</v>
      </c>
      <c r="EE20" s="66" t="s">
        <v>424</v>
      </c>
      <c r="EF20" s="66" t="s">
        <v>424</v>
      </c>
      <c r="EG20" s="66" t="s">
        <v>424</v>
      </c>
      <c r="EH20" s="66" t="s">
        <v>424</v>
      </c>
      <c r="EI20" s="66" t="s">
        <v>424</v>
      </c>
      <c r="EJ20" s="66" t="s">
        <v>424</v>
      </c>
      <c r="EK20" s="66" t="s">
        <v>424</v>
      </c>
      <c r="EL20" s="66" t="s">
        <v>424</v>
      </c>
      <c r="EM20" s="66" t="s">
        <v>424</v>
      </c>
      <c r="EN20" s="66" t="s">
        <v>424</v>
      </c>
      <c r="EO20" s="66" t="s">
        <v>424</v>
      </c>
      <c r="EP20" s="66" t="s">
        <v>424</v>
      </c>
      <c r="EQ20" s="66" t="s">
        <v>424</v>
      </c>
      <c r="ER20" s="66" t="s">
        <v>424</v>
      </c>
      <c r="ES20" s="66" t="s">
        <v>424</v>
      </c>
      <c r="ET20" s="66" t="s">
        <v>424</v>
      </c>
      <c r="EU20" s="66" t="s">
        <v>424</v>
      </c>
      <c r="EV20" s="66" t="s">
        <v>424</v>
      </c>
      <c r="EW20" s="66" t="s">
        <v>424</v>
      </c>
      <c r="EX20" s="66" t="s">
        <v>424</v>
      </c>
      <c r="EY20" s="66" t="s">
        <v>424</v>
      </c>
      <c r="EZ20" s="66" t="s">
        <v>424</v>
      </c>
      <c r="FA20" s="66" t="s">
        <v>424</v>
      </c>
      <c r="FB20" s="66" t="s">
        <v>424</v>
      </c>
      <c r="FC20" s="66" t="s">
        <v>424</v>
      </c>
      <c r="FD20" s="66" t="s">
        <v>424</v>
      </c>
      <c r="FE20" s="66" t="s">
        <v>424</v>
      </c>
      <c r="FF20" s="66" t="s">
        <v>424</v>
      </c>
      <c r="FG20" s="66" t="s">
        <v>424</v>
      </c>
      <c r="FH20" s="66" t="s">
        <v>424</v>
      </c>
      <c r="FI20" s="66" t="s">
        <v>424</v>
      </c>
      <c r="FJ20" s="66" t="s">
        <v>424</v>
      </c>
      <c r="FK20" s="66" t="s">
        <v>424</v>
      </c>
      <c r="FL20" s="66" t="s">
        <v>424</v>
      </c>
      <c r="FM20" s="66" t="s">
        <v>424</v>
      </c>
      <c r="FN20" s="66" t="s">
        <v>424</v>
      </c>
      <c r="FO20" s="66" t="s">
        <v>424</v>
      </c>
      <c r="FP20" s="66" t="s">
        <v>424</v>
      </c>
      <c r="FQ20" s="66" t="s">
        <v>424</v>
      </c>
      <c r="FR20" s="66" t="s">
        <v>424</v>
      </c>
      <c r="FS20" s="66" t="s">
        <v>424</v>
      </c>
    </row>
    <row r="21" spans="1:175" x14ac:dyDescent="0.3">
      <c r="A21" s="106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1">
        <v>0</v>
      </c>
      <c r="FK21" s="51">
        <v>0</v>
      </c>
      <c r="FL21" s="51">
        <v>0</v>
      </c>
      <c r="FM21" s="51">
        <v>0</v>
      </c>
      <c r="FN21" s="51">
        <v>0</v>
      </c>
      <c r="FO21" s="51">
        <v>0</v>
      </c>
      <c r="FP21" s="51">
        <v>0</v>
      </c>
      <c r="FQ21" s="51">
        <v>0</v>
      </c>
      <c r="FR21" s="51">
        <v>0</v>
      </c>
      <c r="FS21" s="51">
        <v>0</v>
      </c>
    </row>
    <row r="22" spans="1:175" x14ac:dyDescent="0.3">
      <c r="A22" s="106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1">
        <v>0</v>
      </c>
      <c r="FK22" s="51">
        <v>0</v>
      </c>
      <c r="FL22" s="51">
        <v>0</v>
      </c>
      <c r="FM22" s="51">
        <v>0</v>
      </c>
      <c r="FN22" s="51">
        <v>0</v>
      </c>
      <c r="FO22" s="51">
        <v>0</v>
      </c>
      <c r="FP22" s="51">
        <v>0</v>
      </c>
      <c r="FQ22" s="51">
        <v>0</v>
      </c>
      <c r="FR22" s="51">
        <v>0</v>
      </c>
      <c r="FS22" s="51">
        <v>0</v>
      </c>
    </row>
    <row r="23" spans="1:175" x14ac:dyDescent="0.3">
      <c r="A23" s="106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 t="s">
        <v>390</v>
      </c>
      <c r="AU23" s="60" t="s">
        <v>390</v>
      </c>
      <c r="AV23" s="60" t="s">
        <v>390</v>
      </c>
      <c r="AW23" s="60" t="s">
        <v>390</v>
      </c>
      <c r="AX23" s="60" t="s">
        <v>390</v>
      </c>
      <c r="AY23" s="60" t="s">
        <v>390</v>
      </c>
      <c r="AZ23" s="60" t="s">
        <v>390</v>
      </c>
      <c r="BA23" s="60" t="s">
        <v>390</v>
      </c>
      <c r="BB23" s="60" t="s">
        <v>390</v>
      </c>
      <c r="BC23" s="60" t="s">
        <v>390</v>
      </c>
      <c r="BD23" s="60" t="s">
        <v>390</v>
      </c>
      <c r="BE23" s="60" t="s">
        <v>390</v>
      </c>
      <c r="BF23" s="60" t="s">
        <v>390</v>
      </c>
      <c r="BG23" s="60" t="s">
        <v>390</v>
      </c>
      <c r="BH23" s="60" t="s">
        <v>390</v>
      </c>
      <c r="BI23" s="60" t="s">
        <v>390</v>
      </c>
      <c r="BJ23" s="60" t="s">
        <v>390</v>
      </c>
      <c r="BK23" s="60" t="s">
        <v>390</v>
      </c>
      <c r="BL23" s="60" t="s">
        <v>390</v>
      </c>
      <c r="BM23" s="60" t="s">
        <v>390</v>
      </c>
      <c r="BN23" s="60" t="s">
        <v>390</v>
      </c>
      <c r="BO23" s="60" t="s">
        <v>390</v>
      </c>
      <c r="BP23" s="60" t="s">
        <v>390</v>
      </c>
      <c r="BQ23" s="60" t="s">
        <v>390</v>
      </c>
      <c r="BR23" s="60" t="s">
        <v>390</v>
      </c>
      <c r="BS23" s="60" t="s">
        <v>390</v>
      </c>
      <c r="BT23" s="60" t="s">
        <v>390</v>
      </c>
      <c r="BU23" s="60" t="s">
        <v>390</v>
      </c>
      <c r="BV23" s="60" t="s">
        <v>390</v>
      </c>
      <c r="BW23" s="60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106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106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106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106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v>0</v>
      </c>
      <c r="FK27" s="51">
        <v>0</v>
      </c>
      <c r="FL27" s="51">
        <v>0</v>
      </c>
      <c r="FM27" s="51">
        <v>0</v>
      </c>
      <c r="FN27" s="51">
        <v>0</v>
      </c>
      <c r="FO27" s="51">
        <v>0</v>
      </c>
      <c r="FP27" s="51">
        <v>0</v>
      </c>
      <c r="FQ27" s="51">
        <v>0</v>
      </c>
      <c r="FR27" s="51">
        <v>0</v>
      </c>
      <c r="FS27" s="51">
        <v>0</v>
      </c>
    </row>
    <row r="28" spans="1:175" x14ac:dyDescent="0.3">
      <c r="A28" s="106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v>0</v>
      </c>
      <c r="FK28" s="51">
        <v>0</v>
      </c>
      <c r="FL28" s="51">
        <v>0</v>
      </c>
      <c r="FM28" s="51">
        <v>0</v>
      </c>
      <c r="FN28" s="51">
        <v>0</v>
      </c>
      <c r="FO28" s="51">
        <v>0</v>
      </c>
      <c r="FP28" s="51">
        <v>0</v>
      </c>
      <c r="FQ28" s="51">
        <v>0</v>
      </c>
      <c r="FR28" s="51">
        <v>0</v>
      </c>
      <c r="FS28" s="51">
        <v>0</v>
      </c>
    </row>
    <row r="29" spans="1:175" x14ac:dyDescent="0.3">
      <c r="A29" s="106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1">
        <v>0</v>
      </c>
      <c r="FK29" s="51">
        <v>0</v>
      </c>
      <c r="FL29" s="51">
        <v>0</v>
      </c>
      <c r="FM29" s="51">
        <v>0</v>
      </c>
      <c r="FN29" s="51">
        <v>0</v>
      </c>
      <c r="FO29" s="51">
        <v>0</v>
      </c>
      <c r="FP29" s="51">
        <v>0</v>
      </c>
      <c r="FQ29" s="51">
        <v>0</v>
      </c>
      <c r="FR29" s="51">
        <v>0</v>
      </c>
      <c r="FS29" s="51">
        <v>0</v>
      </c>
    </row>
    <row r="30" spans="1:175" x14ac:dyDescent="0.3">
      <c r="A30" s="106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106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106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106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106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106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106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6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6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106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6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</v>
      </c>
      <c r="DN40" s="10">
        <v>0</v>
      </c>
      <c r="DO40" s="28">
        <v>0</v>
      </c>
      <c r="DP40" s="28">
        <v>0</v>
      </c>
      <c r="DQ40" s="10">
        <v>0</v>
      </c>
      <c r="DR40" s="10">
        <v>0</v>
      </c>
      <c r="DS40" s="28">
        <v>0</v>
      </c>
      <c r="DT40" s="28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6"/>
      <c r="B41" t="s">
        <v>277</v>
      </c>
      <c r="C41" s="4" t="s">
        <v>435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0</v>
      </c>
      <c r="DS41" s="28">
        <v>0</v>
      </c>
      <c r="DT41" s="28">
        <v>0</v>
      </c>
      <c r="DU41" s="28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6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106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106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106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106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106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6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0</v>
      </c>
      <c r="FA48" s="51">
        <v>0</v>
      </c>
      <c r="FB48" s="51">
        <v>0</v>
      </c>
      <c r="FC48">
        <v>0</v>
      </c>
      <c r="FD48" s="51">
        <v>0</v>
      </c>
      <c r="FE48">
        <v>0</v>
      </c>
      <c r="FF48" s="51">
        <v>0</v>
      </c>
      <c r="FG48">
        <v>0</v>
      </c>
      <c r="FH48" s="51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106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106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06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106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106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106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106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106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106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106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106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106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06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06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106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0</v>
      </c>
      <c r="BE63" s="60">
        <v>0</v>
      </c>
      <c r="BF63" s="60">
        <v>0</v>
      </c>
      <c r="BG63" s="60">
        <v>0</v>
      </c>
      <c r="BH63" s="60">
        <v>0</v>
      </c>
      <c r="BI63" s="60">
        <v>0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0</v>
      </c>
      <c r="FK63" s="32">
        <v>0</v>
      </c>
      <c r="FL63" s="32">
        <v>0</v>
      </c>
      <c r="FM63" s="32">
        <v>0</v>
      </c>
      <c r="FN63" s="32">
        <v>0</v>
      </c>
      <c r="FO63" s="32">
        <v>0</v>
      </c>
      <c r="FP63" s="32">
        <v>0</v>
      </c>
      <c r="FQ63" s="32">
        <v>0</v>
      </c>
      <c r="FR63" s="32">
        <v>0</v>
      </c>
      <c r="FS63" s="32">
        <v>0</v>
      </c>
    </row>
    <row r="64" spans="1:175" x14ac:dyDescent="0.3">
      <c r="A64" s="106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6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6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0</v>
      </c>
      <c r="FK66" s="32">
        <v>0</v>
      </c>
      <c r="FL66" s="32">
        <v>0</v>
      </c>
      <c r="FM66" s="32">
        <v>0</v>
      </c>
      <c r="FN66" s="32">
        <v>0</v>
      </c>
      <c r="FO66" s="32">
        <v>0</v>
      </c>
      <c r="FP66" s="32">
        <v>0</v>
      </c>
      <c r="FQ66" s="32">
        <v>0</v>
      </c>
      <c r="FR66" s="32">
        <v>0</v>
      </c>
      <c r="FS66" s="32">
        <v>0</v>
      </c>
    </row>
    <row r="67" spans="1:175" x14ac:dyDescent="0.3">
      <c r="A67" s="106"/>
      <c r="B67" s="61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106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0</v>
      </c>
      <c r="FK68" s="32">
        <v>0</v>
      </c>
      <c r="FL68" s="32">
        <v>0</v>
      </c>
      <c r="FM68" s="32">
        <v>0</v>
      </c>
      <c r="FN68" s="32">
        <v>0</v>
      </c>
      <c r="FO68" s="32">
        <v>0</v>
      </c>
      <c r="FP68" s="32">
        <v>0</v>
      </c>
      <c r="FQ68" s="32">
        <v>0</v>
      </c>
      <c r="FR68" s="32">
        <v>0</v>
      </c>
      <c r="FS68" s="32">
        <v>0</v>
      </c>
    </row>
    <row r="69" spans="1:175" x14ac:dyDescent="0.3">
      <c r="A69" s="106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6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106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6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106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1">
        <v>0</v>
      </c>
      <c r="FN73" s="51">
        <v>0</v>
      </c>
      <c r="FO73" s="51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327</v>
      </c>
      <c r="C7" s="38" t="s">
        <v>328</v>
      </c>
      <c r="D7" s="38">
        <v>2019</v>
      </c>
      <c r="E7" s="38" t="s">
        <v>329</v>
      </c>
      <c r="G7" s="41" t="s">
        <v>330</v>
      </c>
    </row>
    <row r="8" spans="1:8" ht="31.05" customHeight="1" x14ac:dyDescent="0.3">
      <c r="A8" s="39" t="s">
        <v>331</v>
      </c>
      <c r="B8" s="38" t="s">
        <v>332</v>
      </c>
      <c r="C8" s="38" t="s">
        <v>333</v>
      </c>
      <c r="D8" s="38">
        <v>2023</v>
      </c>
      <c r="E8" s="38" t="s">
        <v>305</v>
      </c>
      <c r="G8" s="41" t="s">
        <v>334</v>
      </c>
    </row>
    <row r="9" spans="1:8" x14ac:dyDescent="0.3">
      <c r="A9" s="39" t="s">
        <v>340</v>
      </c>
      <c r="B9" s="40" t="s">
        <v>341</v>
      </c>
      <c r="C9" s="38" t="s">
        <v>342</v>
      </c>
      <c r="D9" s="38">
        <v>2023</v>
      </c>
      <c r="E9" s="38" t="s">
        <v>297</v>
      </c>
      <c r="G9" s="41"/>
    </row>
    <row r="10" spans="1:8" x14ac:dyDescent="0.3">
      <c r="A10" s="39" t="s">
        <v>347</v>
      </c>
      <c r="B10" s="38" t="s">
        <v>346</v>
      </c>
      <c r="C10" s="38" t="s">
        <v>345</v>
      </c>
      <c r="D10" s="38">
        <v>2020</v>
      </c>
      <c r="E10" s="38" t="s">
        <v>344</v>
      </c>
      <c r="G10" s="41" t="s">
        <v>343</v>
      </c>
      <c r="H10" s="39" t="s">
        <v>348</v>
      </c>
    </row>
    <row r="11" spans="1:8" ht="28.8" x14ac:dyDescent="0.3">
      <c r="A11" s="39" t="str">
        <f t="shared" ref="A11" si="2">C11&amp;D11</f>
        <v>Ikäheimo2018</v>
      </c>
      <c r="B11" s="38" t="s">
        <v>349</v>
      </c>
      <c r="C11" s="38" t="s">
        <v>350</v>
      </c>
      <c r="D11" s="38">
        <v>2018</v>
      </c>
      <c r="E11" s="38" t="s">
        <v>351</v>
      </c>
      <c r="G11" s="41" t="s">
        <v>352</v>
      </c>
    </row>
    <row r="12" spans="1:8" x14ac:dyDescent="0.3">
      <c r="A12" s="39" t="s">
        <v>357</v>
      </c>
      <c r="B12" s="38" t="s">
        <v>353</v>
      </c>
      <c r="C12" s="38" t="s">
        <v>354</v>
      </c>
      <c r="D12" s="38">
        <v>2020</v>
      </c>
      <c r="E12" s="38" t="s">
        <v>355</v>
      </c>
      <c r="G12" s="41" t="s">
        <v>356</v>
      </c>
    </row>
    <row r="13" spans="1:8" x14ac:dyDescent="0.3">
      <c r="A13" s="39" t="s">
        <v>358</v>
      </c>
      <c r="B13" s="39" t="s">
        <v>359</v>
      </c>
      <c r="C13" s="38" t="s">
        <v>333</v>
      </c>
      <c r="D13" s="38">
        <v>2021</v>
      </c>
      <c r="E13" s="38" t="s">
        <v>296</v>
      </c>
      <c r="G13" s="41" t="s">
        <v>360</v>
      </c>
    </row>
    <row r="14" spans="1:8" x14ac:dyDescent="0.3">
      <c r="G14" s="41"/>
    </row>
    <row r="15" spans="1:8" x14ac:dyDescent="0.3">
      <c r="G15" s="41"/>
    </row>
    <row r="16" spans="1:8" x14ac:dyDescent="0.3">
      <c r="G16" s="41"/>
    </row>
    <row r="17" spans="2:7" x14ac:dyDescent="0.3">
      <c r="G17" s="41"/>
    </row>
    <row r="18" spans="2:7" x14ac:dyDescent="0.3">
      <c r="G18" s="41"/>
    </row>
    <row r="19" spans="2:7" x14ac:dyDescent="0.3">
      <c r="G19" s="41"/>
    </row>
    <row r="20" spans="2:7" x14ac:dyDescent="0.3">
      <c r="G20" s="41"/>
    </row>
    <row r="21" spans="2:7" x14ac:dyDescent="0.3">
      <c r="B21" s="13"/>
      <c r="G21" s="41"/>
    </row>
    <row r="22" spans="2:7" x14ac:dyDescent="0.3">
      <c r="B22" s="40"/>
      <c r="G22" s="41"/>
    </row>
    <row r="23" spans="2:7" x14ac:dyDescent="0.3">
      <c r="G23" s="41"/>
    </row>
    <row r="24" spans="2:7" x14ac:dyDescent="0.3">
      <c r="G24" s="41"/>
    </row>
    <row r="25" spans="2:7" x14ac:dyDescent="0.3">
      <c r="G25" s="41"/>
    </row>
    <row r="26" spans="2:7" x14ac:dyDescent="0.3">
      <c r="G26" s="41"/>
    </row>
    <row r="27" spans="2:7" x14ac:dyDescent="0.3">
      <c r="G27" s="41"/>
    </row>
    <row r="28" spans="2:7" x14ac:dyDescent="0.3">
      <c r="G28" s="41"/>
    </row>
    <row r="29" spans="2:7" x14ac:dyDescent="0.3">
      <c r="G29" s="41"/>
    </row>
    <row r="30" spans="2:7" x14ac:dyDescent="0.3">
      <c r="G30" s="41"/>
    </row>
    <row r="31" spans="2:7" x14ac:dyDescent="0.3">
      <c r="G31" s="41"/>
    </row>
    <row r="32" spans="2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2023-10-12T12:12:45Z</dcterms:modified>
</cp:coreProperties>
</file>