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 filterPrivacy="1" codeName="ThisWorkbook"/>
  <xr:revisionPtr revIDLastSave="0" documentId="8_{9A568924-47E9-495A-8DCC-AB5A64451525}" xr6:coauthVersionLast="47" xr6:coauthVersionMax="47" xr10:uidLastSave="{00000000-0000-0000-0000-000000000000}"/>
  <bookViews>
    <workbookView xWindow="-108" yWindow="-108" windowWidth="23256" windowHeight="13176" activeTab="3" xr2:uid="{00000000-000D-0000-FFFF-FFFF00000000}"/>
  </bookViews>
  <sheets>
    <sheet name="Data_base_case" sheetId="79" r:id="rId1"/>
    <sheet name="Selected_units" sheetId="82" r:id="rId2"/>
    <sheet name="Scenarios_definition" sheetId="80" r:id="rId3"/>
    <sheet name="Scenarios_DME" sheetId="95" r:id="rId4"/>
    <sheet name="Scenarios_tests" sheetId="100" r:id="rId5"/>
    <sheet name="Ref_base_case" sheetId="99" r:id="rId6"/>
    <sheet name="Sources" sheetId="97" r:id="rId7"/>
  </sheets>
  <externalReferences>
    <externalReference r:id="rId8"/>
  </externalReferences>
  <definedNames>
    <definedName name="CEPCI_ref">[1]Calculations!$C$28</definedName>
    <definedName name="CEPCI2014">[1]Calculations!$C$22</definedName>
    <definedName name="CEPCI2015">[1]Calculations!$C$23</definedName>
    <definedName name="DE2014_">[1]Calculations!$C$8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1" i="79" l="1"/>
  <c r="H38" i="80"/>
  <c r="A34" i="95"/>
  <c r="G34" i="95"/>
  <c r="I34" i="95"/>
  <c r="N6" i="82"/>
  <c r="N7" i="82"/>
  <c r="N18" i="82"/>
  <c r="N19" i="82"/>
  <c r="N30" i="82" s="1"/>
  <c r="N20" i="82"/>
  <c r="N24" i="82"/>
  <c r="N27" i="82"/>
  <c r="N28" i="82"/>
  <c r="N31" i="82"/>
  <c r="N57" i="82"/>
  <c r="N58" i="82"/>
  <c r="N59" i="82"/>
  <c r="N60" i="82"/>
  <c r="N5" i="82"/>
  <c r="B15" i="82"/>
  <c r="B16" i="82"/>
  <c r="A15" i="82"/>
  <c r="A16" i="82"/>
  <c r="DH18" i="79"/>
  <c r="DK18" i="79"/>
  <c r="DI18" i="79"/>
  <c r="DG18" i="79"/>
  <c r="DE18" i="79"/>
  <c r="DD18" i="79"/>
  <c r="DB18" i="79"/>
  <c r="DA18" i="79"/>
  <c r="CY18" i="79"/>
  <c r="CW18" i="79"/>
  <c r="CU18" i="79"/>
  <c r="CT18" i="79"/>
  <c r="CR18" i="79"/>
  <c r="CQ18" i="79"/>
  <c r="CO18" i="79"/>
  <c r="CM18" i="79"/>
  <c r="CK18" i="79"/>
  <c r="CH18" i="79"/>
  <c r="CJ18" i="79"/>
  <c r="DV19" i="79"/>
  <c r="DW19" i="79"/>
  <c r="DX19" i="79"/>
  <c r="DY19" i="79"/>
  <c r="DZ19" i="79"/>
  <c r="EA19" i="79"/>
  <c r="EB19" i="79"/>
  <c r="EC19" i="79"/>
  <c r="ED19" i="79"/>
  <c r="EE19" i="79"/>
  <c r="H19" i="79"/>
  <c r="H18" i="79" s="1"/>
  <c r="I18" i="79"/>
  <c r="I19" i="79"/>
  <c r="E18" i="79"/>
  <c r="E19" i="79"/>
  <c r="B7" i="82"/>
  <c r="B8" i="82"/>
  <c r="B9" i="82"/>
  <c r="B10" i="82"/>
  <c r="B11" i="82"/>
  <c r="B12" i="82"/>
  <c r="B13" i="82"/>
  <c r="B14" i="82"/>
  <c r="B17" i="82"/>
  <c r="B18" i="82"/>
  <c r="B19" i="82"/>
  <c r="B20" i="82"/>
  <c r="B21" i="82"/>
  <c r="B22" i="82"/>
  <c r="B23" i="82"/>
  <c r="B24" i="82"/>
  <c r="B25" i="82"/>
  <c r="B26" i="82"/>
  <c r="B27" i="82"/>
  <c r="B28" i="82"/>
  <c r="B29" i="82"/>
  <c r="B30" i="82"/>
  <c r="B31" i="82"/>
  <c r="B32" i="82"/>
  <c r="B33" i="82"/>
  <c r="B34" i="82"/>
  <c r="B35" i="82"/>
  <c r="N38" i="82" s="1"/>
  <c r="N36" i="82" s="1"/>
  <c r="B36" i="82"/>
  <c r="B37" i="82"/>
  <c r="B38" i="82"/>
  <c r="B39" i="82"/>
  <c r="B40" i="82"/>
  <c r="B41" i="82"/>
  <c r="N41" i="82" s="1"/>
  <c r="N40" i="82" s="1"/>
  <c r="B42" i="82"/>
  <c r="B43" i="82"/>
  <c r="B44" i="82"/>
  <c r="B45" i="82"/>
  <c r="B46" i="82"/>
  <c r="B47" i="82"/>
  <c r="B48" i="82"/>
  <c r="B49" i="82"/>
  <c r="B50" i="82"/>
  <c r="B51" i="82"/>
  <c r="B52" i="82"/>
  <c r="B53" i="82"/>
  <c r="B54" i="82"/>
  <c r="B55" i="82"/>
  <c r="B56" i="82"/>
  <c r="B57" i="82"/>
  <c r="B58" i="82"/>
  <c r="B59" i="82"/>
  <c r="B60" i="82"/>
  <c r="B61" i="82"/>
  <c r="B62" i="82"/>
  <c r="B63" i="82"/>
  <c r="B64" i="82"/>
  <c r="B65" i="82"/>
  <c r="B66" i="82"/>
  <c r="EB13" i="79"/>
  <c r="I33" i="95"/>
  <c r="G33" i="95"/>
  <c r="A33" i="95"/>
  <c r="N39" i="82" l="1"/>
  <c r="N37" i="82"/>
  <c r="A18" i="95"/>
  <c r="G18" i="95"/>
  <c r="A13" i="82"/>
  <c r="A14" i="82"/>
  <c r="Q16" i="79"/>
  <c r="R16" i="79"/>
  <c r="S16" i="79"/>
  <c r="T16" i="79"/>
  <c r="U16" i="79"/>
  <c r="V16" i="79"/>
  <c r="W16" i="79"/>
  <c r="X16" i="79"/>
  <c r="Y16" i="79"/>
  <c r="P16" i="79"/>
  <c r="I17" i="79"/>
  <c r="E17" i="79"/>
  <c r="E16" i="79"/>
  <c r="M60" i="82"/>
  <c r="M59" i="82"/>
  <c r="M58" i="82"/>
  <c r="M57" i="82"/>
  <c r="M31" i="82"/>
  <c r="M28" i="82"/>
  <c r="M27" i="82"/>
  <c r="M24" i="82"/>
  <c r="M20" i="82"/>
  <c r="M19" i="82"/>
  <c r="M30" i="82" s="1"/>
  <c r="M18" i="82"/>
  <c r="M7" i="82"/>
  <c r="M6" i="82"/>
  <c r="M5" i="82"/>
  <c r="I10" i="95"/>
  <c r="A12" i="95"/>
  <c r="G12" i="95"/>
  <c r="I12" i="95"/>
  <c r="I11" i="95"/>
  <c r="G11" i="95"/>
  <c r="A11" i="95"/>
  <c r="I13" i="95"/>
  <c r="G13" i="95"/>
  <c r="A13" i="95"/>
  <c r="H22" i="79"/>
  <c r="G32" i="95"/>
  <c r="A32" i="95"/>
  <c r="G31" i="95"/>
  <c r="A31" i="95"/>
  <c r="G30" i="95" l="1"/>
  <c r="A30" i="95"/>
  <c r="G29" i="95"/>
  <c r="A29" i="95"/>
  <c r="G28" i="95"/>
  <c r="A28" i="95"/>
  <c r="G27" i="95"/>
  <c r="A27" i="95"/>
  <c r="I26" i="95"/>
  <c r="G26" i="95"/>
  <c r="A26" i="95"/>
  <c r="I25" i="95"/>
  <c r="G25" i="95"/>
  <c r="A25" i="95"/>
  <c r="I24" i="95"/>
  <c r="G24" i="95"/>
  <c r="A24" i="95"/>
  <c r="I23" i="95"/>
  <c r="G23" i="95"/>
  <c r="A23" i="95"/>
  <c r="Y27" i="79" l="1"/>
  <c r="Y28" i="79"/>
  <c r="Y29" i="79"/>
  <c r="Y30" i="79"/>
  <c r="Y31" i="79"/>
  <c r="X31" i="79"/>
  <c r="X30" i="79"/>
  <c r="X29" i="79"/>
  <c r="X28" i="79"/>
  <c r="X27" i="79"/>
  <c r="W27" i="79"/>
  <c r="W28" i="79"/>
  <c r="W29" i="79"/>
  <c r="W30" i="79"/>
  <c r="W31" i="79"/>
  <c r="V31" i="79"/>
  <c r="V30" i="79"/>
  <c r="V29" i="79"/>
  <c r="V28" i="79"/>
  <c r="V27" i="79"/>
  <c r="U27" i="79"/>
  <c r="U28" i="79"/>
  <c r="U29" i="79"/>
  <c r="U30" i="79"/>
  <c r="U31" i="79"/>
  <c r="T31" i="79"/>
  <c r="T30" i="79"/>
  <c r="T29" i="79"/>
  <c r="T28" i="79"/>
  <c r="T27" i="79"/>
  <c r="S27" i="79"/>
  <c r="S28" i="79"/>
  <c r="S29" i="79"/>
  <c r="S30" i="79"/>
  <c r="S31" i="79"/>
  <c r="R31" i="79"/>
  <c r="R30" i="79"/>
  <c r="R29" i="79"/>
  <c r="R28" i="79"/>
  <c r="R27" i="79"/>
  <c r="Q27" i="79"/>
  <c r="Q28" i="79"/>
  <c r="Q29" i="79"/>
  <c r="Q30" i="79"/>
  <c r="Q31" i="79"/>
  <c r="P31" i="79"/>
  <c r="P30" i="79"/>
  <c r="P29" i="79"/>
  <c r="P28" i="79"/>
  <c r="I22" i="95"/>
  <c r="G22" i="95"/>
  <c r="A22" i="95"/>
  <c r="I21" i="95"/>
  <c r="G21" i="95"/>
  <c r="A21" i="95"/>
  <c r="K5" i="82"/>
  <c r="L5" i="82"/>
  <c r="J5" i="82"/>
  <c r="J60" i="82"/>
  <c r="J59" i="82"/>
  <c r="J58" i="82"/>
  <c r="J57" i="82"/>
  <c r="J31" i="82"/>
  <c r="J29" i="82"/>
  <c r="J28" i="82"/>
  <c r="J27" i="82"/>
  <c r="J26" i="82"/>
  <c r="J25" i="82"/>
  <c r="J24" i="82"/>
  <c r="J20" i="82"/>
  <c r="J19" i="82"/>
  <c r="J30" i="82" s="1"/>
  <c r="J18" i="82"/>
  <c r="J7" i="82"/>
  <c r="J6" i="82"/>
  <c r="A17" i="95"/>
  <c r="G17" i="95"/>
  <c r="I17" i="95"/>
  <c r="A16" i="95"/>
  <c r="G16" i="95"/>
  <c r="I16" i="95"/>
  <c r="H12" i="79" l="1"/>
  <c r="I14" i="79"/>
  <c r="Q15" i="79"/>
  <c r="R15" i="79"/>
  <c r="S15" i="79"/>
  <c r="T15" i="79"/>
  <c r="U15" i="79"/>
  <c r="V15" i="79"/>
  <c r="W15" i="79"/>
  <c r="X15" i="79"/>
  <c r="Y15" i="79"/>
  <c r="P15" i="79"/>
  <c r="H14" i="79" s="1"/>
  <c r="A11" i="97"/>
  <c r="A7" i="97"/>
  <c r="A6" i="97"/>
  <c r="A5" i="97"/>
  <c r="A4" i="97"/>
  <c r="I20" i="95"/>
  <c r="G20" i="95"/>
  <c r="A20" i="95"/>
  <c r="I19" i="95"/>
  <c r="G19" i="95"/>
  <c r="A19" i="95"/>
  <c r="I15" i="95"/>
  <c r="G15" i="95"/>
  <c r="A15" i="95"/>
  <c r="I14" i="95"/>
  <c r="G14" i="95"/>
  <c r="A14" i="95"/>
  <c r="G10" i="95"/>
  <c r="A10" i="95"/>
  <c r="EJ3" i="80"/>
  <c r="EI3" i="80"/>
  <c r="EH3" i="80"/>
  <c r="EG3" i="80"/>
  <c r="EF3" i="80"/>
  <c r="EE3" i="80"/>
  <c r="ED3" i="80"/>
  <c r="EC3" i="80"/>
  <c r="EB3" i="80"/>
  <c r="EA3" i="80"/>
  <c r="DZ3" i="80"/>
  <c r="DY3" i="80"/>
  <c r="DX3" i="80"/>
  <c r="DW3" i="80"/>
  <c r="DV3" i="80"/>
  <c r="DU3" i="80"/>
  <c r="DT3" i="80"/>
  <c r="DS3" i="80"/>
  <c r="DR3" i="80"/>
  <c r="DQ3" i="80"/>
  <c r="DP3" i="80"/>
  <c r="DO3" i="80"/>
  <c r="DN3" i="80"/>
  <c r="DM3" i="80"/>
  <c r="DL3" i="80"/>
  <c r="DK3" i="80"/>
  <c r="DJ3" i="80"/>
  <c r="DI3" i="80"/>
  <c r="DH3" i="80"/>
  <c r="DG3" i="80"/>
  <c r="DF3" i="80"/>
  <c r="DE3" i="80"/>
  <c r="DD3" i="80"/>
  <c r="DC3" i="80"/>
  <c r="DB3" i="80"/>
  <c r="DA3" i="80"/>
  <c r="CZ3" i="80"/>
  <c r="CY3" i="80"/>
  <c r="CX3" i="80"/>
  <c r="CW3" i="80"/>
  <c r="CV3" i="80"/>
  <c r="CU3" i="80"/>
  <c r="CT3" i="80"/>
  <c r="CS3" i="80"/>
  <c r="CR3" i="80"/>
  <c r="CQ3" i="80"/>
  <c r="CP3" i="80"/>
  <c r="CO3" i="80"/>
  <c r="CN3" i="80"/>
  <c r="CM3" i="80"/>
  <c r="CL3" i="80"/>
  <c r="CK3" i="80"/>
  <c r="CJ3" i="80"/>
  <c r="CI3" i="80"/>
  <c r="CH3" i="80"/>
  <c r="CG3" i="80"/>
  <c r="CF3" i="80"/>
  <c r="CE3" i="80"/>
  <c r="CD3" i="80"/>
  <c r="CC3" i="80"/>
  <c r="CB3" i="80"/>
  <c r="CA3" i="80"/>
  <c r="BZ3" i="80"/>
  <c r="BY3" i="80"/>
  <c r="BX3" i="80"/>
  <c r="BW3" i="80"/>
  <c r="BV3" i="80"/>
  <c r="BU3" i="80"/>
  <c r="BT3" i="80"/>
  <c r="BS3" i="80"/>
  <c r="BR3" i="80"/>
  <c r="BQ3" i="80"/>
  <c r="BP3" i="80"/>
  <c r="BO3" i="80"/>
  <c r="BN3" i="80"/>
  <c r="BM3" i="80"/>
  <c r="BL3" i="80"/>
  <c r="BK3" i="80"/>
  <c r="BJ3" i="80"/>
  <c r="BI3" i="80"/>
  <c r="BH3" i="80"/>
  <c r="BG3" i="80"/>
  <c r="BF3" i="80"/>
  <c r="BE3" i="80"/>
  <c r="BD3" i="80"/>
  <c r="BC3" i="80"/>
  <c r="BB3" i="80"/>
  <c r="BA3" i="80"/>
  <c r="AZ3" i="80"/>
  <c r="AY3" i="80"/>
  <c r="AX3" i="80"/>
  <c r="AW3" i="80"/>
  <c r="AV3" i="80"/>
  <c r="AU3" i="80"/>
  <c r="AT3" i="80"/>
  <c r="AS3" i="80"/>
  <c r="AR3" i="80"/>
  <c r="AQ3" i="80"/>
  <c r="AP3" i="80"/>
  <c r="AO3" i="80"/>
  <c r="AN3" i="80"/>
  <c r="AM3" i="80"/>
  <c r="AL3" i="80"/>
  <c r="AK3" i="80"/>
  <c r="AJ3" i="80"/>
  <c r="AI3" i="80"/>
  <c r="AH3" i="80"/>
  <c r="AG3" i="80"/>
  <c r="AF3" i="80"/>
  <c r="AE3" i="80"/>
  <c r="AD3" i="80"/>
  <c r="AC3" i="80"/>
  <c r="AB3" i="80"/>
  <c r="AA3" i="80"/>
  <c r="Z3" i="80"/>
  <c r="Y3" i="80"/>
  <c r="X3" i="80"/>
  <c r="W3" i="80"/>
  <c r="V3" i="80"/>
  <c r="U3" i="80"/>
  <c r="T3" i="80"/>
  <c r="S3" i="80"/>
  <c r="R3" i="80"/>
  <c r="Q3" i="80"/>
  <c r="P3" i="80"/>
  <c r="N3" i="80"/>
  <c r="A66" i="82"/>
  <c r="A65" i="82"/>
  <c r="A64" i="82"/>
  <c r="A63" i="82"/>
  <c r="A62" i="82"/>
  <c r="A61" i="82"/>
  <c r="L60" i="82"/>
  <c r="K60" i="82"/>
  <c r="I60" i="82"/>
  <c r="H60" i="82"/>
  <c r="G60" i="82"/>
  <c r="F60" i="82"/>
  <c r="E60" i="82"/>
  <c r="D60" i="82"/>
  <c r="C60" i="82"/>
  <c r="A60" i="82"/>
  <c r="L59" i="82"/>
  <c r="K59" i="82"/>
  <c r="I59" i="82"/>
  <c r="H59" i="82"/>
  <c r="G59" i="82"/>
  <c r="F59" i="82"/>
  <c r="E59" i="82"/>
  <c r="D59" i="82"/>
  <c r="C59" i="82"/>
  <c r="A59" i="82"/>
  <c r="L58" i="82"/>
  <c r="K58" i="82"/>
  <c r="I58" i="82"/>
  <c r="H58" i="82"/>
  <c r="G58" i="82"/>
  <c r="F58" i="82"/>
  <c r="E58" i="82"/>
  <c r="D58" i="82"/>
  <c r="C58" i="82"/>
  <c r="A58" i="82"/>
  <c r="L57" i="82"/>
  <c r="K57" i="82"/>
  <c r="I57" i="82"/>
  <c r="H57" i="82"/>
  <c r="G57" i="82"/>
  <c r="F57" i="82"/>
  <c r="E57" i="82"/>
  <c r="D57" i="82"/>
  <c r="C57" i="82"/>
  <c r="A57" i="82"/>
  <c r="A56" i="82"/>
  <c r="A55" i="82"/>
  <c r="A54" i="82"/>
  <c r="A53" i="82"/>
  <c r="A52" i="82"/>
  <c r="A51" i="82"/>
  <c r="A50" i="82"/>
  <c r="A49" i="82"/>
  <c r="A48" i="82"/>
  <c r="A47" i="82"/>
  <c r="A46" i="82"/>
  <c r="A45" i="82"/>
  <c r="A44" i="82"/>
  <c r="A43" i="82"/>
  <c r="A42" i="82"/>
  <c r="M41" i="82"/>
  <c r="A41" i="82"/>
  <c r="L40" i="82"/>
  <c r="A40" i="82"/>
  <c r="L39" i="82"/>
  <c r="A39" i="82"/>
  <c r="A38" i="82"/>
  <c r="A37" i="82"/>
  <c r="A36" i="82"/>
  <c r="M38" i="82"/>
  <c r="A35" i="82"/>
  <c r="A34" i="82"/>
  <c r="A33" i="82"/>
  <c r="A32" i="82"/>
  <c r="L31" i="82"/>
  <c r="K31" i="82"/>
  <c r="I31" i="82"/>
  <c r="H31" i="82"/>
  <c r="G31" i="82"/>
  <c r="F31" i="82"/>
  <c r="E31" i="82"/>
  <c r="D31" i="82"/>
  <c r="C31" i="82"/>
  <c r="A31" i="82"/>
  <c r="A30" i="82"/>
  <c r="K29" i="82"/>
  <c r="I29" i="82"/>
  <c r="H29" i="82"/>
  <c r="G29" i="82"/>
  <c r="F29" i="82"/>
  <c r="E29" i="82"/>
  <c r="D29" i="82"/>
  <c r="C29" i="82"/>
  <c r="A29" i="82"/>
  <c r="L28" i="82"/>
  <c r="K28" i="82"/>
  <c r="I28" i="82"/>
  <c r="H28" i="82"/>
  <c r="G28" i="82"/>
  <c r="F28" i="82"/>
  <c r="E28" i="82"/>
  <c r="D28" i="82"/>
  <c r="C28" i="82"/>
  <c r="A28" i="82"/>
  <c r="L27" i="82"/>
  <c r="K27" i="82"/>
  <c r="I27" i="82"/>
  <c r="H27" i="82"/>
  <c r="G27" i="82"/>
  <c r="F27" i="82"/>
  <c r="E27" i="82"/>
  <c r="D27" i="82"/>
  <c r="C27" i="82"/>
  <c r="A27" i="82"/>
  <c r="L26" i="82"/>
  <c r="K26" i="82"/>
  <c r="I26" i="82"/>
  <c r="H26" i="82"/>
  <c r="G26" i="82"/>
  <c r="F26" i="82"/>
  <c r="E26" i="82"/>
  <c r="D26" i="82"/>
  <c r="C26" i="82"/>
  <c r="A26" i="82"/>
  <c r="L25" i="82"/>
  <c r="K25" i="82"/>
  <c r="I25" i="82"/>
  <c r="H25" i="82"/>
  <c r="G25" i="82"/>
  <c r="F25" i="82"/>
  <c r="E25" i="82"/>
  <c r="D25" i="82"/>
  <c r="A25" i="82"/>
  <c r="L24" i="82"/>
  <c r="K24" i="82"/>
  <c r="I24" i="82"/>
  <c r="H24" i="82"/>
  <c r="G24" i="82"/>
  <c r="F24" i="82"/>
  <c r="E24" i="82"/>
  <c r="D24" i="82"/>
  <c r="C24" i="82"/>
  <c r="A24" i="82"/>
  <c r="A23" i="82"/>
  <c r="A2" i="82"/>
  <c r="A22" i="82"/>
  <c r="A21" i="82"/>
  <c r="L20" i="82"/>
  <c r="K20" i="82"/>
  <c r="I20" i="82"/>
  <c r="H20" i="82"/>
  <c r="G20" i="82"/>
  <c r="F20" i="82"/>
  <c r="E20" i="82"/>
  <c r="D20" i="82"/>
  <c r="C20" i="82"/>
  <c r="A20" i="82"/>
  <c r="L19" i="82"/>
  <c r="L30" i="82" s="1"/>
  <c r="K19" i="82"/>
  <c r="K30" i="82" s="1"/>
  <c r="I19" i="82"/>
  <c r="I30" i="82" s="1"/>
  <c r="H19" i="82"/>
  <c r="H30" i="82" s="1"/>
  <c r="G19" i="82"/>
  <c r="G30" i="82" s="1"/>
  <c r="F19" i="82"/>
  <c r="F30" i="82" s="1"/>
  <c r="E19" i="82"/>
  <c r="E30" i="82" s="1"/>
  <c r="D19" i="82"/>
  <c r="D30" i="82" s="1"/>
  <c r="C30" i="82"/>
  <c r="A19" i="82"/>
  <c r="L18" i="82"/>
  <c r="K18" i="82"/>
  <c r="I18" i="82"/>
  <c r="H18" i="82"/>
  <c r="G18" i="82"/>
  <c r="F18" i="82"/>
  <c r="E18" i="82"/>
  <c r="D18" i="82"/>
  <c r="A18" i="82"/>
  <c r="A17" i="82"/>
  <c r="A12" i="82"/>
  <c r="A11" i="82"/>
  <c r="A10" i="82"/>
  <c r="A9" i="82"/>
  <c r="I8" i="82"/>
  <c r="H8" i="82"/>
  <c r="G8" i="82"/>
  <c r="F8" i="82"/>
  <c r="E8" i="82"/>
  <c r="D8" i="82"/>
  <c r="C8" i="82"/>
  <c r="A8" i="82"/>
  <c r="L7" i="82"/>
  <c r="K7" i="82"/>
  <c r="I7" i="82"/>
  <c r="H7" i="82"/>
  <c r="G7" i="82"/>
  <c r="F7" i="82"/>
  <c r="E7" i="82"/>
  <c r="D7" i="82"/>
  <c r="C7" i="82"/>
  <c r="A7" i="82"/>
  <c r="L6" i="82"/>
  <c r="K6" i="82"/>
  <c r="I6" i="82"/>
  <c r="H6" i="82"/>
  <c r="G6" i="82"/>
  <c r="F6" i="82"/>
  <c r="E6" i="82"/>
  <c r="D6" i="82"/>
  <c r="C6" i="82"/>
  <c r="B6" i="82"/>
  <c r="A6" i="82"/>
  <c r="I5" i="82"/>
  <c r="H5" i="82"/>
  <c r="G5" i="82"/>
  <c r="F5" i="82"/>
  <c r="E5" i="82"/>
  <c r="D5" i="82"/>
  <c r="C5" i="82"/>
  <c r="B66" i="99"/>
  <c r="B65" i="99"/>
  <c r="B64" i="99"/>
  <c r="B63" i="99"/>
  <c r="B62" i="99"/>
  <c r="B61" i="99"/>
  <c r="B60" i="99"/>
  <c r="B59" i="99"/>
  <c r="B58" i="99"/>
  <c r="B57" i="99"/>
  <c r="B56" i="99"/>
  <c r="B55" i="99"/>
  <c r="I46" i="99"/>
  <c r="I35" i="99"/>
  <c r="I34" i="99"/>
  <c r="I33" i="99"/>
  <c r="I32" i="99"/>
  <c r="I31" i="99"/>
  <c r="B30" i="99"/>
  <c r="B29" i="99"/>
  <c r="I27" i="99"/>
  <c r="I26" i="99"/>
  <c r="I25" i="99"/>
  <c r="I24" i="99"/>
  <c r="I23" i="99"/>
  <c r="I22" i="99"/>
  <c r="I21" i="99"/>
  <c r="I20" i="99"/>
  <c r="I19" i="99"/>
  <c r="I18" i="99"/>
  <c r="I17" i="99"/>
  <c r="I16" i="99"/>
  <c r="I14" i="99"/>
  <c r="I13" i="99"/>
  <c r="I12" i="99"/>
  <c r="I11" i="99"/>
  <c r="I10" i="99"/>
  <c r="I9" i="99"/>
  <c r="FS7" i="99"/>
  <c r="FR7" i="99"/>
  <c r="FQ7" i="99"/>
  <c r="FP7" i="99"/>
  <c r="FO7" i="99"/>
  <c r="FN7" i="99"/>
  <c r="FM7" i="99"/>
  <c r="FL7" i="99"/>
  <c r="FK7" i="99"/>
  <c r="FJ7" i="99"/>
  <c r="FI7" i="99"/>
  <c r="FH7" i="99"/>
  <c r="FG7" i="99"/>
  <c r="FF7" i="99"/>
  <c r="FE7" i="99"/>
  <c r="FD7" i="99"/>
  <c r="FC7" i="99"/>
  <c r="FB7" i="99"/>
  <c r="FA7" i="99"/>
  <c r="EZ7" i="99"/>
  <c r="EY7" i="99"/>
  <c r="EX7" i="99"/>
  <c r="EW7" i="99"/>
  <c r="EV7" i="99"/>
  <c r="EU7" i="99"/>
  <c r="ET7" i="99"/>
  <c r="ES7" i="99"/>
  <c r="ER7" i="99"/>
  <c r="EQ7" i="99"/>
  <c r="EP7" i="99"/>
  <c r="EO7" i="99"/>
  <c r="EN7" i="99"/>
  <c r="EM7" i="99"/>
  <c r="EL7" i="99"/>
  <c r="EK7" i="99"/>
  <c r="EJ7" i="99"/>
  <c r="EI7" i="99"/>
  <c r="EH7" i="99"/>
  <c r="EG7" i="99"/>
  <c r="EF7" i="99"/>
  <c r="EE7" i="99"/>
  <c r="ED7" i="99"/>
  <c r="EC7" i="99"/>
  <c r="EB7" i="99"/>
  <c r="EA7" i="99"/>
  <c r="DZ7" i="99"/>
  <c r="DY7" i="99"/>
  <c r="DX7" i="99"/>
  <c r="DW7" i="99"/>
  <c r="DV7" i="99"/>
  <c r="DU7" i="99"/>
  <c r="DT7" i="99"/>
  <c r="DS7" i="99"/>
  <c r="DR7" i="99"/>
  <c r="DQ7" i="99"/>
  <c r="DP7" i="99"/>
  <c r="DO7" i="99"/>
  <c r="DN7" i="99"/>
  <c r="DM7" i="99"/>
  <c r="DL7" i="99"/>
  <c r="DK7" i="99"/>
  <c r="DJ7" i="99"/>
  <c r="DI7" i="99"/>
  <c r="DH7" i="99"/>
  <c r="DG7" i="99"/>
  <c r="DF7" i="99"/>
  <c r="DE7" i="99"/>
  <c r="DD7" i="99"/>
  <c r="DC7" i="99"/>
  <c r="DB7" i="99"/>
  <c r="DA7" i="99"/>
  <c r="CZ7" i="99"/>
  <c r="CY7" i="99"/>
  <c r="CX7" i="99"/>
  <c r="CW7" i="99"/>
  <c r="CV7" i="99"/>
  <c r="CU7" i="99"/>
  <c r="CT7" i="99"/>
  <c r="CS7" i="99"/>
  <c r="CR7" i="99"/>
  <c r="CQ7" i="99"/>
  <c r="CP7" i="99"/>
  <c r="CO7" i="99"/>
  <c r="CN7" i="99"/>
  <c r="CM7" i="99"/>
  <c r="CL7" i="99"/>
  <c r="CK7" i="99"/>
  <c r="CJ7" i="99"/>
  <c r="CI7" i="99"/>
  <c r="CH7" i="99"/>
  <c r="CG7" i="99"/>
  <c r="CF7" i="99"/>
  <c r="CE7" i="99"/>
  <c r="CD7" i="99"/>
  <c r="CC7" i="99"/>
  <c r="CB7" i="99"/>
  <c r="CA7" i="99"/>
  <c r="BZ7" i="99"/>
  <c r="BY7" i="99"/>
  <c r="BX7" i="99"/>
  <c r="BW7" i="99"/>
  <c r="BV7" i="99"/>
  <c r="BU7" i="99"/>
  <c r="BT7" i="99"/>
  <c r="BS7" i="99"/>
  <c r="BR7" i="99"/>
  <c r="BQ7" i="99"/>
  <c r="BP7" i="99"/>
  <c r="BO7" i="99"/>
  <c r="BN7" i="99"/>
  <c r="BM7" i="99"/>
  <c r="BL7" i="99"/>
  <c r="BK7" i="99"/>
  <c r="BJ7" i="99"/>
  <c r="BI7" i="99"/>
  <c r="BH7" i="99"/>
  <c r="BG7" i="99"/>
  <c r="BF7" i="99"/>
  <c r="BE7" i="99"/>
  <c r="BD7" i="99"/>
  <c r="BC7" i="99"/>
  <c r="BB7" i="99"/>
  <c r="BA7" i="99"/>
  <c r="AZ7" i="99"/>
  <c r="AY7" i="99"/>
  <c r="AX7" i="99"/>
  <c r="AW7" i="99"/>
  <c r="AV7" i="99"/>
  <c r="AU7" i="99"/>
  <c r="AT7" i="99"/>
  <c r="AS7" i="99"/>
  <c r="AR7" i="99"/>
  <c r="AQ7" i="99"/>
  <c r="AP7" i="99"/>
  <c r="AO7" i="99"/>
  <c r="AN7" i="99"/>
  <c r="AM7" i="99"/>
  <c r="AL7" i="99"/>
  <c r="AK7" i="99"/>
  <c r="AJ7" i="99"/>
  <c r="AI7" i="99"/>
  <c r="AH7" i="99"/>
  <c r="AG7" i="99"/>
  <c r="AF7" i="99"/>
  <c r="AE7" i="99"/>
  <c r="AD7" i="99"/>
  <c r="AC7" i="99"/>
  <c r="AB7" i="99"/>
  <c r="AA7" i="99"/>
  <c r="Z7" i="99"/>
  <c r="Y7" i="99"/>
  <c r="X7" i="99"/>
  <c r="W7" i="99"/>
  <c r="V7" i="99"/>
  <c r="U7" i="99"/>
  <c r="T7" i="99"/>
  <c r="S7" i="99"/>
  <c r="R7" i="99"/>
  <c r="Q7" i="99"/>
  <c r="P7" i="99"/>
  <c r="O7" i="99"/>
  <c r="N7" i="99"/>
  <c r="M7" i="99"/>
  <c r="L7" i="99"/>
  <c r="K7" i="99"/>
  <c r="J7" i="99"/>
  <c r="I7" i="99"/>
  <c r="H7" i="99"/>
  <c r="F7" i="99"/>
  <c r="G5" i="99"/>
  <c r="G7" i="99" s="1"/>
  <c r="E15" i="79"/>
  <c r="I13" i="79"/>
  <c r="E13" i="79"/>
  <c r="E14" i="79"/>
  <c r="I12" i="79"/>
  <c r="E12" i="79"/>
  <c r="N21" i="82" l="1"/>
  <c r="N23" i="82"/>
  <c r="N22" i="82"/>
  <c r="J23" i="82"/>
  <c r="M36" i="82"/>
  <c r="M37" i="82"/>
  <c r="K21" i="82"/>
  <c r="M23" i="82"/>
  <c r="M21" i="82"/>
  <c r="M22" i="82"/>
  <c r="J21" i="82"/>
  <c r="L22" i="82"/>
  <c r="L21" i="82"/>
  <c r="K22" i="82"/>
  <c r="J22" i="82"/>
  <c r="M39" i="82"/>
  <c r="M40" i="82"/>
  <c r="J38" i="82"/>
  <c r="J41" i="82"/>
  <c r="H23" i="82"/>
  <c r="C23" i="82"/>
  <c r="D22" i="82"/>
  <c r="G38" i="82"/>
  <c r="G37" i="82" s="1"/>
  <c r="L38" i="82"/>
  <c r="L37" i="82" s="1"/>
  <c r="E38" i="82"/>
  <c r="E37" i="82" s="1"/>
  <c r="H41" i="82"/>
  <c r="D38" i="82"/>
  <c r="D36" i="82" s="1"/>
  <c r="F38" i="82"/>
  <c r="F37" i="82" s="1"/>
  <c r="H38" i="82"/>
  <c r="C38" i="82"/>
  <c r="I38" i="82"/>
  <c r="K38" i="82"/>
  <c r="I41" i="82"/>
  <c r="D21" i="82"/>
  <c r="E22" i="82"/>
  <c r="F21" i="82"/>
  <c r="L23" i="82"/>
  <c r="F23" i="82"/>
  <c r="H22" i="82"/>
  <c r="K23" i="82"/>
  <c r="E23" i="82"/>
  <c r="G22" i="82"/>
  <c r="C22" i="82"/>
  <c r="I21" i="82"/>
  <c r="D23" i="82"/>
  <c r="F22" i="82"/>
  <c r="H21" i="82"/>
  <c r="C21" i="82"/>
  <c r="I22" i="82"/>
  <c r="E21" i="82"/>
  <c r="G23" i="82"/>
  <c r="G41" i="82"/>
  <c r="C41" i="82"/>
  <c r="F41" i="82"/>
  <c r="K41" i="82"/>
  <c r="E41" i="82"/>
  <c r="D41" i="82"/>
  <c r="G21" i="82"/>
  <c r="I23" i="82"/>
  <c r="DE66" i="79"/>
  <c r="DF66" i="79"/>
  <c r="DG66" i="79"/>
  <c r="DH66" i="79"/>
  <c r="DI66" i="79"/>
  <c r="DJ66" i="79"/>
  <c r="DK66" i="79"/>
  <c r="DY66" i="79"/>
  <c r="DZ66" i="79"/>
  <c r="EA66" i="79"/>
  <c r="EB66" i="79"/>
  <c r="EC66" i="79"/>
  <c r="ED66" i="79"/>
  <c r="EE66" i="79"/>
  <c r="FP69" i="79"/>
  <c r="FM29" i="79"/>
  <c r="FM28" i="79"/>
  <c r="FM27" i="79"/>
  <c r="FO29" i="79"/>
  <c r="FO28" i="79"/>
  <c r="FO27" i="79"/>
  <c r="FQ29" i="79"/>
  <c r="FQ28" i="79"/>
  <c r="FQ27" i="79"/>
  <c r="FS29" i="79"/>
  <c r="FS28" i="79"/>
  <c r="FS27" i="79"/>
  <c r="DA29" i="79"/>
  <c r="DA28" i="79"/>
  <c r="DA27" i="79"/>
  <c r="CY29" i="79"/>
  <c r="CY28" i="79"/>
  <c r="CY27" i="79"/>
  <c r="CW29" i="79"/>
  <c r="CW28" i="79"/>
  <c r="CW27" i="79"/>
  <c r="CU29" i="79"/>
  <c r="CU28" i="79"/>
  <c r="CU27" i="79"/>
  <c r="CQ31" i="79"/>
  <c r="CQ30" i="79"/>
  <c r="CO31" i="79"/>
  <c r="CO30" i="79"/>
  <c r="CY31" i="79" l="1"/>
  <c r="FO31" i="79"/>
  <c r="L36" i="82"/>
  <c r="FM30" i="79"/>
  <c r="FQ30" i="79"/>
  <c r="FM31" i="79"/>
  <c r="D37" i="82"/>
  <c r="DA31" i="79"/>
  <c r="CW31" i="79"/>
  <c r="J39" i="82"/>
  <c r="J40" i="82"/>
  <c r="J37" i="82"/>
  <c r="J36" i="82"/>
  <c r="E36" i="82"/>
  <c r="H37" i="82"/>
  <c r="H36" i="82"/>
  <c r="F36" i="82"/>
  <c r="I37" i="82"/>
  <c r="I36" i="82"/>
  <c r="K37" i="82"/>
  <c r="K36" i="82"/>
  <c r="H40" i="82"/>
  <c r="H39" i="82"/>
  <c r="G36" i="82"/>
  <c r="C37" i="82"/>
  <c r="C36" i="82"/>
  <c r="F39" i="82"/>
  <c r="F40" i="82"/>
  <c r="C39" i="82"/>
  <c r="C40" i="82"/>
  <c r="I40" i="82"/>
  <c r="I39" i="82"/>
  <c r="K39" i="82"/>
  <c r="K40" i="82"/>
  <c r="G39" i="82"/>
  <c r="G40" i="82"/>
  <c r="D39" i="82"/>
  <c r="D40" i="82"/>
  <c r="E39" i="82"/>
  <c r="E40" i="82"/>
  <c r="FQ31" i="79"/>
  <c r="CW30" i="79"/>
  <c r="FS30" i="79"/>
  <c r="DA30" i="79"/>
  <c r="CU31" i="79"/>
  <c r="CY30" i="79"/>
  <c r="FS31" i="79"/>
  <c r="FO30" i="79"/>
  <c r="CU30" i="79"/>
  <c r="CK31" i="79"/>
  <c r="CK30" i="79"/>
  <c r="CM31" i="79"/>
  <c r="CM30" i="79"/>
  <c r="EX20" i="79" l="1"/>
  <c r="EN20" i="79"/>
  <c r="I20" i="79"/>
  <c r="E20" i="79"/>
  <c r="DC22" i="79" l="1"/>
  <c r="DD22" i="79"/>
  <c r="DE22" i="79"/>
  <c r="DF22" i="79"/>
  <c r="DG22" i="79"/>
  <c r="DH22" i="79"/>
  <c r="DI22" i="79"/>
  <c r="DJ22" i="79"/>
  <c r="DK22" i="79"/>
  <c r="DB22" i="79"/>
  <c r="E21" i="79" l="1"/>
  <c r="EX69" i="79" l="1"/>
  <c r="DA69" i="79"/>
  <c r="CZ69" i="79"/>
  <c r="CY69" i="79"/>
  <c r="CW69" i="79"/>
  <c r="CV69" i="79"/>
  <c r="CU69" i="79"/>
  <c r="CT69" i="79"/>
  <c r="CS69" i="79"/>
  <c r="CR69" i="79"/>
  <c r="CN69" i="79"/>
  <c r="CX69" i="79" s="1"/>
  <c r="E69" i="79"/>
  <c r="EX68" i="79"/>
  <c r="EN68" i="79"/>
  <c r="CD68" i="79"/>
  <c r="O68" i="79"/>
  <c r="E68" i="79"/>
  <c r="EX67" i="79"/>
  <c r="EN67" i="79"/>
  <c r="CD67" i="79"/>
  <c r="O67" i="79"/>
  <c r="E67" i="79"/>
  <c r="EN66" i="79"/>
  <c r="EL66" i="79"/>
  <c r="EJ66" i="79"/>
  <c r="EH66" i="79"/>
  <c r="EG66" i="79"/>
  <c r="EF66" i="79"/>
  <c r="DX66" i="79"/>
  <c r="DW66" i="79"/>
  <c r="DV66" i="79"/>
  <c r="DD66" i="79"/>
  <c r="DC66" i="79"/>
  <c r="DB66" i="79"/>
  <c r="CQ66" i="79"/>
  <c r="CP66" i="79"/>
  <c r="CO66" i="79"/>
  <c r="CN66" i="79"/>
  <c r="CM66" i="79"/>
  <c r="CL66" i="79"/>
  <c r="CK66" i="79"/>
  <c r="CJ66" i="79"/>
  <c r="CI66" i="79"/>
  <c r="CH66" i="79"/>
  <c r="E66" i="79"/>
  <c r="EX65" i="79"/>
  <c r="EN65" i="79"/>
  <c r="E65" i="79"/>
  <c r="EX64" i="79"/>
  <c r="EV64" i="79"/>
  <c r="ET64" i="79"/>
  <c r="ER64" i="79"/>
  <c r="EQ64" i="79"/>
  <c r="EP64" i="79"/>
  <c r="EN64" i="79"/>
  <c r="O64" i="79"/>
  <c r="E64" i="79"/>
  <c r="O63" i="79"/>
  <c r="E63" i="79"/>
  <c r="CL62" i="79"/>
  <c r="O62" i="79"/>
  <c r="E62" i="79"/>
  <c r="O61" i="79"/>
  <c r="E61" i="79"/>
  <c r="O60" i="79"/>
  <c r="E60" i="79"/>
  <c r="EN59" i="79"/>
  <c r="EL59" i="79"/>
  <c r="EJ59" i="79"/>
  <c r="EH59" i="79"/>
  <c r="EG59" i="79"/>
  <c r="EF59" i="79"/>
  <c r="DK59" i="79"/>
  <c r="DJ59" i="79"/>
  <c r="DI59" i="79"/>
  <c r="DH59" i="79"/>
  <c r="DG59" i="79"/>
  <c r="DF59" i="79"/>
  <c r="DE59" i="79"/>
  <c r="DD59" i="79"/>
  <c r="DC59" i="79"/>
  <c r="DB59" i="79"/>
  <c r="O59" i="79"/>
  <c r="E59" i="79"/>
  <c r="EX58" i="79"/>
  <c r="EN58" i="79"/>
  <c r="O58" i="79"/>
  <c r="E58" i="79"/>
  <c r="B58" i="79"/>
  <c r="EX57" i="79"/>
  <c r="EN57" i="79"/>
  <c r="O57" i="79"/>
  <c r="E57" i="79"/>
  <c r="B57" i="79"/>
  <c r="EX56" i="79"/>
  <c r="EN56" i="79"/>
  <c r="O56" i="79"/>
  <c r="E56" i="79"/>
  <c r="B56" i="79"/>
  <c r="EX55" i="79"/>
  <c r="EN55" i="79"/>
  <c r="O55" i="79"/>
  <c r="E55" i="79"/>
  <c r="B55" i="79"/>
  <c r="EX54" i="79"/>
  <c r="EN54" i="79"/>
  <c r="O54" i="79"/>
  <c r="E54" i="79"/>
  <c r="B54" i="79"/>
  <c r="EX53" i="79"/>
  <c r="EN53" i="79"/>
  <c r="O53" i="79"/>
  <c r="E53" i="79"/>
  <c r="B53" i="79"/>
  <c r="EX52" i="79"/>
  <c r="EN52" i="79"/>
  <c r="O52" i="79"/>
  <c r="E52" i="79"/>
  <c r="B52" i="79"/>
  <c r="EX51" i="79"/>
  <c r="EN51" i="79"/>
  <c r="O51" i="79"/>
  <c r="E51" i="79"/>
  <c r="B51" i="79"/>
  <c r="EX50" i="79"/>
  <c r="EN50" i="79"/>
  <c r="O50" i="79"/>
  <c r="E50" i="79"/>
  <c r="B50" i="79"/>
  <c r="EX49" i="79"/>
  <c r="EN49" i="79"/>
  <c r="O49" i="79"/>
  <c r="E49" i="79"/>
  <c r="B49" i="79"/>
  <c r="EX48" i="79"/>
  <c r="EN48" i="79"/>
  <c r="O48" i="79"/>
  <c r="E48" i="79"/>
  <c r="B48" i="79"/>
  <c r="EX47" i="79"/>
  <c r="EN47" i="79"/>
  <c r="O47" i="79"/>
  <c r="E47" i="79"/>
  <c r="B47" i="79"/>
  <c r="EX46" i="79"/>
  <c r="EN46" i="79"/>
  <c r="O46" i="79"/>
  <c r="O37" i="79" s="1"/>
  <c r="E46" i="79"/>
  <c r="EX45" i="79"/>
  <c r="EN45" i="79"/>
  <c r="E45" i="79"/>
  <c r="EN44" i="79"/>
  <c r="DA44" i="79"/>
  <c r="CZ44" i="79"/>
  <c r="CY44" i="79"/>
  <c r="CX44" i="79"/>
  <c r="CW44" i="79"/>
  <c r="CV44" i="79"/>
  <c r="CU44" i="79"/>
  <c r="CT44" i="79"/>
  <c r="CS44" i="79"/>
  <c r="CR44" i="79"/>
  <c r="E44" i="79"/>
  <c r="O43" i="79"/>
  <c r="E43" i="79"/>
  <c r="E42" i="79"/>
  <c r="EX41" i="79"/>
  <c r="EN41" i="79"/>
  <c r="CZ41" i="79"/>
  <c r="CV41" i="79"/>
  <c r="CT41" i="79"/>
  <c r="CS41" i="79"/>
  <c r="CR41" i="79"/>
  <c r="CN41" i="79"/>
  <c r="CX41" i="79" s="1"/>
  <c r="E41" i="79"/>
  <c r="EX40" i="79"/>
  <c r="EN40" i="79"/>
  <c r="O40" i="79"/>
  <c r="E40" i="79"/>
  <c r="EX39" i="79"/>
  <c r="EN39" i="79"/>
  <c r="E39" i="79"/>
  <c r="EX38" i="79"/>
  <c r="EN38" i="79"/>
  <c r="O38" i="79"/>
  <c r="I38" i="79"/>
  <c r="E38" i="79"/>
  <c r="EX37" i="79"/>
  <c r="EN37" i="79"/>
  <c r="E37" i="79"/>
  <c r="EX36" i="79"/>
  <c r="EN36" i="79"/>
  <c r="O36" i="79"/>
  <c r="E36" i="79"/>
  <c r="EX35" i="79"/>
  <c r="EN35" i="79"/>
  <c r="O35" i="79"/>
  <c r="E35" i="79"/>
  <c r="E34" i="79"/>
  <c r="EX33" i="79"/>
  <c r="EN33" i="79"/>
  <c r="E33" i="79"/>
  <c r="EX32" i="79"/>
  <c r="EN32" i="79"/>
  <c r="O32" i="79"/>
  <c r="O33" i="79" s="1"/>
  <c r="E32" i="79"/>
  <c r="FI31" i="79"/>
  <c r="FH31" i="79"/>
  <c r="FG31" i="79"/>
  <c r="FF31" i="79"/>
  <c r="FE31" i="79"/>
  <c r="FD31" i="79"/>
  <c r="FC31" i="79"/>
  <c r="FB31" i="79"/>
  <c r="FA31" i="79"/>
  <c r="EZ31" i="79"/>
  <c r="ER31" i="79"/>
  <c r="EQ31" i="79"/>
  <c r="EP31" i="79"/>
  <c r="EH31" i="79"/>
  <c r="EG31" i="79"/>
  <c r="EF31" i="79"/>
  <c r="ED31" i="79"/>
  <c r="EB31" i="79"/>
  <c r="DZ31" i="79"/>
  <c r="DX31" i="79"/>
  <c r="DW31" i="79"/>
  <c r="DV31" i="79"/>
  <c r="DT31" i="79"/>
  <c r="DR31" i="79"/>
  <c r="DP31" i="79"/>
  <c r="DN31" i="79"/>
  <c r="DM31" i="79"/>
  <c r="DL31" i="79"/>
  <c r="DJ31" i="79"/>
  <c r="DH31" i="79"/>
  <c r="DF31" i="79"/>
  <c r="DD31" i="79"/>
  <c r="DC31" i="79"/>
  <c r="DB31" i="79"/>
  <c r="CP31" i="79"/>
  <c r="CL31" i="79"/>
  <c r="CJ31" i="79"/>
  <c r="CI31" i="79"/>
  <c r="CH31" i="79"/>
  <c r="CG31" i="79"/>
  <c r="CF31" i="79"/>
  <c r="CE31" i="79"/>
  <c r="CC31" i="79"/>
  <c r="CB31" i="79"/>
  <c r="CA31" i="79"/>
  <c r="BZ31" i="79"/>
  <c r="BY31" i="79"/>
  <c r="BX31" i="79"/>
  <c r="AS31" i="79"/>
  <c r="AR31" i="79"/>
  <c r="AQ31" i="79"/>
  <c r="AP31" i="79"/>
  <c r="AO31" i="79"/>
  <c r="AN31" i="79"/>
  <c r="AM31" i="79"/>
  <c r="AL31" i="79"/>
  <c r="AK31" i="79"/>
  <c r="AJ31" i="79"/>
  <c r="AI31" i="79"/>
  <c r="AH31" i="79"/>
  <c r="AG31" i="79"/>
  <c r="AF31" i="79"/>
  <c r="AE31" i="79"/>
  <c r="AD31" i="79"/>
  <c r="AC31" i="79"/>
  <c r="AB31" i="79"/>
  <c r="AA31" i="79"/>
  <c r="Z31" i="79"/>
  <c r="I31" i="79"/>
  <c r="E31" i="79"/>
  <c r="FI30" i="79"/>
  <c r="FH30" i="79"/>
  <c r="FG30" i="79"/>
  <c r="FF30" i="79"/>
  <c r="FE30" i="79"/>
  <c r="FD30" i="79"/>
  <c r="FC30" i="79"/>
  <c r="FB30" i="79"/>
  <c r="FA30" i="79"/>
  <c r="EZ30" i="79"/>
  <c r="ER30" i="79"/>
  <c r="EQ30" i="79"/>
  <c r="EP30" i="79"/>
  <c r="EH30" i="79"/>
  <c r="EG30" i="79"/>
  <c r="EF30" i="79"/>
  <c r="ED30" i="79"/>
  <c r="EB30" i="79"/>
  <c r="DZ30" i="79"/>
  <c r="DX30" i="79"/>
  <c r="DW30" i="79"/>
  <c r="DV30" i="79"/>
  <c r="DT30" i="79"/>
  <c r="DR30" i="79"/>
  <c r="DP30" i="79"/>
  <c r="DN30" i="79"/>
  <c r="DM30" i="79"/>
  <c r="DL30" i="79"/>
  <c r="DJ30" i="79"/>
  <c r="DH30" i="79"/>
  <c r="DF30" i="79"/>
  <c r="DD30" i="79"/>
  <c r="DC30" i="79"/>
  <c r="DB30" i="79"/>
  <c r="CP30" i="79"/>
  <c r="CL30" i="79"/>
  <c r="CJ30" i="79"/>
  <c r="CI30" i="79"/>
  <c r="CH30" i="79"/>
  <c r="CG30" i="79"/>
  <c r="CF30" i="79"/>
  <c r="CE30" i="79"/>
  <c r="CC30" i="79"/>
  <c r="CB30" i="79"/>
  <c r="CA30" i="79"/>
  <c r="BZ30" i="79"/>
  <c r="BY30" i="79"/>
  <c r="BX30" i="79"/>
  <c r="AS30" i="79"/>
  <c r="AR30" i="79"/>
  <c r="AQ30" i="79"/>
  <c r="AP30" i="79"/>
  <c r="AO30" i="79"/>
  <c r="AN30" i="79"/>
  <c r="AM30" i="79"/>
  <c r="AL30" i="79"/>
  <c r="AK30" i="79"/>
  <c r="AJ30" i="79"/>
  <c r="AI30" i="79"/>
  <c r="AH30" i="79"/>
  <c r="AG30" i="79"/>
  <c r="AF30" i="79"/>
  <c r="AE30" i="79"/>
  <c r="AD30" i="79"/>
  <c r="AC30" i="79"/>
  <c r="AB30" i="79"/>
  <c r="AA30" i="79"/>
  <c r="Z30" i="79"/>
  <c r="I30" i="79"/>
  <c r="E30" i="79"/>
  <c r="FR29" i="79"/>
  <c r="FP29" i="79"/>
  <c r="FN29" i="79"/>
  <c r="FL29" i="79"/>
  <c r="FK29" i="79"/>
  <c r="FJ29" i="79"/>
  <c r="EX29" i="79"/>
  <c r="EN29" i="79"/>
  <c r="CZ29" i="79"/>
  <c r="CV29" i="79"/>
  <c r="CT29" i="79"/>
  <c r="CS29" i="79"/>
  <c r="CR29" i="79"/>
  <c r="CN29" i="79"/>
  <c r="CX29" i="79" s="1"/>
  <c r="CD29" i="79"/>
  <c r="I29" i="79"/>
  <c r="E29" i="79"/>
  <c r="FR28" i="79"/>
  <c r="FP28" i="79"/>
  <c r="FN28" i="79"/>
  <c r="FL28" i="79"/>
  <c r="FK28" i="79"/>
  <c r="FJ28" i="79"/>
  <c r="EX28" i="79"/>
  <c r="EN28" i="79"/>
  <c r="CZ28" i="79"/>
  <c r="CV28" i="79"/>
  <c r="CT28" i="79"/>
  <c r="CS28" i="79"/>
  <c r="CR28" i="79"/>
  <c r="CN28" i="79"/>
  <c r="CX28" i="79" s="1"/>
  <c r="O28" i="79"/>
  <c r="O34" i="79" s="1"/>
  <c r="I28" i="79"/>
  <c r="E28" i="79"/>
  <c r="FR27" i="79"/>
  <c r="FP27" i="79"/>
  <c r="FN27" i="79"/>
  <c r="FL27" i="79"/>
  <c r="FK27" i="79"/>
  <c r="FJ27" i="79"/>
  <c r="EX27" i="79"/>
  <c r="EN27" i="79"/>
  <c r="CZ27" i="79"/>
  <c r="CV27" i="79"/>
  <c r="CT27" i="79"/>
  <c r="CS27" i="79"/>
  <c r="CR27" i="79"/>
  <c r="CN27" i="79"/>
  <c r="CX27" i="79" s="1"/>
  <c r="CD27" i="79"/>
  <c r="CD30" i="79" s="1"/>
  <c r="P27" i="79"/>
  <c r="I27" i="79"/>
  <c r="E27" i="79"/>
  <c r="EX26" i="79"/>
  <c r="EN26" i="79"/>
  <c r="DA26" i="79"/>
  <c r="CZ26" i="79"/>
  <c r="CY26" i="79"/>
  <c r="CX26" i="79"/>
  <c r="CW26" i="79"/>
  <c r="CV26" i="79"/>
  <c r="CU26" i="79"/>
  <c r="CT26" i="79"/>
  <c r="CS26" i="79"/>
  <c r="CR26" i="79"/>
  <c r="CG26" i="79"/>
  <c r="CF26" i="79"/>
  <c r="CE26" i="79"/>
  <c r="CD26" i="79"/>
  <c r="CC26" i="79"/>
  <c r="CA26" i="79"/>
  <c r="BZ26" i="79"/>
  <c r="BX26" i="79"/>
  <c r="E26" i="79"/>
  <c r="B26" i="79"/>
  <c r="EX25" i="79"/>
  <c r="EN25" i="79"/>
  <c r="DA25" i="79"/>
  <c r="CZ25" i="79"/>
  <c r="CY25" i="79"/>
  <c r="CX25" i="79"/>
  <c r="CW25" i="79"/>
  <c r="CV25" i="79"/>
  <c r="CU25" i="79"/>
  <c r="CT25" i="79"/>
  <c r="CS25" i="79"/>
  <c r="CR25" i="79"/>
  <c r="E25" i="79"/>
  <c r="B25" i="79"/>
  <c r="I16" i="79" s="1"/>
  <c r="EX24" i="79"/>
  <c r="EN24" i="79"/>
  <c r="DA24" i="79"/>
  <c r="CZ24" i="79"/>
  <c r="CY24" i="79"/>
  <c r="CX24" i="79"/>
  <c r="CW24" i="79"/>
  <c r="CV24" i="79"/>
  <c r="CU24" i="79"/>
  <c r="CT24" i="79"/>
  <c r="CS24" i="79"/>
  <c r="CR24" i="79"/>
  <c r="E24" i="79"/>
  <c r="I23" i="79"/>
  <c r="H23" i="79"/>
  <c r="E23" i="79"/>
  <c r="I22" i="79"/>
  <c r="E22" i="79"/>
  <c r="EX11" i="79"/>
  <c r="EN11" i="79"/>
  <c r="CT11" i="79"/>
  <c r="CS11" i="79"/>
  <c r="CR11" i="79"/>
  <c r="CQ11" i="79"/>
  <c r="DA11" i="79" s="1"/>
  <c r="CP11" i="79"/>
  <c r="CZ11" i="79" s="1"/>
  <c r="CO11" i="79"/>
  <c r="CY11" i="79" s="1"/>
  <c r="CM11" i="79"/>
  <c r="CW11" i="79" s="1"/>
  <c r="CL11" i="79"/>
  <c r="CV11" i="79" s="1"/>
  <c r="CK11" i="79"/>
  <c r="CU11" i="79" s="1"/>
  <c r="I11" i="79"/>
  <c r="E11" i="79"/>
  <c r="EX10" i="79"/>
  <c r="EN10" i="79"/>
  <c r="EB10" i="79"/>
  <c r="O10" i="79"/>
  <c r="O21" i="79" s="1"/>
  <c r="I10" i="79"/>
  <c r="E10" i="79"/>
  <c r="EX9" i="79"/>
  <c r="EN9" i="79"/>
  <c r="I9" i="79"/>
  <c r="E9" i="79"/>
  <c r="FS8" i="79"/>
  <c r="FR8" i="79"/>
  <c r="FQ8" i="79"/>
  <c r="FP8" i="79"/>
  <c r="FO8" i="79"/>
  <c r="FN8" i="79"/>
  <c r="FM8" i="79"/>
  <c r="FL8" i="79"/>
  <c r="FK8" i="79"/>
  <c r="FJ8" i="79"/>
  <c r="FI8" i="79"/>
  <c r="FH8" i="79"/>
  <c r="FG8" i="79"/>
  <c r="FF8" i="79"/>
  <c r="FE8" i="79"/>
  <c r="FD8" i="79"/>
  <c r="FC8" i="79"/>
  <c r="FB8" i="79"/>
  <c r="FA8" i="79"/>
  <c r="EZ8" i="79"/>
  <c r="EY8" i="79"/>
  <c r="EX8" i="79"/>
  <c r="EW8" i="79"/>
  <c r="EV8" i="79"/>
  <c r="EU8" i="79"/>
  <c r="ET8" i="79"/>
  <c r="ES8" i="79"/>
  <c r="ER8" i="79"/>
  <c r="EQ8" i="79"/>
  <c r="EP8" i="79"/>
  <c r="EO8" i="79"/>
  <c r="EN8" i="79"/>
  <c r="EM8" i="79"/>
  <c r="EL8" i="79"/>
  <c r="EK8" i="79"/>
  <c r="EJ8" i="79"/>
  <c r="EI8" i="79"/>
  <c r="EH8" i="79"/>
  <c r="EG8" i="79"/>
  <c r="EF8" i="79"/>
  <c r="EE8" i="79"/>
  <c r="ED8" i="79"/>
  <c r="EC8" i="79"/>
  <c r="EB8" i="79"/>
  <c r="EA8" i="79"/>
  <c r="DZ8" i="79"/>
  <c r="DY8" i="79"/>
  <c r="DX8" i="79"/>
  <c r="DW8" i="79"/>
  <c r="DV8" i="79"/>
  <c r="DU8" i="79"/>
  <c r="DT8" i="79"/>
  <c r="DS8" i="79"/>
  <c r="DR8" i="79"/>
  <c r="DQ8" i="79"/>
  <c r="DP8" i="79"/>
  <c r="DO8" i="79"/>
  <c r="DN8" i="79"/>
  <c r="DM8" i="79"/>
  <c r="DL8" i="79"/>
  <c r="DK8" i="79"/>
  <c r="DJ8" i="79"/>
  <c r="DI8" i="79"/>
  <c r="DH8" i="79"/>
  <c r="DG8" i="79"/>
  <c r="DF8" i="79"/>
  <c r="DE8" i="79"/>
  <c r="DD8" i="79"/>
  <c r="DC8" i="79"/>
  <c r="DB8" i="79"/>
  <c r="DA8" i="79"/>
  <c r="CZ8" i="79"/>
  <c r="CY8" i="79"/>
  <c r="CX8" i="79"/>
  <c r="CW8" i="79"/>
  <c r="CV8" i="79"/>
  <c r="CU8" i="79"/>
  <c r="CT8" i="79"/>
  <c r="CS8" i="79"/>
  <c r="CR8" i="79"/>
  <c r="CQ8" i="79"/>
  <c r="CP8" i="79"/>
  <c r="CO8" i="79"/>
  <c r="CN8" i="79"/>
  <c r="CM8" i="79"/>
  <c r="CL8" i="79"/>
  <c r="CK8" i="79"/>
  <c r="CJ8" i="79"/>
  <c r="CI8" i="79"/>
  <c r="CH8" i="79"/>
  <c r="CG8" i="79"/>
  <c r="CF8" i="79"/>
  <c r="CE8" i="79"/>
  <c r="CD8" i="79"/>
  <c r="CC8" i="79"/>
  <c r="CB8" i="79"/>
  <c r="CA8" i="79"/>
  <c r="BZ8" i="79"/>
  <c r="BY8" i="79"/>
  <c r="BX8" i="79"/>
  <c r="BW8" i="79"/>
  <c r="BV8" i="79"/>
  <c r="BU8" i="79"/>
  <c r="BT8" i="79"/>
  <c r="BS8" i="79"/>
  <c r="BR8" i="79"/>
  <c r="BQ8" i="79"/>
  <c r="BP8" i="79"/>
  <c r="BO8" i="79"/>
  <c r="BN8" i="79"/>
  <c r="BM8" i="79"/>
  <c r="BL8" i="79"/>
  <c r="BK8" i="79"/>
  <c r="BJ8" i="79"/>
  <c r="BI8" i="79"/>
  <c r="BH8" i="79"/>
  <c r="BG8" i="79"/>
  <c r="BF8" i="79"/>
  <c r="BE8" i="79"/>
  <c r="BD8" i="79"/>
  <c r="BC8" i="79"/>
  <c r="BB8" i="79"/>
  <c r="BA8" i="79"/>
  <c r="AZ8" i="79"/>
  <c r="AY8" i="79"/>
  <c r="AX8" i="79"/>
  <c r="AW8" i="79"/>
  <c r="AV8" i="79"/>
  <c r="AU8" i="79"/>
  <c r="AT8" i="79"/>
  <c r="AS8" i="79"/>
  <c r="AR8" i="79"/>
  <c r="AQ8" i="79"/>
  <c r="AP8" i="79"/>
  <c r="AO8" i="79"/>
  <c r="AN8" i="79"/>
  <c r="AM8" i="79"/>
  <c r="AL8" i="79"/>
  <c r="AK8" i="79"/>
  <c r="AJ8" i="79"/>
  <c r="AI8" i="79"/>
  <c r="AH8" i="79"/>
  <c r="AG8" i="79"/>
  <c r="AF8" i="79"/>
  <c r="AE8" i="79"/>
  <c r="AD8" i="79"/>
  <c r="AC8" i="79"/>
  <c r="AB8" i="79"/>
  <c r="AA8" i="79"/>
  <c r="Z8" i="79"/>
  <c r="Y8" i="79"/>
  <c r="X8" i="79"/>
  <c r="W8" i="79"/>
  <c r="V8" i="79"/>
  <c r="U8" i="79"/>
  <c r="T8" i="79"/>
  <c r="S8" i="79"/>
  <c r="R8" i="79"/>
  <c r="Q8" i="79"/>
  <c r="P8" i="79"/>
  <c r="O8" i="79"/>
  <c r="N8" i="79"/>
  <c r="M8" i="79"/>
  <c r="L8" i="79"/>
  <c r="K8" i="79"/>
  <c r="J8" i="79"/>
  <c r="I8" i="79"/>
  <c r="H8" i="79"/>
  <c r="G8" i="79"/>
  <c r="F8" i="79"/>
  <c r="FS7" i="79"/>
  <c r="FR7" i="79"/>
  <c r="FQ7" i="79"/>
  <c r="FP7" i="79"/>
  <c r="FO7" i="79"/>
  <c r="FN7" i="79"/>
  <c r="FM7" i="79"/>
  <c r="FL7" i="79"/>
  <c r="FK7" i="79"/>
  <c r="FJ7" i="79"/>
  <c r="FI7" i="79"/>
  <c r="FH7" i="79"/>
  <c r="FG7" i="79"/>
  <c r="FF7" i="79"/>
  <c r="FE7" i="79"/>
  <c r="FD7" i="79"/>
  <c r="FC7" i="79"/>
  <c r="FB7" i="79"/>
  <c r="FA7" i="79"/>
  <c r="EZ7" i="79"/>
  <c r="EY7" i="79"/>
  <c r="EX7" i="79"/>
  <c r="EW7" i="79"/>
  <c r="EV7" i="79"/>
  <c r="EU7" i="79"/>
  <c r="ET7" i="79"/>
  <c r="ES7" i="79"/>
  <c r="ER7" i="79"/>
  <c r="EQ7" i="79"/>
  <c r="EP7" i="79"/>
  <c r="EO7" i="79"/>
  <c r="EN7" i="79"/>
  <c r="EM7" i="79"/>
  <c r="EL7" i="79"/>
  <c r="EK7" i="79"/>
  <c r="EJ7" i="79"/>
  <c r="EI7" i="79"/>
  <c r="EH7" i="79"/>
  <c r="EG7" i="79"/>
  <c r="EF7" i="79"/>
  <c r="EE7" i="79"/>
  <c r="ED7" i="79"/>
  <c r="EC7" i="79"/>
  <c r="EB7" i="79"/>
  <c r="EA7" i="79"/>
  <c r="DZ7" i="79"/>
  <c r="DY7" i="79"/>
  <c r="DX7" i="79"/>
  <c r="DW7" i="79"/>
  <c r="DV7" i="79"/>
  <c r="DU7" i="79"/>
  <c r="DT7" i="79"/>
  <c r="DS7" i="79"/>
  <c r="DR7" i="79"/>
  <c r="DQ7" i="79"/>
  <c r="DP7" i="79"/>
  <c r="DO7" i="79"/>
  <c r="DN7" i="79"/>
  <c r="DM7" i="79"/>
  <c r="DL7" i="79"/>
  <c r="DK7" i="79"/>
  <c r="DJ7" i="79"/>
  <c r="DI7" i="79"/>
  <c r="DH7" i="79"/>
  <c r="DG7" i="79"/>
  <c r="DF7" i="79"/>
  <c r="DE7" i="79"/>
  <c r="DD7" i="79"/>
  <c r="DC7" i="79"/>
  <c r="DB7" i="79"/>
  <c r="DA7" i="79"/>
  <c r="CZ7" i="79"/>
  <c r="CY7" i="79"/>
  <c r="CX7" i="79"/>
  <c r="CW7" i="79"/>
  <c r="CV7" i="79"/>
  <c r="CU7" i="79"/>
  <c r="CT7" i="79"/>
  <c r="CS7" i="79"/>
  <c r="CR7" i="79"/>
  <c r="CQ7" i="79"/>
  <c r="CP7" i="79"/>
  <c r="CO7" i="79"/>
  <c r="CN7" i="79"/>
  <c r="CM7" i="79"/>
  <c r="CL7" i="79"/>
  <c r="CK7" i="79"/>
  <c r="CJ7" i="79"/>
  <c r="CI7" i="79"/>
  <c r="CH7" i="79"/>
  <c r="CG7" i="79"/>
  <c r="CF7" i="79"/>
  <c r="CE7" i="79"/>
  <c r="CD7" i="79"/>
  <c r="CC7" i="79"/>
  <c r="CB7" i="79"/>
  <c r="CA7" i="79"/>
  <c r="BZ7" i="79"/>
  <c r="BY7" i="79"/>
  <c r="BX7" i="79"/>
  <c r="BW7" i="79"/>
  <c r="BV7" i="79"/>
  <c r="BU7" i="79"/>
  <c r="BT7" i="79"/>
  <c r="BS7" i="79"/>
  <c r="BR7" i="79"/>
  <c r="BQ7" i="79"/>
  <c r="BP7" i="79"/>
  <c r="BO7" i="79"/>
  <c r="BN7" i="79"/>
  <c r="BM7" i="79"/>
  <c r="BL7" i="79"/>
  <c r="BK7" i="79"/>
  <c r="BJ7" i="79"/>
  <c r="BI7" i="79"/>
  <c r="BH7" i="79"/>
  <c r="BG7" i="79"/>
  <c r="BF7" i="79"/>
  <c r="BE7" i="79"/>
  <c r="BD7" i="79"/>
  <c r="BC7" i="79"/>
  <c r="BB7" i="79"/>
  <c r="BA7" i="79"/>
  <c r="AZ7" i="79"/>
  <c r="AY7" i="79"/>
  <c r="AX7" i="79"/>
  <c r="AW7" i="79"/>
  <c r="AV7" i="79"/>
  <c r="AU7" i="79"/>
  <c r="AT7" i="79"/>
  <c r="AS7" i="79"/>
  <c r="AR7" i="79"/>
  <c r="AQ7" i="79"/>
  <c r="AP7" i="79"/>
  <c r="AO7" i="79"/>
  <c r="AN7" i="79"/>
  <c r="AM7" i="79"/>
  <c r="AL7" i="79"/>
  <c r="AK7" i="79"/>
  <c r="AJ7" i="79"/>
  <c r="AI7" i="79"/>
  <c r="AH7" i="79"/>
  <c r="AG7" i="79"/>
  <c r="AF7" i="79"/>
  <c r="AE7" i="79"/>
  <c r="AD7" i="79"/>
  <c r="AC7" i="79"/>
  <c r="AB7" i="79"/>
  <c r="AA7" i="79"/>
  <c r="Z7" i="79"/>
  <c r="Y7" i="79"/>
  <c r="X7" i="79"/>
  <c r="W7" i="79"/>
  <c r="V7" i="79"/>
  <c r="U7" i="79"/>
  <c r="T7" i="79"/>
  <c r="S7" i="79"/>
  <c r="R7" i="79"/>
  <c r="Q7" i="79"/>
  <c r="P7" i="79"/>
  <c r="O7" i="79"/>
  <c r="N7" i="79"/>
  <c r="M7" i="79"/>
  <c r="L7" i="79"/>
  <c r="K7" i="79"/>
  <c r="J7" i="79"/>
  <c r="I7" i="79"/>
  <c r="H7" i="79"/>
  <c r="F7" i="79"/>
  <c r="G5" i="79"/>
  <c r="C3" i="79"/>
  <c r="B3" i="79"/>
  <c r="FP30" i="79" l="1"/>
  <c r="H34" i="80"/>
  <c r="H35" i="80"/>
  <c r="FN30" i="79"/>
  <c r="CX31" i="79"/>
  <c r="G7" i="79"/>
  <c r="H11" i="80" s="1"/>
  <c r="F11" i="80" s="1"/>
  <c r="O3" i="80"/>
  <c r="H29" i="80"/>
  <c r="H31" i="80"/>
  <c r="H28" i="80"/>
  <c r="H30" i="80"/>
  <c r="H20" i="80"/>
  <c r="H19" i="80"/>
  <c r="H21" i="80"/>
  <c r="H18" i="80"/>
  <c r="H26" i="80"/>
  <c r="H22" i="80"/>
  <c r="H17" i="80"/>
  <c r="H23" i="80"/>
  <c r="H16" i="80"/>
  <c r="H24" i="80"/>
  <c r="H15" i="80"/>
  <c r="H27" i="80"/>
  <c r="H25" i="80"/>
  <c r="H14" i="80"/>
  <c r="H13" i="80"/>
  <c r="CV31" i="79"/>
  <c r="FK30" i="79"/>
  <c r="ET56" i="79"/>
  <c r="ET20" i="79"/>
  <c r="EJ20" i="79"/>
  <c r="CZ31" i="79"/>
  <c r="FR31" i="79"/>
  <c r="EV65" i="79"/>
  <c r="EL20" i="79"/>
  <c r="EV20" i="79"/>
  <c r="EN31" i="79"/>
  <c r="FP31" i="79"/>
  <c r="BY26" i="79"/>
  <c r="CN30" i="79"/>
  <c r="CR30" i="79"/>
  <c r="FJ30" i="79"/>
  <c r="CS30" i="79"/>
  <c r="FK31" i="79"/>
  <c r="CT30" i="79"/>
  <c r="FL30" i="79"/>
  <c r="CT31" i="79"/>
  <c r="EX31" i="79"/>
  <c r="ET9" i="79"/>
  <c r="EL10" i="79"/>
  <c r="EJ24" i="79"/>
  <c r="ET26" i="79"/>
  <c r="EL27" i="79"/>
  <c r="EL28" i="79"/>
  <c r="EJ29" i="79"/>
  <c r="CV30" i="79"/>
  <c r="EX30" i="79"/>
  <c r="FR30" i="79"/>
  <c r="CD31" i="79"/>
  <c r="CN31" i="79"/>
  <c r="FJ31" i="79"/>
  <c r="EJ32" i="79"/>
  <c r="EJ33" i="79"/>
  <c r="EV37" i="79"/>
  <c r="ET38" i="79"/>
  <c r="EV39" i="79"/>
  <c r="EV40" i="79"/>
  <c r="EV48" i="79"/>
  <c r="ET49" i="79"/>
  <c r="EL51" i="79"/>
  <c r="EJ52" i="79"/>
  <c r="EV56" i="79"/>
  <c r="ET57" i="79"/>
  <c r="EV9" i="79"/>
  <c r="EJ11" i="79"/>
  <c r="EL24" i="79"/>
  <c r="EV26" i="79"/>
  <c r="EL29" i="79"/>
  <c r="CX30" i="79"/>
  <c r="EL32" i="79"/>
  <c r="EL33" i="79"/>
  <c r="EV38" i="79"/>
  <c r="EV49" i="79"/>
  <c r="ET50" i="79"/>
  <c r="EL52" i="79"/>
  <c r="EJ53" i="79"/>
  <c r="EV57" i="79"/>
  <c r="ET58" i="79"/>
  <c r="EJ64" i="79"/>
  <c r="EJ67" i="79"/>
  <c r="ET10" i="79"/>
  <c r="EL11" i="79"/>
  <c r="EJ25" i="79"/>
  <c r="ET27" i="79"/>
  <c r="ET28" i="79"/>
  <c r="CZ30" i="79"/>
  <c r="EN30" i="79"/>
  <c r="CR31" i="79"/>
  <c r="FL31" i="79"/>
  <c r="EJ35" i="79"/>
  <c r="EJ36" i="79"/>
  <c r="EJ41" i="79"/>
  <c r="EJ45" i="79"/>
  <c r="EJ46" i="79"/>
  <c r="EV50" i="79"/>
  <c r="ET51" i="79"/>
  <c r="EL53" i="79"/>
  <c r="EJ54" i="79"/>
  <c r="EV58" i="79"/>
  <c r="EL64" i="79"/>
  <c r="EL67" i="79"/>
  <c r="EJ68" i="79"/>
  <c r="EV10" i="79"/>
  <c r="CN11" i="79"/>
  <c r="CX11" i="79" s="1"/>
  <c r="ET24" i="79"/>
  <c r="EL25" i="79"/>
  <c r="EV27" i="79"/>
  <c r="EV28" i="79"/>
  <c r="ET29" i="79"/>
  <c r="CS31" i="79"/>
  <c r="FN31" i="79"/>
  <c r="ET32" i="79"/>
  <c r="ET33" i="79"/>
  <c r="EL35" i="79"/>
  <c r="EL36" i="79"/>
  <c r="EL41" i="79"/>
  <c r="EL45" i="79"/>
  <c r="EL46" i="79"/>
  <c r="EJ47" i="79"/>
  <c r="EV51" i="79"/>
  <c r="ET52" i="79"/>
  <c r="EL54" i="79"/>
  <c r="EJ55" i="79"/>
  <c r="EJ65" i="79"/>
  <c r="EL68" i="79"/>
  <c r="ET11" i="79"/>
  <c r="EV24" i="79"/>
  <c r="EV29" i="79"/>
  <c r="EV32" i="79"/>
  <c r="EV33" i="79"/>
  <c r="EJ37" i="79"/>
  <c r="EJ39" i="79"/>
  <c r="EJ40" i="79"/>
  <c r="EL47" i="79"/>
  <c r="EJ48" i="79"/>
  <c r="EV52" i="79"/>
  <c r="ET53" i="79"/>
  <c r="EL55" i="79"/>
  <c r="EJ56" i="79"/>
  <c r="EL65" i="79"/>
  <c r="ET67" i="79"/>
  <c r="ET69" i="79"/>
  <c r="EJ9" i="79"/>
  <c r="EV11" i="79"/>
  <c r="ET25" i="79"/>
  <c r="EJ26" i="79"/>
  <c r="O29" i="79"/>
  <c r="O31" i="79" s="1"/>
  <c r="ET35" i="79"/>
  <c r="ET36" i="79"/>
  <c r="EL37" i="79"/>
  <c r="EJ38" i="79"/>
  <c r="EL39" i="79"/>
  <c r="EL40" i="79"/>
  <c r="ET41" i="79"/>
  <c r="ET45" i="79"/>
  <c r="ET46" i="79"/>
  <c r="EL48" i="79"/>
  <c r="EJ49" i="79"/>
  <c r="EV53" i="79"/>
  <c r="ET54" i="79"/>
  <c r="EL56" i="79"/>
  <c r="EJ57" i="79"/>
  <c r="EV67" i="79"/>
  <c r="ET68" i="79"/>
  <c r="EV69" i="79"/>
  <c r="EL9" i="79"/>
  <c r="EV25" i="79"/>
  <c r="EL26" i="79"/>
  <c r="O30" i="79"/>
  <c r="EV35" i="79"/>
  <c r="EV36" i="79"/>
  <c r="EL38" i="79"/>
  <c r="EV41" i="79"/>
  <c r="EJ44" i="79"/>
  <c r="EV45" i="79"/>
  <c r="EV46" i="79"/>
  <c r="ET47" i="79"/>
  <c r="EL49" i="79"/>
  <c r="EJ50" i="79"/>
  <c r="EV54" i="79"/>
  <c r="ET55" i="79"/>
  <c r="EL57" i="79"/>
  <c r="EJ58" i="79"/>
  <c r="ET65" i="79"/>
  <c r="EV68" i="79"/>
  <c r="EJ10" i="79"/>
  <c r="EJ27" i="79"/>
  <c r="EJ28" i="79"/>
  <c r="ET37" i="79"/>
  <c r="ET39" i="79"/>
  <c r="ET40" i="79"/>
  <c r="EL44" i="79"/>
  <c r="EV47" i="79"/>
  <c r="ET48" i="79"/>
  <c r="EL50" i="79"/>
  <c r="EJ51" i="79"/>
  <c r="EV55" i="79"/>
  <c r="EL58" i="79"/>
  <c r="H10" i="80" l="1"/>
  <c r="F10" i="80" s="1"/>
  <c r="H8" i="80"/>
  <c r="H12" i="80"/>
  <c r="F12" i="80" s="1"/>
  <c r="H5" i="80"/>
  <c r="F5" i="80" s="1"/>
  <c r="H6" i="80"/>
  <c r="F6" i="80" s="1"/>
  <c r="H7" i="80"/>
  <c r="F7" i="80" s="1"/>
  <c r="H4" i="80"/>
  <c r="F4" i="80" s="1"/>
  <c r="H36" i="80"/>
  <c r="F36" i="80" s="1"/>
  <c r="H9" i="80"/>
  <c r="F9" i="80" s="1"/>
  <c r="H32" i="80"/>
  <c r="F32" i="80" s="1"/>
  <c r="H37" i="80"/>
  <c r="F37" i="80" s="1"/>
  <c r="H33" i="80"/>
  <c r="F33" i="80" s="1"/>
  <c r="EJ31" i="79"/>
  <c r="EJ30" i="79"/>
  <c r="EL31" i="79"/>
  <c r="EL30" i="79"/>
  <c r="EV30" i="79"/>
  <c r="EV31" i="79"/>
  <c r="ET30" i="79"/>
  <c r="ET31" i="79"/>
  <c r="I25" i="100" l="1"/>
  <c r="G25" i="100"/>
  <c r="A25" i="100"/>
  <c r="I24" i="100"/>
  <c r="G24" i="100"/>
  <c r="A24" i="100"/>
  <c r="I23" i="100"/>
  <c r="G23" i="100"/>
  <c r="A23" i="100"/>
  <c r="I22" i="100"/>
  <c r="G22" i="100"/>
  <c r="A22" i="100"/>
  <c r="I21" i="100"/>
  <c r="G21" i="100"/>
  <c r="A21" i="100"/>
  <c r="I20" i="100"/>
  <c r="G20" i="100"/>
  <c r="A20" i="100"/>
  <c r="I19" i="100"/>
  <c r="G19" i="100"/>
  <c r="A19" i="100"/>
  <c r="I18" i="100"/>
  <c r="G18" i="100"/>
  <c r="A18" i="100"/>
  <c r="I17" i="100"/>
  <c r="G17" i="100"/>
  <c r="A17" i="100"/>
  <c r="I16" i="100"/>
  <c r="G16" i="100"/>
  <c r="A16" i="100"/>
  <c r="I15" i="100"/>
  <c r="G15" i="100"/>
  <c r="A15" i="100"/>
  <c r="I14" i="100"/>
  <c r="G14" i="100"/>
  <c r="A14" i="100"/>
  <c r="I13" i="100"/>
  <c r="G13" i="100"/>
  <c r="A13" i="100"/>
  <c r="I12" i="100"/>
  <c r="G12" i="100"/>
  <c r="A12" i="100"/>
  <c r="I11" i="100"/>
  <c r="G11" i="100"/>
  <c r="A11" i="100"/>
  <c r="I10" i="100"/>
  <c r="G10" i="100"/>
  <c r="A10" i="100"/>
  <c r="I9" i="100"/>
  <c r="G9" i="100"/>
  <c r="A9" i="100"/>
  <c r="I8" i="100"/>
  <c r="G8" i="100"/>
  <c r="A8" i="100"/>
  <c r="I127" i="100" l="1"/>
  <c r="G127" i="100"/>
  <c r="A127" i="100"/>
  <c r="I126" i="100"/>
  <c r="G126" i="100"/>
  <c r="A126" i="100"/>
  <c r="I125" i="100"/>
  <c r="G125" i="100"/>
  <c r="A125" i="100"/>
  <c r="I124" i="100"/>
  <c r="G124" i="100"/>
  <c r="A124" i="100"/>
  <c r="I123" i="100"/>
  <c r="G123" i="100"/>
  <c r="A123" i="100"/>
  <c r="I122" i="100"/>
  <c r="G122" i="100"/>
  <c r="A122" i="100"/>
  <c r="I121" i="100"/>
  <c r="G121" i="100"/>
  <c r="A121" i="100"/>
  <c r="I120" i="100"/>
  <c r="G120" i="100"/>
  <c r="A120" i="100"/>
  <c r="I119" i="100"/>
  <c r="G119" i="100"/>
  <c r="A119" i="100"/>
  <c r="I118" i="100"/>
  <c r="G118" i="100"/>
  <c r="A118" i="100"/>
  <c r="I117" i="100"/>
  <c r="G117" i="100"/>
  <c r="A117" i="100"/>
  <c r="I116" i="100"/>
  <c r="G116" i="100"/>
  <c r="A116" i="100"/>
  <c r="I115" i="100"/>
  <c r="G115" i="100"/>
  <c r="A115" i="100"/>
  <c r="I114" i="100"/>
  <c r="G114" i="100"/>
  <c r="A114" i="100"/>
  <c r="I113" i="100"/>
  <c r="G113" i="100"/>
  <c r="A113" i="100"/>
  <c r="I112" i="100"/>
  <c r="G112" i="100"/>
  <c r="A112" i="100"/>
  <c r="I111" i="100"/>
  <c r="G111" i="100"/>
  <c r="A111" i="100"/>
  <c r="I110" i="100"/>
  <c r="G110" i="100"/>
  <c r="A110" i="100"/>
  <c r="I109" i="100"/>
  <c r="G109" i="100"/>
  <c r="A109" i="100"/>
  <c r="I108" i="100"/>
  <c r="G108" i="100"/>
  <c r="A108" i="100"/>
  <c r="I107" i="100"/>
  <c r="G107" i="100"/>
  <c r="A107" i="100"/>
  <c r="I106" i="100"/>
  <c r="G106" i="100"/>
  <c r="A106" i="100"/>
  <c r="I105" i="100"/>
  <c r="G105" i="100"/>
  <c r="A105" i="100"/>
  <c r="I104" i="100"/>
  <c r="G104" i="100"/>
  <c r="A104" i="100"/>
  <c r="I103" i="100"/>
  <c r="G103" i="100"/>
  <c r="A103" i="100"/>
  <c r="I102" i="100"/>
  <c r="G102" i="100"/>
  <c r="A102" i="100"/>
  <c r="I101" i="100"/>
  <c r="G101" i="100"/>
  <c r="A101" i="100"/>
  <c r="I100" i="100"/>
  <c r="G100" i="100"/>
  <c r="A100" i="100"/>
  <c r="I99" i="100"/>
  <c r="G99" i="100"/>
  <c r="A99" i="100"/>
  <c r="I98" i="100"/>
  <c r="G98" i="100"/>
  <c r="A98" i="100"/>
  <c r="I97" i="100"/>
  <c r="G97" i="100"/>
  <c r="A97" i="100"/>
  <c r="I96" i="100"/>
  <c r="G96" i="100"/>
  <c r="A96" i="100"/>
  <c r="I95" i="100"/>
  <c r="G95" i="100"/>
  <c r="A95" i="100"/>
  <c r="I94" i="100"/>
  <c r="G94" i="100"/>
  <c r="A94" i="100"/>
  <c r="I93" i="100"/>
  <c r="G93" i="100"/>
  <c r="A93" i="100"/>
  <c r="I92" i="100"/>
  <c r="G92" i="100"/>
  <c r="A92" i="100"/>
  <c r="I91" i="100" l="1"/>
  <c r="G91" i="100"/>
  <c r="A91" i="100"/>
  <c r="I90" i="100"/>
  <c r="G90" i="100"/>
  <c r="A90" i="100"/>
  <c r="I89" i="100"/>
  <c r="G89" i="100"/>
  <c r="A89" i="100"/>
  <c r="I88" i="100"/>
  <c r="G88" i="100"/>
  <c r="A88" i="100"/>
  <c r="I87" i="100"/>
  <c r="G87" i="100"/>
  <c r="A87" i="100"/>
  <c r="I86" i="100"/>
  <c r="G86" i="100"/>
  <c r="A86" i="100"/>
  <c r="I85" i="100"/>
  <c r="G85" i="100"/>
  <c r="A85" i="100"/>
  <c r="I84" i="100"/>
  <c r="G84" i="100"/>
  <c r="A84" i="100"/>
  <c r="I83" i="100"/>
  <c r="G83" i="100"/>
  <c r="A83" i="100"/>
  <c r="I82" i="100"/>
  <c r="G82" i="100"/>
  <c r="A82" i="100"/>
  <c r="I81" i="100"/>
  <c r="G81" i="100"/>
  <c r="A81" i="100"/>
  <c r="I80" i="100"/>
  <c r="G80" i="100"/>
  <c r="A80" i="100"/>
  <c r="I79" i="100"/>
  <c r="G79" i="100"/>
  <c r="A79" i="100"/>
  <c r="I78" i="100"/>
  <c r="G78" i="100"/>
  <c r="A78" i="100"/>
  <c r="I77" i="100"/>
  <c r="G77" i="100"/>
  <c r="A77" i="100"/>
  <c r="I76" i="100"/>
  <c r="G76" i="100"/>
  <c r="A76" i="100"/>
  <c r="I75" i="100"/>
  <c r="G75" i="100"/>
  <c r="A75" i="100"/>
  <c r="I74" i="100"/>
  <c r="G74" i="100"/>
  <c r="A74" i="100"/>
  <c r="I73" i="100"/>
  <c r="G73" i="100"/>
  <c r="A73" i="100"/>
  <c r="I72" i="100"/>
  <c r="G72" i="100"/>
  <c r="A72" i="100"/>
  <c r="I71" i="100"/>
  <c r="G71" i="100"/>
  <c r="A71" i="100"/>
  <c r="I70" i="100"/>
  <c r="G70" i="100"/>
  <c r="A70" i="100"/>
  <c r="I69" i="100"/>
  <c r="G69" i="100"/>
  <c r="A69" i="100"/>
  <c r="I68" i="100"/>
  <c r="G68" i="100"/>
  <c r="A68" i="100"/>
  <c r="I67" i="100"/>
  <c r="G67" i="100"/>
  <c r="A67" i="100"/>
  <c r="I66" i="100"/>
  <c r="G66" i="100"/>
  <c r="A66" i="100"/>
  <c r="I65" i="100"/>
  <c r="G65" i="100"/>
  <c r="A65" i="100"/>
  <c r="I64" i="100"/>
  <c r="G64" i="100"/>
  <c r="A64" i="100"/>
  <c r="I63" i="100"/>
  <c r="G63" i="100"/>
  <c r="A63" i="100"/>
  <c r="I62" i="100"/>
  <c r="G62" i="100"/>
  <c r="A62" i="100"/>
  <c r="I61" i="100"/>
  <c r="G61" i="100"/>
  <c r="A61" i="100"/>
  <c r="I60" i="100"/>
  <c r="G60" i="100"/>
  <c r="A60" i="100"/>
  <c r="I59" i="100"/>
  <c r="G59" i="100"/>
  <c r="A59" i="100"/>
  <c r="I58" i="100"/>
  <c r="G58" i="100"/>
  <c r="A58" i="100"/>
  <c r="I57" i="100"/>
  <c r="G57" i="100"/>
  <c r="A57" i="100"/>
  <c r="I56" i="100"/>
  <c r="G56" i="100"/>
  <c r="A56" i="100"/>
  <c r="M55" i="100" l="1"/>
  <c r="M47" i="100"/>
  <c r="M39" i="100"/>
  <c r="O54" i="100" l="1"/>
  <c r="O53" i="100"/>
  <c r="O51" i="100"/>
  <c r="O50" i="100"/>
  <c r="O46" i="100"/>
  <c r="O45" i="100"/>
  <c r="O43" i="100"/>
  <c r="O42" i="100"/>
  <c r="O38" i="100"/>
  <c r="O37" i="100"/>
  <c r="O35" i="100"/>
  <c r="O34" i="100"/>
  <c r="I55" i="100" l="1"/>
  <c r="G55" i="100"/>
  <c r="A55" i="100"/>
  <c r="I47" i="100"/>
  <c r="G47" i="100"/>
  <c r="A47" i="100"/>
  <c r="I39" i="100"/>
  <c r="G39" i="100"/>
  <c r="A39" i="100"/>
  <c r="I54" i="100"/>
  <c r="G54" i="100"/>
  <c r="A54" i="100"/>
  <c r="I53" i="100"/>
  <c r="G53" i="100"/>
  <c r="A53" i="100"/>
  <c r="I52" i="100"/>
  <c r="G52" i="100"/>
  <c r="A52" i="100"/>
  <c r="I51" i="100"/>
  <c r="G51" i="100"/>
  <c r="A51" i="100"/>
  <c r="I50" i="100"/>
  <c r="G50" i="100"/>
  <c r="A50" i="100"/>
  <c r="I49" i="100"/>
  <c r="G49" i="100"/>
  <c r="A49" i="100"/>
  <c r="I48" i="100"/>
  <c r="G48" i="100"/>
  <c r="A48" i="100"/>
  <c r="I46" i="100"/>
  <c r="G46" i="100"/>
  <c r="A46" i="100"/>
  <c r="I45" i="100"/>
  <c r="G45" i="100"/>
  <c r="A45" i="100"/>
  <c r="I44" i="100"/>
  <c r="G44" i="100"/>
  <c r="A44" i="100"/>
  <c r="I43" i="100"/>
  <c r="G43" i="100"/>
  <c r="A43" i="100"/>
  <c r="I42" i="100"/>
  <c r="G42" i="100"/>
  <c r="A42" i="100"/>
  <c r="I41" i="100"/>
  <c r="G41" i="100"/>
  <c r="A41" i="100"/>
  <c r="I40" i="100"/>
  <c r="G40" i="100"/>
  <c r="A40" i="100"/>
  <c r="I38" i="100"/>
  <c r="G38" i="100"/>
  <c r="A38" i="100"/>
  <c r="I37" i="100"/>
  <c r="G37" i="100"/>
  <c r="A37" i="100"/>
  <c r="I36" i="100"/>
  <c r="G36" i="100"/>
  <c r="A36" i="100"/>
  <c r="I35" i="100"/>
  <c r="G35" i="100"/>
  <c r="A35" i="100"/>
  <c r="I34" i="100"/>
  <c r="G34" i="100"/>
  <c r="A34" i="100"/>
  <c r="I33" i="100"/>
  <c r="G33" i="100"/>
  <c r="A33" i="100"/>
  <c r="I32" i="100"/>
  <c r="G32" i="100"/>
  <c r="A32" i="100"/>
  <c r="I31" i="100"/>
  <c r="G31" i="100"/>
  <c r="A31" i="100"/>
  <c r="I30" i="100"/>
  <c r="G30" i="100"/>
  <c r="A30" i="100"/>
  <c r="I29" i="100"/>
  <c r="G29" i="100"/>
  <c r="A29" i="100"/>
  <c r="I28" i="100"/>
  <c r="G28" i="100"/>
  <c r="A28" i="100"/>
  <c r="I27" i="100"/>
  <c r="G27" i="100"/>
  <c r="A27" i="100"/>
  <c r="I26" i="100"/>
  <c r="G26" i="100"/>
  <c r="A26" i="10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P9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Q9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R9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S9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T9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U9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V9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W9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X9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Y9" authorId="0" shapeId="0" xr:uid="{00000000-0006-0000-0000-00000A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P10" authorId="0" shapeId="0" xr:uid="{00000000-0006-0000-0000-00000B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Q10" authorId="0" shapeId="0" xr:uid="{00000000-0006-0000-0000-00000C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R10" authorId="0" shapeId="0" xr:uid="{00000000-0006-0000-0000-00000D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S10" authorId="0" shapeId="0" xr:uid="{00000000-0006-0000-0000-00000E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T10" authorId="0" shapeId="0" xr:uid="{00000000-0006-0000-0000-00000F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U10" authorId="0" shapeId="0" xr:uid="{00000000-0006-0000-0000-000010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V10" authorId="0" shapeId="0" xr:uid="{00000000-0006-0000-0000-00001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W10" authorId="0" shapeId="0" xr:uid="{00000000-0006-0000-0000-00001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X10" authorId="0" shapeId="0" xr:uid="{00000000-0006-0000-0000-000013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Y10" authorId="0" shapeId="0" xr:uid="{00000000-0006-0000-0000-000014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DV10" authorId="0" shapeId="0" xr:uid="{00000000-0006-0000-0000-000015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Estimate from MMZCS2023, on the high bound for CO2 extracted from a biogas plant</t>
        </r>
      </text>
    </comment>
    <comment ref="DW10" authorId="0" shapeId="0" xr:uid="{00000000-0006-0000-0000-000016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Estimate from MMZCS2023, on the high bound for CO2 extracted from a biogas plant</t>
        </r>
      </text>
    </comment>
    <comment ref="DX10" authorId="0" shapeId="0" xr:uid="{00000000-0006-0000-0000-000017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Estimate from MMZCS2023, on the high bound for CO2 extracted from a biogas plant</t>
        </r>
      </text>
    </comment>
    <comment ref="DY10" authorId="0" shapeId="0" xr:uid="{00000000-0006-0000-0000-000018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Estimate from MMZCS2023, on the high bound for CO2 extracted from a biogas plant</t>
        </r>
      </text>
    </comment>
    <comment ref="DZ10" authorId="0" shapeId="0" xr:uid="{00000000-0006-0000-0000-000019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Estimate from MMZCS2023, on the high bound for CO2 extracted from a biogas plant</t>
        </r>
      </text>
    </comment>
    <comment ref="EA10" authorId="0" shapeId="0" xr:uid="{00000000-0006-0000-0000-00001A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Estimate from MMZCS2023, on the high bound for CO2 extracted from a biogas plant</t>
        </r>
      </text>
    </comment>
    <comment ref="EB10" authorId="0" shapeId="0" xr:uid="{00000000-0006-0000-0000-00001B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Estimate from MMZCS2023, on the high bound for CO2 extracted from a biogas plant</t>
        </r>
      </text>
    </comment>
    <comment ref="EC10" authorId="0" shapeId="0" xr:uid="{00000000-0006-0000-0000-00001C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Estimate from MMZCS2023, on the high bound for CO2 extracted from a biogas plant</t>
        </r>
      </text>
    </comment>
    <comment ref="ED10" authorId="0" shapeId="0" xr:uid="{00000000-0006-0000-0000-00001D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Estimate from MMZCS2023, on the high bound for CO2 extracted from a biogas plant</t>
        </r>
      </text>
    </comment>
    <comment ref="EE10" authorId="0" shapeId="0" xr:uid="{00000000-0006-0000-0000-00001E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Estimate from MMZCS2023, on the high bound for CO2 extracted from a biogas plant</t>
        </r>
      </text>
    </comment>
    <comment ref="P11" authorId="0" shapeId="0" xr:uid="{00000000-0006-0000-0000-00001F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Q11" authorId="0" shapeId="0" xr:uid="{00000000-0006-0000-0000-000020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R11" authorId="0" shapeId="0" xr:uid="{00000000-0006-0000-0000-00002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S11" authorId="0" shapeId="0" xr:uid="{00000000-0006-0000-0000-00002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T11" authorId="0" shapeId="0" xr:uid="{00000000-0006-0000-0000-000023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U11" authorId="0" shapeId="0" xr:uid="{00000000-0006-0000-0000-000024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V11" authorId="0" shapeId="0" xr:uid="{00000000-0006-0000-0000-000025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W11" authorId="0" shapeId="0" xr:uid="{00000000-0006-0000-0000-000026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X11" authorId="0" shapeId="0" xr:uid="{00000000-0006-0000-0000-000027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Y11" authorId="0" shapeId="0" xr:uid="{00000000-0006-0000-0000-000028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AT11" authorId="0" shapeId="0" xr:uid="{00000000-0006-0000-0000-000029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AU11" authorId="0" shapeId="0" xr:uid="{00000000-0006-0000-0000-00002A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AV11" authorId="0" shapeId="0" xr:uid="{00000000-0006-0000-0000-00002B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AW11" authorId="0" shapeId="0" xr:uid="{00000000-0006-0000-0000-00002C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AX11" authorId="0" shapeId="0" xr:uid="{00000000-0006-0000-0000-00002D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AY11" authorId="0" shapeId="0" xr:uid="{00000000-0006-0000-0000-00002E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AZ11" authorId="0" shapeId="0" xr:uid="{00000000-0006-0000-0000-00002F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A11" authorId="0" shapeId="0" xr:uid="{00000000-0006-0000-0000-000030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B11" authorId="0" shapeId="0" xr:uid="{00000000-0006-0000-0000-00003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C11" authorId="0" shapeId="0" xr:uid="{00000000-0006-0000-0000-00003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D11" authorId="0" shapeId="0" xr:uid="{00000000-0006-0000-0000-000033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Assumed to be similar to an ammonia plant. Ramp rate for an ammonia plant is from Armijo2020</t>
        </r>
      </text>
    </comment>
    <comment ref="BE11" authorId="0" shapeId="0" xr:uid="{00000000-0006-0000-0000-000034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Assumed to be similar to an ammonia plant. Ramp rate for an ammonia plant is from Armijo2020</t>
        </r>
      </text>
    </comment>
    <comment ref="BF11" authorId="0" shapeId="0" xr:uid="{00000000-0006-0000-0000-000035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Assumed to be similar to an ammonia plant. Ramp rate for an ammonia plant is from Armijo2020</t>
        </r>
      </text>
    </comment>
    <comment ref="BG11" authorId="0" shapeId="0" xr:uid="{00000000-0006-0000-0000-000036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H11" authorId="0" shapeId="0" xr:uid="{00000000-0006-0000-0000-000037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I11" authorId="0" shapeId="0" xr:uid="{00000000-0006-0000-0000-000038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J11" authorId="0" shapeId="0" xr:uid="{00000000-0006-0000-0000-000039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K11" authorId="0" shapeId="0" xr:uid="{00000000-0006-0000-0000-00003A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L11" authorId="0" shapeId="0" xr:uid="{00000000-0006-0000-0000-00003B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M11" authorId="0" shapeId="0" xr:uid="{00000000-0006-0000-0000-00003C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N11" authorId="0" shapeId="0" xr:uid="{00000000-0006-0000-0000-00003D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Assumed to be similar to an ammonia plant. Ramp rate for an ammonia plant is from Armijo2020</t>
        </r>
      </text>
    </comment>
    <comment ref="BO11" authorId="0" shapeId="0" xr:uid="{00000000-0006-0000-0000-00003E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Assumed to be similar to an ammonia plant. Ramp rate for an ammonia plant is from Armijo2020</t>
        </r>
      </text>
    </comment>
    <comment ref="BP11" authorId="0" shapeId="0" xr:uid="{00000000-0006-0000-0000-00003F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Assumed to be similar to an ammonia plant. Ramp rate for an ammonia plant is from Armijo2020</t>
        </r>
      </text>
    </comment>
    <comment ref="BQ11" authorId="0" shapeId="0" xr:uid="{00000000-0006-0000-0000-000040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R11" authorId="0" shapeId="0" xr:uid="{00000000-0006-0000-0000-00004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S11" authorId="0" shapeId="0" xr:uid="{00000000-0006-0000-0000-00004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T11" authorId="0" shapeId="0" xr:uid="{00000000-0006-0000-0000-000043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U11" authorId="0" shapeId="0" xr:uid="{00000000-0006-0000-0000-000044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V11" authorId="0" shapeId="0" xr:uid="{00000000-0006-0000-0000-000045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W11" authorId="0" shapeId="0" xr:uid="{00000000-0006-0000-0000-000046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X11" authorId="0" shapeId="0" xr:uid="{00000000-0006-0000-0000-000047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Y11" authorId="0" shapeId="0" xr:uid="{00000000-0006-0000-0000-000048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Z11" authorId="0" shapeId="0" xr:uid="{00000000-0006-0000-0000-000049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A11" authorId="0" shapeId="0" xr:uid="{00000000-0006-0000-0000-00004A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B11" authorId="0" shapeId="0" xr:uid="{00000000-0006-0000-0000-00004B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C11" authorId="0" shapeId="0" xr:uid="{00000000-0006-0000-0000-00004C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D11" authorId="0" shapeId="0" xr:uid="{00000000-0006-0000-0000-00004D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E11" authorId="0" shapeId="0" xr:uid="{00000000-0006-0000-0000-00004E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F11" authorId="0" shapeId="0" xr:uid="{00000000-0006-0000-0000-00004F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G11" authorId="0" shapeId="0" xr:uid="{00000000-0006-0000-0000-000050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H11" authorId="0" shapeId="0" xr:uid="{00000000-0006-0000-0000-00005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For a small-scale 6.7 t$_{MeOH}$/h plant capacity based on MMZCS2023</t>
        </r>
      </text>
    </comment>
    <comment ref="CI11" authorId="0" shapeId="0" xr:uid="{00000000-0006-0000-0000-00005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For a small-scale 6.7 t$_{MeOH}$/h plant capacity based on MMZCS2023</t>
        </r>
      </text>
    </comment>
    <comment ref="CJ11" authorId="0" shapeId="0" xr:uid="{00000000-0006-0000-0000-000053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For a small-scale 6.7 t$_{MeOH}$/h plant capacity based on MMZCS2023</t>
        </r>
      </text>
    </comment>
    <comment ref="CK11" authorId="0" shapeId="0" xr:uid="{00000000-0006-0000-0000-000054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For a medium-scale 13.3 t$_{MeOH}$/h plant capacity based on MMZCS2023</t>
        </r>
      </text>
    </comment>
    <comment ref="CL11" authorId="0" shapeId="0" xr:uid="{00000000-0006-0000-0000-000055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For a medium-scale 13.3 t$_{MeOH}$/h plant capacity based on MMZCS2023</t>
        </r>
      </text>
    </comment>
    <comment ref="CM11" authorId="0" shapeId="0" xr:uid="{00000000-0006-0000-0000-000056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For a medium-scale 13.3 t$_{MeOH}$/h plant capacity based on MMZCS2023</t>
        </r>
      </text>
    </comment>
    <comment ref="CO11" authorId="0" shapeId="0" xr:uid="{00000000-0006-0000-0000-000057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For a large-scale 133.3 t$_{MeOH}$/h plant capacity based on MMZCS2023</t>
        </r>
      </text>
    </comment>
    <comment ref="CP11" authorId="0" shapeId="0" xr:uid="{00000000-0006-0000-0000-000058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For a large-scale 133.3 t$_{MeOH}$/h plant capacity based on MMZCS2023</t>
        </r>
      </text>
    </comment>
    <comment ref="CQ11" authorId="0" shapeId="0" xr:uid="{00000000-0006-0000-0000-000059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For a large-scale 133.3 t$_{MeOH}$/h plant capacity based on MMZCS2023</t>
        </r>
      </text>
    </comment>
    <comment ref="CR11" authorId="0" shapeId="0" xr:uid="{00000000-0006-0000-0000-00005A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4% Capex based on MMZCS2023</t>
        </r>
      </text>
    </comment>
    <comment ref="CS11" authorId="0" shapeId="0" xr:uid="{00000000-0006-0000-0000-00005B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4% Capex based on MMZCS2023</t>
        </r>
      </text>
    </comment>
    <comment ref="CT11" authorId="0" shapeId="0" xr:uid="{00000000-0006-0000-0000-00005C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4% Capex based on MMZCS2023</t>
        </r>
      </text>
    </comment>
    <comment ref="CU11" authorId="0" shapeId="0" xr:uid="{00000000-0006-0000-0000-00005D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4% Capex based on MMZCS2023</t>
        </r>
      </text>
    </comment>
    <comment ref="CV11" authorId="0" shapeId="0" xr:uid="{00000000-0006-0000-0000-00005E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4% Capex based on MMZCS2023</t>
        </r>
      </text>
    </comment>
    <comment ref="CW11" authorId="0" shapeId="0" xr:uid="{00000000-0006-0000-0000-00005F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4% Capex based on MMZCS2023</t>
        </r>
      </text>
    </comment>
    <comment ref="CX11" authorId="0" shapeId="0" xr:uid="{00000000-0006-0000-0000-000060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4% Capex based on MMZCS2023</t>
        </r>
      </text>
    </comment>
    <comment ref="CY11" authorId="0" shapeId="0" xr:uid="{00000000-0006-0000-0000-00006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4% Capex based on MMZCS2023</t>
        </r>
      </text>
    </comment>
    <comment ref="CZ11" authorId="0" shapeId="0" xr:uid="{00000000-0006-0000-0000-00006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4% Capex based on MMZCS2023</t>
        </r>
      </text>
    </comment>
    <comment ref="DA11" authorId="0" shapeId="0" xr:uid="{00000000-0006-0000-0000-000063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4% Capex based on MMZCS2023</t>
        </r>
      </text>
    </comment>
    <comment ref="H12" authorId="0" shapeId="0" xr:uid="{CE8C6ABD-9912-4F95-80FD-1376C34C9C5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WP1. Calculated from the biogas resource.</t>
        </r>
      </text>
    </comment>
    <comment ref="P12" authorId="0" shapeId="0" xr:uid="{8F4C1B56-44FE-4AE2-94C9-1961B65B926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Moioli2022</t>
        </r>
      </text>
    </comment>
    <comment ref="Q12" authorId="0" shapeId="0" xr:uid="{55CA8E0D-0167-48BE-A789-91DA7F38F3A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Moioli2022</t>
        </r>
      </text>
    </comment>
    <comment ref="R12" authorId="0" shapeId="0" xr:uid="{3E5BE9B5-52F2-4298-A703-87B4F8270E1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Moioli2022</t>
        </r>
      </text>
    </comment>
    <comment ref="S12" authorId="0" shapeId="0" xr:uid="{327DFF14-80B2-4D5D-8907-185368C85FC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Moioli2022</t>
        </r>
      </text>
    </comment>
    <comment ref="T12" authorId="0" shapeId="0" xr:uid="{611B9455-A25C-43F9-AAA9-8454248A67D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Moioli2022</t>
        </r>
      </text>
    </comment>
    <comment ref="U12" authorId="0" shapeId="0" xr:uid="{AD9B1D45-FBEA-4BAB-B57F-85129E40B50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Moioli2022</t>
        </r>
      </text>
    </comment>
    <comment ref="V12" authorId="0" shapeId="0" xr:uid="{8A86C4B0-4649-44CD-974F-EDE36489901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Moioli2022</t>
        </r>
      </text>
    </comment>
    <comment ref="W12" authorId="0" shapeId="0" xr:uid="{06F56A14-E826-4C93-AEDB-C75DB799AB1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Moioli2022</t>
        </r>
      </text>
    </comment>
    <comment ref="X12" authorId="0" shapeId="0" xr:uid="{6D7E4C66-EDA0-433E-A37F-4704DF51195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Moioli2022</t>
        </r>
      </text>
    </comment>
    <comment ref="Y12" authorId="0" shapeId="0" xr:uid="{7BAB1BD2-D5F1-4384-9A97-501EA41EE1B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Moioli2022</t>
        </r>
      </text>
    </comment>
    <comment ref="AT12" authorId="0" shapeId="0" xr:uid="{D7F1A477-875C-42F4-8B2B-87A27F31071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AU12" authorId="0" shapeId="0" xr:uid="{882A5B5B-02FA-4688-B2D0-838BACE8E7F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AV12" authorId="0" shapeId="0" xr:uid="{1CE3A8C7-F7AE-4E57-9099-93E85E791F6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AW12" authorId="0" shapeId="0" xr:uid="{8344224F-7696-4417-A9F7-29568EE8D3A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AX12" authorId="0" shapeId="0" xr:uid="{20AA5C68-0105-4AC4-A391-C64008D33DA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AY12" authorId="0" shapeId="0" xr:uid="{6FF566F7-458A-4C0B-91BD-7800E16363F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AZ12" authorId="0" shapeId="0" xr:uid="{966B961C-4A53-47C5-ACE0-45C57392EFA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A12" authorId="0" shapeId="0" xr:uid="{AC8A0B3B-D2C9-4961-A0CA-42C2DBD40DA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B12" authorId="0" shapeId="0" xr:uid="{55E71B4F-C09A-4D55-A447-51CA269EBBB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C12" authorId="0" shapeId="0" xr:uid="{226F4645-2E21-4011-84BF-AF1EE036806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D12" authorId="0" shapeId="0" xr:uid="{785789D4-27C5-49FC-9606-7FE225E269C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Assumed to be similar to an ammonia plant. Ramp rate for an ammonia plant is from Armijo2020</t>
        </r>
      </text>
    </comment>
    <comment ref="BE12" authorId="0" shapeId="0" xr:uid="{E65C2EC6-D106-41DE-B7D3-56FE6E46AB0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Assumed to be similar to an ammonia plant. Ramp rate for an ammonia plant is from Armijo2020</t>
        </r>
      </text>
    </comment>
    <comment ref="BF12" authorId="0" shapeId="0" xr:uid="{216E4CCB-6B77-465A-B233-5C96D9C347D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Assumed to be similar to an ammonia plant. Ramp rate for an ammonia plant is from Armijo2020</t>
        </r>
      </text>
    </comment>
    <comment ref="BG12" authorId="0" shapeId="0" xr:uid="{4FC9080E-BF92-4D5D-AAF7-E5B41429DA7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H12" authorId="0" shapeId="0" xr:uid="{E4389408-34E9-444F-9B38-A90871B84B5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I12" authorId="0" shapeId="0" xr:uid="{36BA9B0D-5B18-483E-9910-34B2327C9BE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J12" authorId="0" shapeId="0" xr:uid="{C183243E-DD42-4343-8CA9-64C464763A9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K12" authorId="0" shapeId="0" xr:uid="{5CAFA0A9-6721-426D-B167-4F33609170E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L12" authorId="0" shapeId="0" xr:uid="{F815D269-D00E-413A-8CCB-0B25BDF61CC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M12" authorId="0" shapeId="0" xr:uid="{ABBF864F-E014-46E7-8435-2533C2AFAA3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N12" authorId="0" shapeId="0" xr:uid="{C3C83A8B-CBA2-4BBC-9D5B-E2D1BE45000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Assumed to be similar to an ammonia plant. Ramp rate for an ammonia plant is from Armijo2020</t>
        </r>
      </text>
    </comment>
    <comment ref="BO12" authorId="0" shapeId="0" xr:uid="{C91ED40C-DB15-477B-AC1A-4CBFF45397F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Assumed to be similar to an ammonia plant. Ramp rate for an ammonia plant is from Armijo2020</t>
        </r>
      </text>
    </comment>
    <comment ref="BP12" authorId="0" shapeId="0" xr:uid="{02D0E3D0-DACB-4388-92C1-8F829F4940D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Assumed to be similar to an ammonia plant. Ramp rate for an ammonia plant is from Armijo2020</t>
        </r>
      </text>
    </comment>
    <comment ref="BQ12" authorId="0" shapeId="0" xr:uid="{3D189A8A-DF0C-487A-A9E7-8D5D080923C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R12" authorId="0" shapeId="0" xr:uid="{017F6CD3-AFF5-4DC3-83DD-9F7E3F72D21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S12" authorId="0" shapeId="0" xr:uid="{F54A93E7-162E-4AB4-8912-11B20D60823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T12" authorId="0" shapeId="0" xr:uid="{FC22AFAC-8B9A-42C7-9CD6-2A8772EC42E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U12" authorId="0" shapeId="0" xr:uid="{62EBDA8B-DDF4-40CB-AFD0-D9A51BADABB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V12" authorId="0" shapeId="0" xr:uid="{F0C3003A-FC73-4F53-88BF-6A49528CFFD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W12" authorId="0" shapeId="0" xr:uid="{7CBCCAEA-484E-445F-82F6-51873EA6405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H12" authorId="0" shapeId="0" xr:uid="{9042A0D5-4099-4F07-913D-10F0818627E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Moioli2022 case 1b.</t>
        </r>
      </text>
    </comment>
    <comment ref="CI12" authorId="0" shapeId="0" xr:uid="{99FC3FC5-4E04-494B-9199-378DC3D291D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Moioli2022 case 1b.</t>
        </r>
      </text>
    </comment>
    <comment ref="CJ12" authorId="0" shapeId="0" xr:uid="{6AC36E62-1C21-4AA6-A04E-6D62119F6F5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Moioli2022 case 1b.</t>
        </r>
      </text>
    </comment>
    <comment ref="CK12" authorId="0" shapeId="0" xr:uid="{362B4082-F273-48B7-A04C-A013DD73938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Moioli2022 case 1b.</t>
        </r>
      </text>
    </comment>
    <comment ref="CL12" authorId="0" shapeId="0" xr:uid="{EB9514D8-C25E-4EF2-85F8-64A5F0F4BB0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Moioli2022 case 1b.</t>
        </r>
      </text>
    </comment>
    <comment ref="CM12" authorId="0" shapeId="0" xr:uid="{A1E41180-6E1F-4EFC-B1CB-1A4D19D7E94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Moioli2022 case 1b.</t>
        </r>
      </text>
    </comment>
    <comment ref="CN12" authorId="0" shapeId="0" xr:uid="{A188F2BC-4D6B-4B12-922D-7E2B12C8720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Moioli2022 case 1b.</t>
        </r>
      </text>
    </comment>
    <comment ref="CO12" authorId="0" shapeId="0" xr:uid="{B8E12552-545B-4F8D-A1E6-2B67F967374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Moioli2022 case 1b.</t>
        </r>
      </text>
    </comment>
    <comment ref="CP12" authorId="0" shapeId="0" xr:uid="{1B34ECB6-5BB0-4A3F-A8A4-FA3544535A1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Moioli2022 case 1b.</t>
        </r>
      </text>
    </comment>
    <comment ref="CQ12" authorId="0" shapeId="0" xr:uid="{E031039E-37D3-444B-96A1-1D2FC29998E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Moioli2022 case 1b.</t>
        </r>
      </text>
    </comment>
    <comment ref="CR12" authorId="0" shapeId="0" xr:uid="{FAC29691-7ECB-434A-9397-555425E1960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Moioli2022 case 1b.</t>
        </r>
      </text>
    </comment>
    <comment ref="CS12" authorId="0" shapeId="0" xr:uid="{7B9FA33F-C68E-4553-B0CB-AB6F02F844F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Moioli2022 case 1b.</t>
        </r>
      </text>
    </comment>
    <comment ref="CT12" authorId="0" shapeId="0" xr:uid="{4994DAA6-9AA8-4FE4-A000-B3F33EF8EAF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Moioli2022 case 1b.</t>
        </r>
      </text>
    </comment>
    <comment ref="CU12" authorId="0" shapeId="0" xr:uid="{89FA7E7C-6DDC-4486-902A-534777244DF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Moioli2022 case 1b.</t>
        </r>
      </text>
    </comment>
    <comment ref="CV12" authorId="0" shapeId="0" xr:uid="{44D27A55-E2FA-4EA1-81CF-DF09C37FCE1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Moioli2022 case 1b.</t>
        </r>
      </text>
    </comment>
    <comment ref="CW12" authorId="0" shapeId="0" xr:uid="{B7E55C7A-43E7-4201-90B3-3E16C0B1340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Moioli2022 case 1b.</t>
        </r>
      </text>
    </comment>
    <comment ref="CX12" authorId="0" shapeId="0" xr:uid="{C93A7142-ED13-49C1-8C06-86C8B18C5A7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Moioli2022 case 1b.</t>
        </r>
      </text>
    </comment>
    <comment ref="CY12" authorId="0" shapeId="0" xr:uid="{1A5D83E7-B077-41E0-A7B9-E7E34C23778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Moioli2022 case 1b.</t>
        </r>
      </text>
    </comment>
    <comment ref="CZ12" authorId="0" shapeId="0" xr:uid="{52F1F644-5B5B-4917-BCAA-A904D2CB686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Moioli2022 case 1b.</t>
        </r>
      </text>
    </comment>
    <comment ref="DA12" authorId="0" shapeId="0" xr:uid="{2CD46D97-670E-4450-9EC4-3CCA4CAA136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Moioli2022 case 1b.</t>
        </r>
      </text>
    </comment>
    <comment ref="H13" authorId="0" shapeId="0" xr:uid="{436A8E3A-E0CF-4BE7-9258-E6D142551B2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WP1.</t>
        </r>
      </text>
    </comment>
    <comment ref="P13" authorId="0" shapeId="0" xr:uid="{C526969B-602D-4CD0-9DCD-D481F2E71EE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Moioli2022
</t>
        </r>
      </text>
    </comment>
    <comment ref="Q13" authorId="0" shapeId="0" xr:uid="{391A5968-7C77-4D19-A791-D2FC07B77DC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Moioli2022
</t>
        </r>
      </text>
    </comment>
    <comment ref="R13" authorId="0" shapeId="0" xr:uid="{C936D616-5E38-4D38-BE5D-9D9DE8274E2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Moioli2022
</t>
        </r>
      </text>
    </comment>
    <comment ref="S13" authorId="0" shapeId="0" xr:uid="{67830528-714E-4EDF-8A02-847EEE5A6F9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Moioli2022
</t>
        </r>
      </text>
    </comment>
    <comment ref="T13" authorId="0" shapeId="0" xr:uid="{C7DEF3C5-7584-41C4-8990-55135136861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Moioli2022
</t>
        </r>
      </text>
    </comment>
    <comment ref="U13" authorId="0" shapeId="0" xr:uid="{BC3EA70A-CA0A-4962-9E5E-114F3B98744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Moioli2022
</t>
        </r>
      </text>
    </comment>
    <comment ref="V13" authorId="0" shapeId="0" xr:uid="{E58B25D2-5440-4641-B73D-D00898394C6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Moioli2022
</t>
        </r>
      </text>
    </comment>
    <comment ref="W13" authorId="0" shapeId="0" xr:uid="{A2595901-3314-4D20-9063-0C6E8731558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Moioli2022
</t>
        </r>
      </text>
    </comment>
    <comment ref="X13" authorId="0" shapeId="0" xr:uid="{39EEFFF1-3487-4787-8A79-877DD04E739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Moioli2022
</t>
        </r>
      </text>
    </comment>
    <comment ref="Y13" authorId="0" shapeId="0" xr:uid="{86BCE238-84B9-4081-B86E-D414D76FDD2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Moioli2022
</t>
        </r>
      </text>
    </comment>
    <comment ref="DV13" authorId="0" shapeId="0" xr:uid="{0BCC1CAC-3BE0-41C1-909F-BFF74698085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ENS2014. Higher range of biogas price estimate.</t>
        </r>
      </text>
    </comment>
    <comment ref="DW13" authorId="0" shapeId="0" xr:uid="{096D8933-287F-4059-8FA5-21F4BB1B04C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ENS2014. Average price level of biogas.</t>
        </r>
      </text>
    </comment>
    <comment ref="DX13" authorId="0" shapeId="0" xr:uid="{614F398A-B10A-46AA-B524-B376F9784E2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ENS2014. Lower range of biogas price estimate.</t>
        </r>
      </text>
    </comment>
    <comment ref="DY13" authorId="0" shapeId="0" xr:uid="{502E7F3B-7163-4D37-B738-264658A4235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ENS2014. Higher range of biogas price estimate.</t>
        </r>
      </text>
    </comment>
    <comment ref="DZ13" authorId="0" shapeId="0" xr:uid="{83F64101-8329-4D48-A26F-AE31FEED610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ENS2014. Average price level of biogas.</t>
        </r>
      </text>
    </comment>
    <comment ref="EA13" authorId="0" shapeId="0" xr:uid="{DE9FCA80-EF3A-471E-913C-6221FE1FA2D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ENS2014. Lower range of biogas price estimate.</t>
        </r>
      </text>
    </comment>
    <comment ref="EB13" authorId="0" shapeId="0" xr:uid="{BEC086AD-ACD9-4C34-B85F-C3D21FD71AD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ENS2014. Average price level of biogas. Carbon tax price is aded on top (100€/t), whereas CCS costs are deducted (35$/t). This is to resemble the opportunity cost of not using CO2 from biogas for carbon credits.</t>
        </r>
      </text>
    </comment>
    <comment ref="EC13" authorId="0" shapeId="0" xr:uid="{BFCBCE50-5CEC-49DB-B8EE-EB4BC3D212F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ENS2014. Higher range of biogas price estimate.</t>
        </r>
      </text>
    </comment>
    <comment ref="ED13" authorId="0" shapeId="0" xr:uid="{0C0B988C-D39C-4A37-843B-EEE9EEF9B88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ENS2014. Average price level of biogas.</t>
        </r>
      </text>
    </comment>
    <comment ref="EE13" authorId="0" shapeId="0" xr:uid="{A2A662DF-60AF-4177-99EF-72BB6F4B5F8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ENS2014. Lower range of biogas price estimate.</t>
        </r>
      </text>
    </comment>
    <comment ref="H14" authorId="0" shapeId="0" xr:uid="{D57C361E-B9DE-4DD8-B1EF-ABF194B18DE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WP1 Calculated from the biogas resource.</t>
        </r>
      </text>
    </comment>
    <comment ref="P14" authorId="0" shapeId="0" xr:uid="{916A3DF2-FA84-4123-8CB5-3FB79C07A2F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Ghosh2019 - case 2</t>
        </r>
      </text>
    </comment>
    <comment ref="Q14" authorId="0" shapeId="0" xr:uid="{ED5FCE69-439B-4658-AB80-B982EAE4902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Ghosh2019 - case 2</t>
        </r>
      </text>
    </comment>
    <comment ref="R14" authorId="0" shapeId="0" xr:uid="{5CAC2FB2-90C3-436F-BA26-71F28552ECF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Ghosh2019 - case 2. Assuming biogas use as seen in Moioli2022.</t>
        </r>
      </text>
    </comment>
    <comment ref="S14" authorId="0" shapeId="0" xr:uid="{9AEF2F6D-B239-47A7-A201-F9142962F4E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Ghosh2019 - case 2</t>
        </r>
      </text>
    </comment>
    <comment ref="T14" authorId="0" shapeId="0" xr:uid="{84C9E8D1-8371-49C3-ABF3-322F131CE25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Ghosh2019 - case 2</t>
        </r>
      </text>
    </comment>
    <comment ref="U14" authorId="0" shapeId="0" xr:uid="{3BBED4E9-9535-486D-B205-AC78BB966AE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Ghosh2019 - case 2. Assuming biogas use as seen in Moioli2022.</t>
        </r>
      </text>
    </comment>
    <comment ref="V14" authorId="0" shapeId="0" xr:uid="{3D5F66DE-B727-4F0B-9CCE-BBB357E2F16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Ghosh2019 - case 2</t>
        </r>
      </text>
    </comment>
    <comment ref="W14" authorId="0" shapeId="0" xr:uid="{B3FF7AA5-4AE8-4283-830B-4713FF46039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Ghosh2019 - case 2</t>
        </r>
      </text>
    </comment>
    <comment ref="X14" authorId="0" shapeId="0" xr:uid="{2F344372-8318-49B6-A795-6E573DC740A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Ghosh2019 - case 2</t>
        </r>
      </text>
    </comment>
    <comment ref="Y14" authorId="0" shapeId="0" xr:uid="{2F9DAC63-B5DA-4668-991C-0876C4DF229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Ghosh2019 - case 2. Assuming biogas use as seen in Moioli2022.</t>
        </r>
      </text>
    </comment>
    <comment ref="Z14" authorId="0" shapeId="0" xr:uid="{5E6725BF-D9C2-4858-942B-1FB72F416C6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Ghosh2019 - case 2</t>
        </r>
      </text>
    </comment>
    <comment ref="AA14" authorId="0" shapeId="0" xr:uid="{31080028-527E-41F8-931C-C6AA49B77B0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Ghosh2019 - case 2</t>
        </r>
      </text>
    </comment>
    <comment ref="AB14" authorId="0" shapeId="0" xr:uid="{65C7E49D-9CC7-43D9-9267-09CDC55A592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Ghosh2019 - case 2</t>
        </r>
      </text>
    </comment>
    <comment ref="AC14" authorId="0" shapeId="0" xr:uid="{663E6BFD-FA5E-4FE3-BAC4-A74D50832A1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Ghosh2019 - case 2</t>
        </r>
      </text>
    </comment>
    <comment ref="AD14" authorId="0" shapeId="0" xr:uid="{E794C2F0-CD69-4865-8E60-4B4EDDAB394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Ghosh2019 - case 2</t>
        </r>
      </text>
    </comment>
    <comment ref="AE14" authorId="0" shapeId="0" xr:uid="{9858EB5B-F589-4B1C-9BDB-BE7287303AA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Ghosh2019 - case 2</t>
        </r>
      </text>
    </comment>
    <comment ref="AF14" authorId="0" shapeId="0" xr:uid="{B519EB06-E6F1-4DB5-9BA4-115F0A0D85E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Ghosh2019 - case 2</t>
        </r>
      </text>
    </comment>
    <comment ref="AG14" authorId="0" shapeId="0" xr:uid="{ADF22C8E-AC13-4445-B445-7F67B8D39A5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Ghosh2019 - case 2</t>
        </r>
      </text>
    </comment>
    <comment ref="AH14" authorId="0" shapeId="0" xr:uid="{96285D23-E52A-4F8E-9B5C-9F9EE8EC516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Ghosh2019 - case 2</t>
        </r>
      </text>
    </comment>
    <comment ref="AI14" authorId="0" shapeId="0" xr:uid="{09A5A4AB-1562-4D2E-B211-07244FD7A65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Ghosh2019 - case 2</t>
        </r>
      </text>
    </comment>
    <comment ref="AT14" authorId="0" shapeId="0" xr:uid="{D309A57B-A702-4595-ABCD-5DAB91F2C45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AU14" authorId="0" shapeId="0" xr:uid="{515088EA-90DF-4F48-94DF-C721AB3AEED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AV14" authorId="0" shapeId="0" xr:uid="{33471E1D-B123-47A1-B6D2-4738566EAF5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AW14" authorId="0" shapeId="0" xr:uid="{0D87DDB7-C47A-4E1B-A0DA-48AFBDB7634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AX14" authorId="0" shapeId="0" xr:uid="{3561EE74-0606-4F5F-BF65-AFABCF638DF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AY14" authorId="0" shapeId="0" xr:uid="{7A7FEFA5-5FE1-4FAF-A9DE-5F7456EDC7A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AZ14" authorId="0" shapeId="0" xr:uid="{98A206B2-5514-4C7E-BE0F-85BB362ED31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A14" authorId="0" shapeId="0" xr:uid="{0DB0D966-8D8F-449E-B2C2-071222B2417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B14" authorId="0" shapeId="0" xr:uid="{C57A9AD8-57B9-4872-BA3C-64261B2C19B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C14" authorId="0" shapeId="0" xr:uid="{9FD018A2-A1A9-4B59-BB53-31CB4451CBD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D14" authorId="0" shapeId="0" xr:uid="{FBB4B7B0-9AAA-4E5B-8BA2-4C4C8472BFD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Assumed to be similar to an ammonia plant. Ramp rate for an ammonia plant is from Armijo2020</t>
        </r>
      </text>
    </comment>
    <comment ref="BE14" authorId="0" shapeId="0" xr:uid="{304661A7-12EF-422B-BA00-865CF08EA5E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Assumed to be similar to an ammonia plant. Ramp rate for an ammonia plant is from Armijo2020</t>
        </r>
      </text>
    </comment>
    <comment ref="BF14" authorId="0" shapeId="0" xr:uid="{0F4BCCDD-945D-4113-913C-2E291797BCD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Assumed to be similar to an ammonia plant. Ramp rate for an ammonia plant is from Armijo2020</t>
        </r>
      </text>
    </comment>
    <comment ref="BG14" authorId="0" shapeId="0" xr:uid="{BC231685-6138-4880-AC36-F199E8D08C5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H14" authorId="0" shapeId="0" xr:uid="{979AEA10-E00C-4A1C-A769-88C1473EDDE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I14" authorId="0" shapeId="0" xr:uid="{D1C4FDB8-A20A-47AA-AA4D-6E149A67F67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J14" authorId="0" shapeId="0" xr:uid="{FF51D940-9A9C-4F76-96E9-740519FE4DD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K14" authorId="0" shapeId="0" xr:uid="{FB15706F-2E5A-4156-B83C-4E890D76416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L14" authorId="0" shapeId="0" xr:uid="{83CCA4F3-32CC-4DD1-AAA8-9F76476EB8B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M14" authorId="0" shapeId="0" xr:uid="{776739D8-48B6-484A-A10E-783756C0679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N14" authorId="0" shapeId="0" xr:uid="{6671B30B-410A-4C6F-A3F4-BAE1E05B50B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Assumed to be similar to an ammonia plant. Ramp rate for an ammonia plant is from Armijo2020</t>
        </r>
      </text>
    </comment>
    <comment ref="BO14" authorId="0" shapeId="0" xr:uid="{4DBF30BC-9C1E-4613-BB89-BF910CB0DC5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Assumed to be similar to an ammonia plant. Ramp rate for an ammonia plant is from Armijo2020</t>
        </r>
      </text>
    </comment>
    <comment ref="BP14" authorId="0" shapeId="0" xr:uid="{85253D23-939E-49CC-890B-AE080633C25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Assumed to be similar to an ammonia plant. Ramp rate for an ammonia plant is from Armijo2020</t>
        </r>
      </text>
    </comment>
    <comment ref="BQ14" authorId="0" shapeId="0" xr:uid="{FE4A3D39-6A0D-43A7-A475-F912CC4B93D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R14" authorId="0" shapeId="0" xr:uid="{41C725CD-F7FD-418D-833A-8187E50924B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S14" authorId="0" shapeId="0" xr:uid="{31CD9843-B630-4BF9-AE29-E6B60CCA731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T14" authorId="0" shapeId="0" xr:uid="{57B1961B-A452-40AB-B712-FA3C4747A9F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U14" authorId="0" shapeId="0" xr:uid="{D35713CC-8587-4A8F-8181-BED3650EF54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V14" authorId="0" shapeId="0" xr:uid="{2D98CEFA-6BBB-4F22-8945-6E447753F93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W14" authorId="0" shapeId="0" xr:uid="{46044133-6FDF-484C-9950-DCDE80535B4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X14" authorId="0" shapeId="0" xr:uid="{B9BC9E2A-5854-4BD3-B2A5-EB4AF5B7C24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Ghosh2019. Power generation is from turbines utilizing excess energy from combustion of biogas processes.</t>
        </r>
      </text>
    </comment>
    <comment ref="BY14" authorId="0" shapeId="0" xr:uid="{3C5DB128-0E55-4FE4-8F63-C10D263DEB1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Ghosh2019. Power generation is from turbines utilizing excess energy from combustion of biogas processes.</t>
        </r>
      </text>
    </comment>
    <comment ref="BZ14" authorId="0" shapeId="0" xr:uid="{CBCF4F92-F47A-4B96-8094-AB6C89F59A4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Ghosh2019. Power generation is from turbines utilizing excess energy from combustion of biogas processes.</t>
        </r>
      </text>
    </comment>
    <comment ref="CA14" authorId="0" shapeId="0" xr:uid="{177133B3-B14A-4934-A096-FC73C39C0E5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Ghosh2019. Power generation is from turbines utilizing excess energy from combustion of biogas processes.</t>
        </r>
      </text>
    </comment>
    <comment ref="CB14" authorId="0" shapeId="0" xr:uid="{FF162629-1F8F-4916-B737-A75A818CBDE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Ghosh2019. Power generation is from turbines utilizing excess energy from combustion of biogas processes.</t>
        </r>
      </text>
    </comment>
    <comment ref="CC14" authorId="0" shapeId="0" xr:uid="{805D5CB7-3629-4CB8-9BA6-89CED03E121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Ghosh2019. Power generation is from turbines utilizing excess energy from combustion of biogas processes.</t>
        </r>
      </text>
    </comment>
    <comment ref="CD14" authorId="0" shapeId="0" xr:uid="{3AA124B2-2176-42AC-98AB-681FBEAABAD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Ghosh2019. Power generation is from turbines utilizing excess energy from combustion of biogas processes.</t>
        </r>
      </text>
    </comment>
    <comment ref="CE14" authorId="0" shapeId="0" xr:uid="{39AF748E-FA30-456F-8FF4-9E39CFD5347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Ghosh2019. Power generation is from turbines utilizing excess energy from combustion of biogas processes.</t>
        </r>
      </text>
    </comment>
    <comment ref="CF14" authorId="0" shapeId="0" xr:uid="{EDD1B009-FB91-482F-9953-B3240131C1D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Ghosh2019. Power generation is from turbines utilizing excess energy from combustion of biogas processes.</t>
        </r>
      </text>
    </comment>
    <comment ref="CG14" authorId="0" shapeId="0" xr:uid="{117D95E2-F87B-45E9-800E-6C0DE3008C1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Ghosh2019. Power generation is from turbines utilizing excess energy from combustion of biogas processes.</t>
        </r>
      </text>
    </comment>
    <comment ref="CH14" authorId="0" shapeId="0" xr:uid="{D428F7EB-7688-4C1F-AC92-A6288CB3E10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Moioli2022 case 1a.</t>
        </r>
      </text>
    </comment>
    <comment ref="CI14" authorId="0" shapeId="0" xr:uid="{2451294C-8A9E-4E0F-92BC-917A5725BFE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Moioli2022 case 1a.</t>
        </r>
      </text>
    </comment>
    <comment ref="CJ14" authorId="0" shapeId="0" xr:uid="{BDEB1112-CE6A-4435-A1CB-20F1980B33A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Moioli2022 case 1a.</t>
        </r>
      </text>
    </comment>
    <comment ref="CK14" authorId="0" shapeId="0" xr:uid="{2243C2AF-BDC1-48AF-BA5E-220C07448D8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Moioli2022 case 1a.</t>
        </r>
      </text>
    </comment>
    <comment ref="CL14" authorId="0" shapeId="0" xr:uid="{685B1CD1-88DB-43AA-917A-E9CC701383E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Moioli2022 case 1a.</t>
        </r>
      </text>
    </comment>
    <comment ref="CM14" authorId="0" shapeId="0" xr:uid="{9C2FFEBD-CCD6-4752-8473-480B1E18E71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Moioli2022 case 1a.</t>
        </r>
      </text>
    </comment>
    <comment ref="CN14" authorId="0" shapeId="0" xr:uid="{E3F8C1B1-4517-4931-B0E6-5B4066B7068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Moioli2022 case 1a.</t>
        </r>
      </text>
    </comment>
    <comment ref="CO14" authorId="0" shapeId="0" xr:uid="{091432EB-D281-41E7-92F4-CDB142F1D33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Moioli2022 case 1a.</t>
        </r>
      </text>
    </comment>
    <comment ref="CP14" authorId="0" shapeId="0" xr:uid="{E87191E0-1B43-4743-970D-F5739C86635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Moioli2022 case 1a.</t>
        </r>
      </text>
    </comment>
    <comment ref="CQ14" authorId="0" shapeId="0" xr:uid="{D2C3CE48-27AD-4D90-9E32-2F7B090D436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Moioli2022 case 1a.</t>
        </r>
      </text>
    </comment>
    <comment ref="CR14" authorId="0" shapeId="0" xr:uid="{A22750B1-F912-47CB-A2C9-99D51423C99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Moioli2022 case 1a.</t>
        </r>
      </text>
    </comment>
    <comment ref="CS14" authorId="0" shapeId="0" xr:uid="{E07EC7EC-FBB8-41B7-BF8E-5FE58C3D6DF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Moioli2022 case 1a.</t>
        </r>
      </text>
    </comment>
    <comment ref="CT14" authorId="0" shapeId="0" xr:uid="{49D0A897-59AD-47D7-B093-F97000758C3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Moioli2022 case 1a.</t>
        </r>
      </text>
    </comment>
    <comment ref="CU14" authorId="0" shapeId="0" xr:uid="{90F86D51-F115-447D-B3C8-F09CF1CDF4F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Moioli2022 case 1a.</t>
        </r>
      </text>
    </comment>
    <comment ref="CV14" authorId="0" shapeId="0" xr:uid="{2643D12C-24C2-4343-8DEA-9D1F1B8C8D0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Moioli2022 case 1a.</t>
        </r>
      </text>
    </comment>
    <comment ref="CW14" authorId="0" shapeId="0" xr:uid="{E2A1FD32-75F9-4CD6-869A-7FE6D58C341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Moioli2022 case 1a.</t>
        </r>
      </text>
    </comment>
    <comment ref="CX14" authorId="0" shapeId="0" xr:uid="{C9F258C4-2DFF-4463-88F9-A4E215D97BE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Moioli2022 case 1a.</t>
        </r>
      </text>
    </comment>
    <comment ref="CY14" authorId="0" shapeId="0" xr:uid="{7E552603-A012-463C-9F3A-D05889C0460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Moioli2022 case 1a.</t>
        </r>
      </text>
    </comment>
    <comment ref="CZ14" authorId="0" shapeId="0" xr:uid="{EA5EA2AD-56F3-40E9-9ECC-F5340419822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Moioli2022 case 1a.</t>
        </r>
      </text>
    </comment>
    <comment ref="DA14" authorId="0" shapeId="0" xr:uid="{85A64F9F-4F11-4B54-9333-FF7D451FBB0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Moioli2022 case 1a.</t>
        </r>
      </text>
    </comment>
    <comment ref="EP14" authorId="0" shapeId="0" xr:uid="{CFCA277A-58F7-412C-8FAF-62BC45E92AC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Ghosh2019 - is CO2 sourced from biogas so not a net addition to the carbon cycle.</t>
        </r>
      </text>
    </comment>
    <comment ref="EQ14" authorId="0" shapeId="0" xr:uid="{9471939F-A5BD-493C-B204-078A5B46C4D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Ghosh2019 - is CO2 sourced from biogas so not a net addition to the carbon cycle.</t>
        </r>
      </text>
    </comment>
    <comment ref="ER14" authorId="0" shapeId="0" xr:uid="{92052D43-89E6-4836-9641-814FFEB07D0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Ghosh2019 - is CO2 sourced from biogas so not a net addition to the carbon cycle.</t>
        </r>
      </text>
    </comment>
    <comment ref="ES14" authorId="0" shapeId="0" xr:uid="{03676B41-B36F-4687-8A06-23E759B89E3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Ghosh2019 - is CO2 sourced from biogas so not a net addition to the carbon cycle.</t>
        </r>
      </text>
    </comment>
    <comment ref="ET14" authorId="0" shapeId="0" xr:uid="{3E6D0F1C-BF28-4742-B714-0F0ADBC86A9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Ghosh2019 - is CO2 sourced from biogas so not a net addition to the carbon cycle.</t>
        </r>
      </text>
    </comment>
    <comment ref="EU14" authorId="0" shapeId="0" xr:uid="{3EEC7B15-F017-4E57-B2BE-CDA2DA7B642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Ghosh2019 - is CO2 sourced from biogas so not a net addition to the carbon cycle.</t>
        </r>
      </text>
    </comment>
    <comment ref="EV14" authorId="0" shapeId="0" xr:uid="{77C0A2BE-8225-4CF6-9078-8AF4F39DEEC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Ghosh2019 - is CO2 sourced from biogas so not a net addition to the carbon cycle.</t>
        </r>
      </text>
    </comment>
    <comment ref="EW14" authorId="0" shapeId="0" xr:uid="{1CE62C7A-A932-4BCE-88AE-ADF6ED13AA3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Ghosh2019 - is CO2 sourced from biogas so not a net addition to the carbon cycle.</t>
        </r>
      </text>
    </comment>
    <comment ref="EX14" authorId="0" shapeId="0" xr:uid="{F50F0FE7-B7F7-435D-A8A6-A65D9D928DE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Ghosh2019 - is CO2 sourced from biogas so not a net addition to the carbon cycle.</t>
        </r>
      </text>
    </comment>
    <comment ref="EY14" authorId="0" shapeId="0" xr:uid="{361316DF-54AF-40D8-B4D3-A2C7D70B768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Ghosh2019 - is CO2 sourced from biogas so not a net addition to the carbon cycle.</t>
        </r>
      </text>
    </comment>
    <comment ref="H15" authorId="0" shapeId="0" xr:uid="{6092ECF4-4386-480A-8329-AD062A3785E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WP1.</t>
        </r>
      </text>
    </comment>
    <comment ref="DV15" authorId="0" shapeId="0" xr:uid="{56EC61EB-C17B-42F7-836E-3D450950AB4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ENS2014. Higher range of biogas price estimate.</t>
        </r>
      </text>
    </comment>
    <comment ref="DW15" authorId="0" shapeId="0" xr:uid="{091C63B1-B5B2-4B2B-B315-4B6ECD9856A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ENS2014. Average price level of biogas.</t>
        </r>
      </text>
    </comment>
    <comment ref="DX15" authorId="0" shapeId="0" xr:uid="{0526E0B6-09BD-4A8D-B400-A81831DF7C4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ENS2014. Lower range of biogas price estimate.</t>
        </r>
      </text>
    </comment>
    <comment ref="DY15" authorId="0" shapeId="0" xr:uid="{78D68F38-0B5B-468C-9618-D88107F270D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ENS2014. Higher range of biogas price estimate.</t>
        </r>
      </text>
    </comment>
    <comment ref="DZ15" authorId="0" shapeId="0" xr:uid="{519AF68C-6947-48CF-AA17-DD2F99A2E83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ENS2014. Average price level of biogas.</t>
        </r>
      </text>
    </comment>
    <comment ref="EA15" authorId="0" shapeId="0" xr:uid="{18B40BF8-DAC2-4231-90D1-C4896618956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ENS2014. Lower range of biogas price estimate.</t>
        </r>
      </text>
    </comment>
    <comment ref="EB15" authorId="0" shapeId="0" xr:uid="{9F6A9B39-CBFA-4FA2-935E-E358E8509C6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ENS2014. Average price level of biogas.</t>
        </r>
      </text>
    </comment>
    <comment ref="EC15" authorId="0" shapeId="0" xr:uid="{C2295B0F-7621-4A9F-9FEF-35569384D43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ENS2014. Higher range of biogas price estimate.</t>
        </r>
      </text>
    </comment>
    <comment ref="ED15" authorId="0" shapeId="0" xr:uid="{C83BD886-1F0B-4589-8EF7-71168623BD5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ENS2014. Average price level of biogas.</t>
        </r>
      </text>
    </comment>
    <comment ref="EE15" authorId="0" shapeId="0" xr:uid="{E51B7337-DB0A-458E-AF20-582BD022137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ENS2014. Lower range of biogas price estimate.</t>
        </r>
      </text>
    </comment>
    <comment ref="AT16" authorId="0" shapeId="0" xr:uid="{2D04A93B-2115-411E-A6AA-A9D0B50CE85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AU16" authorId="0" shapeId="0" xr:uid="{3D6DD7BF-6942-47D0-AD18-AB6AC8CAC68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AV16" authorId="0" shapeId="0" xr:uid="{DF466C61-CBFC-4018-A694-322D2088AA4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AW16" authorId="0" shapeId="0" xr:uid="{5D400474-7849-4F09-B513-039B7C84598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AX16" authorId="0" shapeId="0" xr:uid="{2C81DF0B-CB55-4754-96DB-CD358013B11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AY16" authorId="0" shapeId="0" xr:uid="{4C35335A-0C6B-48C9-B6D0-E205EE7F3B4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AZ16" authorId="0" shapeId="0" xr:uid="{CB5BE964-E691-4433-A6BA-E209AEFA635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A16" authorId="0" shapeId="0" xr:uid="{7C9FAF56-32B1-4CE7-BB4E-A82FE1E66B0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B16" authorId="0" shapeId="0" xr:uid="{D9A9BB81-A600-4211-8226-ADF2D186B37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C16" authorId="0" shapeId="0" xr:uid="{BD0E395C-701E-4E28-A99C-807B09D0586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D16" authorId="0" shapeId="0" xr:uid="{763D653F-0A6F-495E-B084-F83CF297586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Assumed to be similar to an ammonia plant. Ramp rate for an ammonia plant is from Armijo2020</t>
        </r>
      </text>
    </comment>
    <comment ref="BE16" authorId="0" shapeId="0" xr:uid="{AD14C6D3-A28A-44DE-A926-5DA7F25494C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Assumed to be similar to an ammonia plant. Ramp rate for an ammonia plant is from Armijo2020</t>
        </r>
      </text>
    </comment>
    <comment ref="BF16" authorId="0" shapeId="0" xr:uid="{0D58B0C2-9CFD-41A7-91BE-1D0DED7F52D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Assumed to be similar to an ammonia plant. Ramp rate for an ammonia plant is from Armijo2020</t>
        </r>
      </text>
    </comment>
    <comment ref="BG16" authorId="0" shapeId="0" xr:uid="{692174BB-0DE5-43A7-9424-EC05C145E28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H16" authorId="0" shapeId="0" xr:uid="{2B16DB70-7F0E-420D-A31A-A75F674BDBC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I16" authorId="0" shapeId="0" xr:uid="{35C7093C-0C75-4543-B033-E62634BB37E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J16" authorId="0" shapeId="0" xr:uid="{0A9FE888-C313-48CF-A6BA-8A30F4F7D45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K16" authorId="0" shapeId="0" xr:uid="{32907A9C-5437-438A-BFEC-DB477968F8A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L16" authorId="0" shapeId="0" xr:uid="{3874D415-98B6-40CD-81F1-D7F856D5BC5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M16" authorId="0" shapeId="0" xr:uid="{D9CEFEFD-FEA1-4BC1-AE40-FF4F19D9DDB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N16" authorId="0" shapeId="0" xr:uid="{9BAC361F-5CB3-4AFA-BA1C-E27938EE200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Assumed to be similar to an ammonia plant. Ramp rate for an ammonia plant is from Armijo2020</t>
        </r>
      </text>
    </comment>
    <comment ref="BO16" authorId="0" shapeId="0" xr:uid="{17F81709-EA9E-4423-9479-8A6F6E08B6E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Assumed to be similar to an ammonia plant. Ramp rate for an ammonia plant is from Armijo2020</t>
        </r>
      </text>
    </comment>
    <comment ref="BP16" authorId="0" shapeId="0" xr:uid="{6C72D8E7-7FC0-40F2-8948-DC636F474C8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Assumed to be similar to an ammonia plant. Ramp rate for an ammonia plant is from Armijo2020</t>
        </r>
      </text>
    </comment>
    <comment ref="BQ16" authorId="0" shapeId="0" xr:uid="{70A70F9B-A3B6-4F12-94C4-CC6D909FC55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R16" authorId="0" shapeId="0" xr:uid="{729C3A72-F290-4FF3-887C-2765EBF6EE6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S16" authorId="0" shapeId="0" xr:uid="{F468667A-EA35-4A5C-89F3-D8B47C0B8D9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T16" authorId="0" shapeId="0" xr:uid="{8FEA28AD-0107-4EF8-B23C-94A001EEA1D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U16" authorId="0" shapeId="0" xr:uid="{01850D9C-6C57-4738-9FB4-77189E2A554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V16" authorId="0" shapeId="0" xr:uid="{2C65775C-E46F-4F84-9B24-62E6DAF6C27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W16" authorId="0" shapeId="0" xr:uid="{18DE2222-BD79-4711-92D6-A84A71922ED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H16" authorId="0" shapeId="0" xr:uid="{155CF5B6-70BD-4F1A-931D-66A5ED48EAC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Moioli2022 case 1a.</t>
        </r>
      </text>
    </comment>
    <comment ref="CI16" authorId="0" shapeId="0" xr:uid="{F54A0D97-569B-4F7C-BA99-58FC4FA0FFB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Moioli2022 case 1a.</t>
        </r>
      </text>
    </comment>
    <comment ref="CJ16" authorId="0" shapeId="0" xr:uid="{27892EF2-0D68-48C5-9119-A910FA35CD7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Moioli2022 case 1a.</t>
        </r>
      </text>
    </comment>
    <comment ref="CK16" authorId="0" shapeId="0" xr:uid="{BDEF4059-4E41-4116-9FE8-E524190F45A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Moioli2022 case 1a.</t>
        </r>
      </text>
    </comment>
    <comment ref="CL16" authorId="0" shapeId="0" xr:uid="{970C6539-88F6-4590-87A6-09460429EC3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Moioli2022 case 1a.</t>
        </r>
      </text>
    </comment>
    <comment ref="CM16" authorId="0" shapeId="0" xr:uid="{45DFDEEB-9305-456B-90E3-85FBA3224FD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Moioli2022 case 1a.</t>
        </r>
      </text>
    </comment>
    <comment ref="CN16" authorId="0" shapeId="0" xr:uid="{D3A9D549-7341-44A7-A152-670C5AAE96C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Moioli2022 case 1a.</t>
        </r>
      </text>
    </comment>
    <comment ref="CO16" authorId="0" shapeId="0" xr:uid="{56E605C5-520F-4EF9-8C2E-96D2B2FF558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Moioli2022 case 1a.</t>
        </r>
      </text>
    </comment>
    <comment ref="CP16" authorId="0" shapeId="0" xr:uid="{70CCEC4C-BC02-4946-8013-28802D841BC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Moioli2022 case 1a.</t>
        </r>
      </text>
    </comment>
    <comment ref="CQ16" authorId="0" shapeId="0" xr:uid="{754DDC25-1DEF-40B8-8B2E-97B7F4000AE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Moioli2022 case 1a.</t>
        </r>
      </text>
    </comment>
    <comment ref="CR16" authorId="0" shapeId="0" xr:uid="{B0FF8135-C5FA-4618-BF72-29C89C278E5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Moioli2022 case 1a.</t>
        </r>
      </text>
    </comment>
    <comment ref="CS16" authorId="0" shapeId="0" xr:uid="{B5EA0E12-0E60-4594-87E0-3C39176E7C3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Moioli2022 case 1a.</t>
        </r>
      </text>
    </comment>
    <comment ref="CT16" authorId="0" shapeId="0" xr:uid="{587D7639-19EA-444A-973E-68AF2B6959B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Moioli2022 case 1a.</t>
        </r>
      </text>
    </comment>
    <comment ref="CU16" authorId="0" shapeId="0" xr:uid="{AB80CD17-B03F-4D9D-9A90-E3F9DE84EF4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Moioli2022 case 1a.</t>
        </r>
      </text>
    </comment>
    <comment ref="CV16" authorId="0" shapeId="0" xr:uid="{F2605919-9A49-45F7-B443-FD517ECF816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Moioli2022 case 1a.</t>
        </r>
      </text>
    </comment>
    <comment ref="CW16" authorId="0" shapeId="0" xr:uid="{E69FD4B8-51D7-4B71-85C9-45A30E3E6A7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Moioli2022 case 1a.</t>
        </r>
      </text>
    </comment>
    <comment ref="CX16" authorId="0" shapeId="0" xr:uid="{24B929E5-739B-4B08-816A-B72DA5F802D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Moioli2022 case 1a.</t>
        </r>
      </text>
    </comment>
    <comment ref="CY16" authorId="0" shapeId="0" xr:uid="{E60F572F-C7A2-487C-B821-69C329B7D13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Moioli2022 case 1a.</t>
        </r>
      </text>
    </comment>
    <comment ref="CZ16" authorId="0" shapeId="0" xr:uid="{98906D0B-C7AA-4B09-95DE-86CA678C5C1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Moioli2022 case 1a.</t>
        </r>
      </text>
    </comment>
    <comment ref="DA16" authorId="0" shapeId="0" xr:uid="{D0B48AC3-5A05-4B55-9183-6E9826C5A1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Moioli2022 case 1a.</t>
        </r>
      </text>
    </comment>
    <comment ref="DV17" authorId="0" shapeId="0" xr:uid="{291F4BDC-494B-4A2A-B6ED-E1DCA5D982B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ENS2014. Higher range of biogas price estimate.</t>
        </r>
      </text>
    </comment>
    <comment ref="DW17" authorId="0" shapeId="0" xr:uid="{95BB28BA-D814-43D1-A29B-5D2ED533056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ENS2014. Average price level of biogas.</t>
        </r>
      </text>
    </comment>
    <comment ref="DX17" authorId="0" shapeId="0" xr:uid="{5D5B9971-81B8-4FBE-9DF8-71BD131C50C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ENS2014. Lower range of biogas price estimate.</t>
        </r>
      </text>
    </comment>
    <comment ref="DY17" authorId="0" shapeId="0" xr:uid="{1D555AAF-B1CD-4624-A8D2-46F44315D65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ENS2014. Higher range of biogas price estimate.</t>
        </r>
      </text>
    </comment>
    <comment ref="DZ17" authorId="0" shapeId="0" xr:uid="{DE3CDC89-2EC9-476D-962F-6EA8E097958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ENS2014. Average price level of biogas.</t>
        </r>
      </text>
    </comment>
    <comment ref="EA17" authorId="0" shapeId="0" xr:uid="{424F9709-6A79-4D7F-B241-CB6A9216EFE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ENS2014. Lower range of biogas price estimate.</t>
        </r>
      </text>
    </comment>
    <comment ref="EB17" authorId="0" shapeId="0" xr:uid="{45B2E949-D984-4564-AE3C-4004E66F026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ENS2014. Average price level of biogas.</t>
        </r>
      </text>
    </comment>
    <comment ref="EC17" authorId="0" shapeId="0" xr:uid="{E5182BBC-6339-4838-894A-45934B5D88D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ENS2014. Higher range of biogas price estimate.</t>
        </r>
      </text>
    </comment>
    <comment ref="ED17" authorId="0" shapeId="0" xr:uid="{B7F183CC-963E-4AAD-9097-5C1F4BAB1D4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ENS2014. Average price level of biogas.</t>
        </r>
      </text>
    </comment>
    <comment ref="EE17" authorId="0" shapeId="0" xr:uid="{E17AEA1B-728E-47E3-A878-B11BB532845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ENS2014. Lower range of biogas price estimate.</t>
        </r>
      </text>
    </comment>
    <comment ref="AT18" authorId="0" shapeId="0" xr:uid="{38ECA92C-CC79-4C2D-BD99-83A9D196C6F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AU18" authorId="0" shapeId="0" xr:uid="{76A26234-DBB2-4083-9B87-03E370ECC92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AV18" authorId="0" shapeId="0" xr:uid="{878ADA5F-0BF4-4C2A-8A53-3841E267D44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AW18" authorId="0" shapeId="0" xr:uid="{C0C1392C-9615-4467-B42C-E98D02844AB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AX18" authorId="0" shapeId="0" xr:uid="{D931287F-9409-4472-88D1-255F96D23E2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AY18" authorId="0" shapeId="0" xr:uid="{3D504A8F-009F-4D96-B6DD-475C5829E99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AZ18" authorId="0" shapeId="0" xr:uid="{424ADFE7-D7F6-4C01-9035-AB94FFB27D5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A18" authorId="0" shapeId="0" xr:uid="{F376B818-F342-4BF0-91A0-2BE648974F0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B18" authorId="0" shapeId="0" xr:uid="{40E1A49E-F205-4032-9969-10B1DC01DB7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C18" authorId="0" shapeId="0" xr:uid="{41021A05-98B3-4C29-937F-543F1785E76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D18" authorId="0" shapeId="0" xr:uid="{302A67FD-8927-49DB-8BF3-B47610DF3BA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Assumed to be similar to an ammonia plant. Ramp rate for an ammonia plant is from Armijo2020</t>
        </r>
      </text>
    </comment>
    <comment ref="BE18" authorId="0" shapeId="0" xr:uid="{F3B6F1E6-ACBA-43CF-867D-6B8D7F4E6B5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Assumed to be similar to an ammonia plant. Ramp rate for an ammonia plant is from Armijo2020</t>
        </r>
      </text>
    </comment>
    <comment ref="BF18" authorId="0" shapeId="0" xr:uid="{53A98DD1-1359-4F99-98BD-31A2F3685AB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Assumed to be similar to an ammonia plant. Ramp rate for an ammonia plant is from Armijo2020</t>
        </r>
      </text>
    </comment>
    <comment ref="BG18" authorId="0" shapeId="0" xr:uid="{34D321E9-3BC3-4FD2-8619-2955198CC65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H18" authorId="0" shapeId="0" xr:uid="{18C81501-F638-4049-A15E-C5FB622E4FA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I18" authorId="0" shapeId="0" xr:uid="{4598C1C1-F5F9-487C-820F-F85863A4286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J18" authorId="0" shapeId="0" xr:uid="{4E96EFD4-DD08-47E1-8D36-AF66B0CA968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K18" authorId="0" shapeId="0" xr:uid="{94757916-989F-4432-AB2F-8E9A55104D0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L18" authorId="0" shapeId="0" xr:uid="{9EFEF826-7656-4B8A-898C-486B6061F15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M18" authorId="0" shapeId="0" xr:uid="{7C205578-1D6B-4A62-9D96-649FC3ED481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N18" authorId="0" shapeId="0" xr:uid="{5B8C5BD1-1C61-4650-A5BC-53FF5DBCA30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Assumed to be similar to an ammonia plant. Ramp rate for an ammonia plant is from Armijo2020</t>
        </r>
      </text>
    </comment>
    <comment ref="BO18" authorId="0" shapeId="0" xr:uid="{3761CBD7-813C-4AC4-9840-096CC4F1907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Assumed to be similar to an ammonia plant. Ramp rate for an ammonia plant is from Armijo2020</t>
        </r>
      </text>
    </comment>
    <comment ref="BP18" authorId="0" shapeId="0" xr:uid="{C1B41217-D845-44D5-9774-494AF54B038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Assumed to be similar to an ammonia plant. Ramp rate for an ammonia plant is from Armijo2020</t>
        </r>
      </text>
    </comment>
    <comment ref="BQ18" authorId="0" shapeId="0" xr:uid="{A985FCD0-9A42-4358-9766-D4DB14602FB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R18" authorId="0" shapeId="0" xr:uid="{5A879EF0-C1EF-421B-AA55-5A98836D7C8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S18" authorId="0" shapeId="0" xr:uid="{A2882B7D-0066-4315-AF08-75873C9C10E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T18" authorId="0" shapeId="0" xr:uid="{A37FBB68-C72E-40A2-B585-3A0A9E44BBE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U18" authorId="0" shapeId="0" xr:uid="{F46A64C4-E65B-4C55-A148-1D05B6B85C6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V18" authorId="0" shapeId="0" xr:uid="{C054A503-F7FD-4BA6-ACA1-A6797477250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W18" authorId="0" shapeId="0" xr:uid="{759B5C56-4264-402A-89C6-A1EB1BBB5CB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P20" authorId="0" shapeId="0" xr:uid="{00000000-0006-0000-0000-000078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Q20" authorId="0" shapeId="0" xr:uid="{00000000-0006-0000-0000-000079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R20" authorId="0" shapeId="0" xr:uid="{00000000-0006-0000-0000-00007A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S20" authorId="0" shapeId="0" xr:uid="{00000000-0006-0000-0000-00007B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T20" authorId="0" shapeId="0" xr:uid="{00000000-0006-0000-0000-00007C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U20" authorId="0" shapeId="0" xr:uid="{00000000-0006-0000-0000-00007D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V20" authorId="0" shapeId="0" xr:uid="{00000000-0006-0000-0000-00007E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W20" authorId="0" shapeId="0" xr:uid="{00000000-0006-0000-0000-00007F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X20" authorId="0" shapeId="0" xr:uid="{00000000-0006-0000-0000-000080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Y20" authorId="0" shapeId="0" xr:uid="{00000000-0006-0000-0000-00008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P21" authorId="0" shapeId="0" xr:uid="{00000000-0006-0000-0000-00008C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Q21" authorId="0" shapeId="0" xr:uid="{00000000-0006-0000-0000-00008D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R21" authorId="0" shapeId="0" xr:uid="{00000000-0006-0000-0000-00008E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S21" authorId="0" shapeId="0" xr:uid="{00000000-0006-0000-0000-00008F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T21" authorId="0" shapeId="0" xr:uid="{00000000-0006-0000-0000-000090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U21" authorId="0" shapeId="0" xr:uid="{00000000-0006-0000-0000-00009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V21" authorId="0" shapeId="0" xr:uid="{00000000-0006-0000-0000-00009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W21" authorId="0" shapeId="0" xr:uid="{00000000-0006-0000-0000-000093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X21" authorId="0" shapeId="0" xr:uid="{00000000-0006-0000-0000-000094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Y21" authorId="0" shapeId="0" xr:uid="{00000000-0006-0000-0000-000095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P22" authorId="0" shapeId="0" xr:uid="{00000000-0006-0000-0000-0000D6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Q22" authorId="0" shapeId="0" xr:uid="{00000000-0006-0000-0000-0000D7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R22" authorId="0" shapeId="0" xr:uid="{00000000-0006-0000-0000-0000D8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S22" authorId="0" shapeId="0" xr:uid="{00000000-0006-0000-0000-0000D9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T22" authorId="0" shapeId="0" xr:uid="{00000000-0006-0000-0000-0000DA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U22" authorId="0" shapeId="0" xr:uid="{00000000-0006-0000-0000-0000DB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V22" authorId="0" shapeId="0" xr:uid="{00000000-0006-0000-0000-0000DC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W22" authorId="0" shapeId="0" xr:uid="{00000000-0006-0000-0000-0000DD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X22" authorId="0" shapeId="0" xr:uid="{00000000-0006-0000-0000-0000DE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Y22" authorId="0" shapeId="0" xr:uid="{00000000-0006-0000-0000-0000DF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Z22" authorId="0" shapeId="0" xr:uid="{00000000-0006-0000-0000-0000E0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A22" authorId="0" shapeId="0" xr:uid="{00000000-0006-0000-0000-0000E1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B22" authorId="0" shapeId="0" xr:uid="{00000000-0006-0000-0000-0000E2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C22" authorId="0" shapeId="0" xr:uid="{00000000-0006-0000-0000-0000E3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D22" authorId="0" shapeId="0" xr:uid="{00000000-0006-0000-0000-0000E4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E22" authorId="0" shapeId="0" xr:uid="{00000000-0006-0000-0000-0000E5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F22" authorId="0" shapeId="0" xr:uid="{00000000-0006-0000-0000-0000E6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G22" authorId="0" shapeId="0" xr:uid="{00000000-0006-0000-0000-0000E7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H22" authorId="0" shapeId="0" xr:uid="{00000000-0006-0000-0000-0000E8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I22" authorId="0" shapeId="0" xr:uid="{00000000-0006-0000-0000-0000E9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J22" authorId="0" shapeId="0" xr:uid="{00000000-0006-0000-0000-0000EA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K22" authorId="0" shapeId="0" xr:uid="{00000000-0006-0000-0000-0000EB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L22" authorId="0" shapeId="0" xr:uid="{00000000-0006-0000-0000-0000EC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M22" authorId="0" shapeId="0" xr:uid="{00000000-0006-0000-0000-0000ED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N22" authorId="0" shapeId="0" xr:uid="{00000000-0006-0000-0000-0000EE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O22" authorId="0" shapeId="0" xr:uid="{00000000-0006-0000-0000-0000EF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P22" authorId="0" shapeId="0" xr:uid="{00000000-0006-0000-0000-0000F0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Q22" authorId="0" shapeId="0" xr:uid="{00000000-0006-0000-0000-0000F1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R22" authorId="0" shapeId="0" xr:uid="{00000000-0006-0000-0000-0000F2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S22" authorId="0" shapeId="0" xr:uid="{00000000-0006-0000-0000-0000F3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T22" authorId="0" shapeId="0" xr:uid="{00000000-0006-0000-0000-0000F4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U22" authorId="0" shapeId="0" xr:uid="{00000000-0006-0000-0000-0000F5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V22" authorId="0" shapeId="0" xr:uid="{00000000-0006-0000-0000-0000F6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W22" authorId="0" shapeId="0" xr:uid="{00000000-0006-0000-0000-0000F7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X22" authorId="0" shapeId="0" xr:uid="{00000000-0006-0000-0000-0000F8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Y22" authorId="0" shapeId="0" xr:uid="{00000000-0006-0000-0000-0000F9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Z22" authorId="0" shapeId="0" xr:uid="{00000000-0006-0000-0000-0000FA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A22" authorId="0" shapeId="0" xr:uid="{00000000-0006-0000-0000-0000FB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B22" authorId="0" shapeId="0" xr:uid="{00000000-0006-0000-0000-0000FC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C22" authorId="0" shapeId="0" xr:uid="{00000000-0006-0000-0000-0000FD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D22" authorId="0" shapeId="0" xr:uid="{00000000-0006-0000-0000-0000FE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E22" authorId="0" shapeId="0" xr:uid="{00000000-0006-0000-0000-0000FF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F22" authorId="0" shapeId="0" xr:uid="{00000000-0006-0000-0000-000000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G22" authorId="0" shapeId="0" xr:uid="{00000000-0006-0000-0000-000001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H22" authorId="0" shapeId="0" xr:uid="{00000000-0006-0000-0000-000002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I22" authorId="0" shapeId="0" xr:uid="{00000000-0006-0000-0000-000003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J22" authorId="0" shapeId="0" xr:uid="{00000000-0006-0000-0000-000004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K22" authorId="0" shapeId="0" xr:uid="{00000000-0006-0000-0000-000005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L22" authorId="0" shapeId="0" xr:uid="{00000000-0006-0000-0000-000006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M22" authorId="0" shapeId="0" xr:uid="{00000000-0006-0000-0000-000007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N22" authorId="0" shapeId="0" xr:uid="{00000000-0006-0000-0000-000008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O22" authorId="0" shapeId="0" xr:uid="{00000000-0006-0000-0000-000009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P22" authorId="0" shapeId="0" xr:uid="{00000000-0006-0000-0000-00000A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Q22" authorId="0" shapeId="0" xr:uid="{00000000-0006-0000-0000-00000B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R22" authorId="0" shapeId="0" xr:uid="{00000000-0006-0000-0000-00000C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S22" authorId="0" shapeId="0" xr:uid="{00000000-0006-0000-0000-00000D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T22" authorId="0" shapeId="0" xr:uid="{00000000-0006-0000-0000-00000E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U22" authorId="0" shapeId="0" xr:uid="{00000000-0006-0000-0000-00000F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V22" authorId="0" shapeId="0" xr:uid="{00000000-0006-0000-0000-000010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W22" authorId="0" shapeId="0" xr:uid="{00000000-0006-0000-0000-000011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X22" authorId="0" shapeId="0" xr:uid="{00000000-0006-0000-0000-000012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Y22" authorId="0" shapeId="0" xr:uid="{00000000-0006-0000-0000-000013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Z22" authorId="0" shapeId="0" xr:uid="{00000000-0006-0000-0000-000014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A22" authorId="0" shapeId="0" xr:uid="{00000000-0006-0000-0000-000015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B22" authorId="0" shapeId="0" xr:uid="{00000000-0006-0000-0000-000016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C22" authorId="0" shapeId="0" xr:uid="{00000000-0006-0000-0000-000017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D22" authorId="0" shapeId="0" xr:uid="{00000000-0006-0000-0000-000018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E22" authorId="0" shapeId="0" xr:uid="{00000000-0006-0000-0000-000019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F22" authorId="0" shapeId="0" xr:uid="{00000000-0006-0000-0000-00001A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G22" authorId="0" shapeId="0" xr:uid="{00000000-0006-0000-0000-00001B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H22" authorId="0" shapeId="0" xr:uid="{00000000-0006-0000-0000-00001C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I22" authorId="0" shapeId="0" xr:uid="{00000000-0006-0000-0000-00001D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J22" authorId="0" shapeId="0" xr:uid="{00000000-0006-0000-0000-00001E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K22" authorId="0" shapeId="0" xr:uid="{00000000-0006-0000-0000-00001F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L22" authorId="0" shapeId="0" xr:uid="{00000000-0006-0000-0000-000020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M22" authorId="0" shapeId="0" xr:uid="{00000000-0006-0000-0000-000021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N22" authorId="0" shapeId="0" xr:uid="{00000000-0006-0000-0000-000022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O22" authorId="0" shapeId="0" xr:uid="{00000000-0006-0000-0000-000023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P22" authorId="0" shapeId="0" xr:uid="{00000000-0006-0000-0000-000024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Q22" authorId="0" shapeId="0" xr:uid="{00000000-0006-0000-0000-000025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R22" authorId="0" shapeId="0" xr:uid="{00000000-0006-0000-0000-000026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S22" authorId="0" shapeId="0" xr:uid="{00000000-0006-0000-0000-000027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T22" authorId="0" shapeId="0" xr:uid="{00000000-0006-0000-0000-000028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U22" authorId="0" shapeId="0" xr:uid="{00000000-0006-0000-0000-000029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V22" authorId="0" shapeId="0" xr:uid="{00000000-0006-0000-0000-00002A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W22" authorId="0" shapeId="0" xr:uid="{00000000-0006-0000-0000-00002B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X22" authorId="0" shapeId="0" xr:uid="{00000000-0006-0000-0000-00002C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Y22" authorId="0" shapeId="0" xr:uid="{00000000-0006-0000-0000-00002D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Z22" authorId="0" shapeId="0" xr:uid="{00000000-0006-0000-0000-00002E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A22" authorId="0" shapeId="0" xr:uid="{00000000-0006-0000-0000-00002F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B22" authorId="0" shapeId="0" xr:uid="{00000000-0006-0000-0000-000030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C22" authorId="0" shapeId="0" xr:uid="{00000000-0006-0000-0000-000031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D22" authorId="0" shapeId="0" xr:uid="{00000000-0006-0000-0000-000032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E22" authorId="0" shapeId="0" xr:uid="{00000000-0006-0000-0000-000033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F22" authorId="0" shapeId="0" xr:uid="{00000000-0006-0000-0000-000034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G22" authorId="0" shapeId="0" xr:uid="{00000000-0006-0000-0000-000035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H22" authorId="0" shapeId="0" xr:uid="{00000000-0006-0000-0000-000036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I22" authorId="0" shapeId="0" xr:uid="{00000000-0006-0000-0000-000037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J22" authorId="0" shapeId="0" xr:uid="{00000000-0006-0000-0000-000038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K22" authorId="0" shapeId="0" xr:uid="{00000000-0006-0000-0000-000039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L22" authorId="0" shapeId="0" xr:uid="{00000000-0006-0000-0000-00003A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M22" authorId="0" shapeId="0" xr:uid="{00000000-0006-0000-0000-00003B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N22" authorId="0" shapeId="0" xr:uid="{00000000-0006-0000-0000-00003C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O22" authorId="0" shapeId="0" xr:uid="{00000000-0006-0000-0000-00003D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P22" authorId="0" shapeId="0" xr:uid="{00000000-0006-0000-0000-00003E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Q22" authorId="0" shapeId="0" xr:uid="{00000000-0006-0000-0000-00003F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R22" authorId="0" shapeId="0" xr:uid="{00000000-0006-0000-0000-000040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S22" authorId="0" shapeId="0" xr:uid="{00000000-0006-0000-0000-000041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T22" authorId="0" shapeId="0" xr:uid="{00000000-0006-0000-0000-000042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U22" authorId="0" shapeId="0" xr:uid="{00000000-0006-0000-0000-000043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V22" authorId="0" shapeId="0" xr:uid="{00000000-0006-0000-0000-000044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W22" authorId="0" shapeId="0" xr:uid="{00000000-0006-0000-0000-000045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X22" authorId="0" shapeId="0" xr:uid="{00000000-0006-0000-0000-000046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Y22" authorId="0" shapeId="0" xr:uid="{00000000-0006-0000-0000-000047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Z22" authorId="0" shapeId="0" xr:uid="{00000000-0006-0000-0000-000048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A22" authorId="0" shapeId="0" xr:uid="{00000000-0006-0000-0000-000049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B22" authorId="0" shapeId="0" xr:uid="{00000000-0006-0000-0000-00004A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C22" authorId="0" shapeId="0" xr:uid="{00000000-0006-0000-0000-00004B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D22" authorId="0" shapeId="0" xr:uid="{00000000-0006-0000-0000-00004C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E22" authorId="0" shapeId="0" xr:uid="{00000000-0006-0000-0000-00004D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F22" authorId="0" shapeId="0" xr:uid="{00000000-0006-0000-0000-00004E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G22" authorId="0" shapeId="0" xr:uid="{00000000-0006-0000-0000-00004F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H22" authorId="0" shapeId="0" xr:uid="{00000000-0006-0000-0000-000050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I22" authorId="0" shapeId="0" xr:uid="{00000000-0006-0000-0000-000051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J22" authorId="0" shapeId="0" xr:uid="{00000000-0006-0000-0000-000052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K22" authorId="0" shapeId="0" xr:uid="{00000000-0006-0000-0000-000053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L22" authorId="0" shapeId="0" xr:uid="{00000000-0006-0000-0000-000054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M22" authorId="0" shapeId="0" xr:uid="{00000000-0006-0000-0000-000055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N22" authorId="0" shapeId="0" xr:uid="{00000000-0006-0000-0000-000056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O22" authorId="0" shapeId="0" xr:uid="{00000000-0006-0000-0000-000057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P22" authorId="0" shapeId="0" xr:uid="{00000000-0006-0000-0000-000058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Q22" authorId="0" shapeId="0" xr:uid="{00000000-0006-0000-0000-000059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R22" authorId="0" shapeId="0" xr:uid="{00000000-0006-0000-0000-00005A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S22" authorId="0" shapeId="0" xr:uid="{00000000-0006-0000-0000-00005B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T22" authorId="0" shapeId="0" xr:uid="{00000000-0006-0000-0000-00005C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U22" authorId="0" shapeId="0" xr:uid="{00000000-0006-0000-0000-00005D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V22" authorId="0" shapeId="0" xr:uid="{00000000-0006-0000-0000-00005E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W22" authorId="0" shapeId="0" xr:uid="{00000000-0006-0000-0000-00005F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X22" authorId="0" shapeId="0" xr:uid="{00000000-0006-0000-0000-000060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Y22" authorId="0" shapeId="0" xr:uid="{00000000-0006-0000-0000-000061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Z22" authorId="0" shapeId="0" xr:uid="{00000000-0006-0000-0000-000062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A22" authorId="0" shapeId="0" xr:uid="{00000000-0006-0000-0000-000063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B22" authorId="0" shapeId="0" xr:uid="{00000000-0006-0000-0000-000064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C22" authorId="0" shapeId="0" xr:uid="{00000000-0006-0000-0000-000065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D22" authorId="0" shapeId="0" xr:uid="{00000000-0006-0000-0000-000066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E22" authorId="0" shapeId="0" xr:uid="{00000000-0006-0000-0000-000067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F22" authorId="0" shapeId="0" xr:uid="{00000000-0006-0000-0000-000068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G22" authorId="0" shapeId="0" xr:uid="{00000000-0006-0000-0000-000069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H22" authorId="0" shapeId="0" xr:uid="{00000000-0006-0000-0000-00006A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I22" authorId="0" shapeId="0" xr:uid="{00000000-0006-0000-0000-00006B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J22" authorId="0" shapeId="0" xr:uid="{00000000-0006-0000-0000-00006C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K22" authorId="0" shapeId="0" xr:uid="{00000000-0006-0000-0000-00006D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L22" authorId="0" shapeId="0" xr:uid="{00000000-0006-0000-0000-00006E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M22" authorId="0" shapeId="0" xr:uid="{00000000-0006-0000-0000-00006F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N22" authorId="0" shapeId="0" xr:uid="{00000000-0006-0000-0000-000070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O22" authorId="0" shapeId="0" xr:uid="{00000000-0006-0000-0000-000071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P22" authorId="0" shapeId="0" xr:uid="{00000000-0006-0000-0000-000072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Q22" authorId="0" shapeId="0" xr:uid="{00000000-0006-0000-0000-000073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R22" authorId="0" shapeId="0" xr:uid="{00000000-0006-0000-0000-000074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S22" authorId="0" shapeId="0" xr:uid="{00000000-0006-0000-0000-000075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T23" authorId="0" shapeId="0" xr:uid="{00000000-0006-0000-0000-0000A0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AU23" authorId="0" shapeId="0" xr:uid="{00000000-0006-0000-0000-0000A1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AV23" authorId="0" shapeId="0" xr:uid="{00000000-0006-0000-0000-0000A2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AW23" authorId="0" shapeId="0" xr:uid="{00000000-0006-0000-0000-0000A3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AX23" authorId="0" shapeId="0" xr:uid="{00000000-0006-0000-0000-0000A4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AY23" authorId="0" shapeId="0" xr:uid="{00000000-0006-0000-0000-0000A5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AZ23" authorId="0" shapeId="0" xr:uid="{00000000-0006-0000-0000-0000A6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BA23" authorId="0" shapeId="0" xr:uid="{00000000-0006-0000-0000-0000A7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BB23" authorId="0" shapeId="0" xr:uid="{00000000-0006-0000-0000-0000A8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BC23" authorId="0" shapeId="0" xr:uid="{00000000-0006-0000-0000-0000A9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BD23" authorId="0" shapeId="0" xr:uid="{00000000-0006-0000-0000-0000AA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BE23" authorId="0" shapeId="0" xr:uid="{00000000-0006-0000-0000-0000AB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BF23" authorId="0" shapeId="0" xr:uid="{00000000-0006-0000-0000-0000AC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BG23" authorId="0" shapeId="0" xr:uid="{00000000-0006-0000-0000-0000AD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BH23" authorId="0" shapeId="0" xr:uid="{00000000-0006-0000-0000-0000AE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BI23" authorId="0" shapeId="0" xr:uid="{00000000-0006-0000-0000-0000AF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BJ23" authorId="0" shapeId="0" xr:uid="{00000000-0006-0000-0000-0000B0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BK23" authorId="0" shapeId="0" xr:uid="{00000000-0006-0000-0000-0000B1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BL23" authorId="0" shapeId="0" xr:uid="{00000000-0006-0000-0000-0000B2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BM23" authorId="0" shapeId="0" xr:uid="{00000000-0006-0000-0000-0000B3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BN23" authorId="0" shapeId="0" xr:uid="{00000000-0006-0000-0000-0000B4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BO23" authorId="0" shapeId="0" xr:uid="{00000000-0006-0000-0000-0000B5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BP23" authorId="0" shapeId="0" xr:uid="{00000000-0006-0000-0000-0000B6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BQ23" authorId="0" shapeId="0" xr:uid="{00000000-0006-0000-0000-0000B7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BR23" authorId="0" shapeId="0" xr:uid="{00000000-0006-0000-0000-0000B8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BS23" authorId="0" shapeId="0" xr:uid="{00000000-0006-0000-0000-0000B9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BT23" authorId="0" shapeId="0" xr:uid="{00000000-0006-0000-0000-0000BA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BU23" authorId="0" shapeId="0" xr:uid="{00000000-0006-0000-0000-0000BB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BV23" authorId="0" shapeId="0" xr:uid="{00000000-0006-0000-0000-0000BC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BW23" authorId="0" shapeId="0" xr:uid="{00000000-0006-0000-0000-0000BD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BX24" authorId="0" shapeId="0" xr:uid="{00000000-0006-0000-0000-0000BE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</t>
        </r>
      </text>
    </comment>
    <comment ref="BY24" authorId="0" shapeId="0" xr:uid="{00000000-0006-0000-0000-0000BF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</t>
        </r>
      </text>
    </comment>
    <comment ref="BZ24" authorId="0" shapeId="0" xr:uid="{00000000-0006-0000-0000-0000C0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</t>
        </r>
      </text>
    </comment>
    <comment ref="CA24" authorId="0" shapeId="0" xr:uid="{00000000-0006-0000-0000-0000C1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</t>
        </r>
      </text>
    </comment>
    <comment ref="CB24" authorId="0" shapeId="0" xr:uid="{00000000-0006-0000-0000-0000C2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</t>
        </r>
      </text>
    </comment>
    <comment ref="CC24" authorId="0" shapeId="0" xr:uid="{00000000-0006-0000-0000-0000C3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</t>
        </r>
      </text>
    </comment>
    <comment ref="CD24" authorId="0" shapeId="0" xr:uid="{00000000-0006-0000-0000-0000C4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  taking the best case scenario of near-term technology development</t>
        </r>
      </text>
    </comment>
    <comment ref="CE24" authorId="0" shapeId="0" xr:uid="{00000000-0006-0000-0000-0000C5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  taking the best case scenario of near-term technology development</t>
        </r>
      </text>
    </comment>
    <comment ref="CF24" authorId="0" shapeId="0" xr:uid="{00000000-0006-0000-0000-0000C6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  taking the best case scenario of near-term technology development</t>
        </r>
      </text>
    </comment>
    <comment ref="CG24" authorId="0" shapeId="0" xr:uid="{00000000-0006-0000-0000-0000C7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  taking the best case scenario of near-term technology development</t>
        </r>
      </text>
    </comment>
    <comment ref="CH24" authorId="0" shapeId="0" xr:uid="{00000000-0006-0000-0000-0000C8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BhmWP12023</t>
        </r>
      </text>
    </comment>
    <comment ref="CI24" authorId="0" shapeId="0" xr:uid="{00000000-0006-0000-0000-0000C9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BhmWP12023</t>
        </r>
      </text>
    </comment>
    <comment ref="CJ24" authorId="0" shapeId="0" xr:uid="{00000000-0006-0000-0000-0000CA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BhmWP12023</t>
        </r>
      </text>
    </comment>
    <comment ref="CK24" authorId="0" shapeId="0" xr:uid="{00000000-0006-0000-0000-0000CB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Using the 2025 benchmark value based on BhmWP12023</t>
        </r>
      </text>
    </comment>
    <comment ref="CL24" authorId="0" shapeId="0" xr:uid="{00000000-0006-0000-0000-0000CC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Using the 2025 best value from BhmWP12023</t>
        </r>
      </text>
    </comment>
    <comment ref="CM24" authorId="0" shapeId="0" xr:uid="{00000000-0006-0000-0000-0000CD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Using the 2025 best value from BhmWP12023</t>
        </r>
      </text>
    </comment>
    <comment ref="CO24" authorId="0" shapeId="0" xr:uid="{00000000-0006-0000-0000-0000CE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Using the 2025 best value based on BhmWP12023</t>
        </r>
      </text>
    </comment>
    <comment ref="CP24" authorId="0" shapeId="0" xr:uid="{00000000-0006-0000-0000-0000CF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Using the 2025 best value based on BhmWP12023</t>
        </r>
      </text>
    </comment>
    <comment ref="CQ24" authorId="0" shapeId="0" xr:uid="{00000000-0006-0000-0000-0000D0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Using the 2025 best value based on BhmWP12023</t>
        </r>
      </text>
    </comment>
    <comment ref="CR24" authorId="0" shapeId="0" xr:uid="{00000000-0006-0000-0000-0000D1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CS24" authorId="0" shapeId="0" xr:uid="{00000000-0006-0000-0000-0000D2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CT24" authorId="0" shapeId="0" xr:uid="{00000000-0006-0000-0000-0000D3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CU24" authorId="0" shapeId="0" xr:uid="{00000000-0006-0000-0000-0000D4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CV24" authorId="0" shapeId="0" xr:uid="{00000000-0006-0000-0000-0000D5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CW24" authorId="0" shapeId="0" xr:uid="{00000000-0006-0000-0000-0000D6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CX24" authorId="0" shapeId="0" xr:uid="{00000000-0006-0000-0000-0000D7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CY24" authorId="0" shapeId="0" xr:uid="{00000000-0006-0000-0000-0000D8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CZ24" authorId="0" shapeId="0" xr:uid="{00000000-0006-0000-0000-0000D9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DA24" authorId="0" shapeId="0" xr:uid="{00000000-0006-0000-0000-0000DA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BX25" authorId="0" shapeId="0" xr:uid="{00000000-0006-0000-0000-0000DB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</t>
        </r>
      </text>
    </comment>
    <comment ref="BY25" authorId="0" shapeId="0" xr:uid="{00000000-0006-0000-0000-0000DC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</t>
        </r>
      </text>
    </comment>
    <comment ref="BZ25" authorId="0" shapeId="0" xr:uid="{00000000-0006-0000-0000-0000DD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</t>
        </r>
      </text>
    </comment>
    <comment ref="CA25" authorId="0" shapeId="0" xr:uid="{00000000-0006-0000-0000-0000DE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</t>
        </r>
      </text>
    </comment>
    <comment ref="CB25" authorId="0" shapeId="0" xr:uid="{00000000-0006-0000-0000-0000DF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</t>
        </r>
      </text>
    </comment>
    <comment ref="CC25" authorId="0" shapeId="0" xr:uid="{00000000-0006-0000-0000-0000E0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</t>
        </r>
      </text>
    </comment>
    <comment ref="CD25" authorId="0" shapeId="0" xr:uid="{00000000-0006-0000-0000-0000E1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  taking the best case scenario of near-term technology development</t>
        </r>
      </text>
    </comment>
    <comment ref="CE25" authorId="0" shapeId="0" xr:uid="{00000000-0006-0000-0000-0000E2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  taking the best case scenario of near-term technology development</t>
        </r>
      </text>
    </comment>
    <comment ref="CF25" authorId="0" shapeId="0" xr:uid="{00000000-0006-0000-0000-0000E3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  taking the best case scenario of near-term technology development</t>
        </r>
      </text>
    </comment>
    <comment ref="CG25" authorId="0" shapeId="0" xr:uid="{00000000-0006-0000-0000-0000E4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  taking the best case scenario of near-term technology development</t>
        </r>
      </text>
    </comment>
    <comment ref="CH25" authorId="0" shapeId="0" xr:uid="{00000000-0006-0000-0000-0000E5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BhmWP12023</t>
        </r>
      </text>
    </comment>
    <comment ref="CI25" authorId="0" shapeId="0" xr:uid="{00000000-0006-0000-0000-0000E6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BhmWP12023</t>
        </r>
      </text>
    </comment>
    <comment ref="CJ25" authorId="0" shapeId="0" xr:uid="{00000000-0006-0000-0000-0000E7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BhmWP12023</t>
        </r>
      </text>
    </comment>
    <comment ref="CK25" authorId="0" shapeId="0" xr:uid="{00000000-0006-0000-0000-0000E8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Using the 2025 benchmark value based on BhmWP12023</t>
        </r>
      </text>
    </comment>
    <comment ref="CL25" authorId="0" shapeId="0" xr:uid="{00000000-0006-0000-0000-0000E9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Using the 2025 benchmark value based on BhmWP12023</t>
        </r>
      </text>
    </comment>
    <comment ref="CM25" authorId="0" shapeId="0" xr:uid="{00000000-0006-0000-0000-0000EA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Using the 2025 benchmark value based on BhmWP12023</t>
        </r>
      </text>
    </comment>
    <comment ref="CO25" authorId="0" shapeId="0" xr:uid="{00000000-0006-0000-0000-0000EB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Using the 2025 best value based on BhmWP12023</t>
        </r>
      </text>
    </comment>
    <comment ref="CP25" authorId="0" shapeId="0" xr:uid="{00000000-0006-0000-0000-0000EC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Using the 2025 best value based on BhmWP12023</t>
        </r>
      </text>
    </comment>
    <comment ref="CQ25" authorId="0" shapeId="0" xr:uid="{00000000-0006-0000-0000-0000ED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Using the 2025 best value based on BhmWP12023</t>
        </r>
      </text>
    </comment>
    <comment ref="CR25" authorId="0" shapeId="0" xr:uid="{00000000-0006-0000-0000-0000EE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CS25" authorId="0" shapeId="0" xr:uid="{00000000-0006-0000-0000-0000EF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CT25" authorId="0" shapeId="0" xr:uid="{00000000-0006-0000-0000-0000F0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CU25" authorId="0" shapeId="0" xr:uid="{00000000-0006-0000-0000-0000F1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CV25" authorId="0" shapeId="0" xr:uid="{00000000-0006-0000-0000-0000F2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CW25" authorId="0" shapeId="0" xr:uid="{00000000-0006-0000-0000-0000F3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CX25" authorId="0" shapeId="0" xr:uid="{00000000-0006-0000-0000-0000F4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CY25" authorId="0" shapeId="0" xr:uid="{00000000-0006-0000-0000-0000F5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CZ25" authorId="0" shapeId="0" xr:uid="{00000000-0006-0000-0000-0000F6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DA25" authorId="0" shapeId="0" xr:uid="{00000000-0006-0000-0000-0000F7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DV25" authorId="0" shapeId="0" xr:uid="{00000000-0006-0000-0000-0000F8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High water price from BhmWP12023</t>
        </r>
      </text>
    </comment>
    <comment ref="DW25" authorId="0" shapeId="0" xr:uid="{00000000-0006-0000-0000-0000F9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Medium water price from BhmWP12023</t>
        </r>
      </text>
    </comment>
    <comment ref="DX25" authorId="0" shapeId="0" xr:uid="{00000000-0006-0000-0000-0000FA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Low water price from BhmWP12023</t>
        </r>
      </text>
    </comment>
    <comment ref="DY25" authorId="0" shapeId="0" xr:uid="{00000000-0006-0000-0000-0000FB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High water price from BhmWP12023</t>
        </r>
      </text>
    </comment>
    <comment ref="DZ25" authorId="0" shapeId="0" xr:uid="{00000000-0006-0000-0000-0000FC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Medium water price from BhmWP12023</t>
        </r>
      </text>
    </comment>
    <comment ref="EA25" authorId="0" shapeId="0" xr:uid="{00000000-0006-0000-0000-0000FD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Low water price from BhmWP12023</t>
        </r>
      </text>
    </comment>
    <comment ref="EC25" authorId="0" shapeId="0" xr:uid="{00000000-0006-0000-0000-0000FE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High water price from BhmWP12023</t>
        </r>
      </text>
    </comment>
    <comment ref="ED25" authorId="0" shapeId="0" xr:uid="{00000000-0006-0000-0000-0000FF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Medium water price from BhmWP12023</t>
        </r>
      </text>
    </comment>
    <comment ref="EE25" authorId="0" shapeId="0" xr:uid="{00000000-0006-0000-0000-000000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Low water price from BhmWP12023</t>
        </r>
      </text>
    </comment>
    <comment ref="BX26" authorId="0" shapeId="0" xr:uid="{00000000-0006-0000-0000-000001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</t>
        </r>
      </text>
    </comment>
    <comment ref="BY26" authorId="0" shapeId="0" xr:uid="{00000000-0006-0000-0000-000002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</t>
        </r>
      </text>
    </comment>
    <comment ref="BZ26" authorId="0" shapeId="0" xr:uid="{00000000-0006-0000-0000-000003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</t>
        </r>
      </text>
    </comment>
    <comment ref="CA26" authorId="0" shapeId="0" xr:uid="{00000000-0006-0000-0000-000004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</t>
        </r>
      </text>
    </comment>
    <comment ref="CB26" authorId="0" shapeId="0" xr:uid="{00000000-0006-0000-0000-000005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</t>
        </r>
      </text>
    </comment>
    <comment ref="CC26" authorId="0" shapeId="0" xr:uid="{00000000-0006-0000-0000-000006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</t>
        </r>
      </text>
    </comment>
    <comment ref="CD26" authorId="0" shapeId="0" xr:uid="{00000000-0006-0000-0000-000007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  taking the best case scenario of near-term technology development</t>
        </r>
      </text>
    </comment>
    <comment ref="CE26" authorId="0" shapeId="0" xr:uid="{00000000-0006-0000-0000-000008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  taking the best case scenario of near-term technology development</t>
        </r>
      </text>
    </comment>
    <comment ref="CF26" authorId="0" shapeId="0" xr:uid="{00000000-0006-0000-0000-000009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  taking the best case scenario of near-term technology development</t>
        </r>
      </text>
    </comment>
    <comment ref="CG26" authorId="0" shapeId="0" xr:uid="{00000000-0006-0000-0000-00000A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  taking the best case scenario of near-term technology development</t>
        </r>
      </text>
    </comment>
    <comment ref="CH26" authorId="0" shapeId="0" xr:uid="{00000000-0006-0000-0000-00000B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BhmWP12023</t>
        </r>
      </text>
    </comment>
    <comment ref="CI26" authorId="0" shapeId="0" xr:uid="{00000000-0006-0000-0000-00000C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BhmWP12023</t>
        </r>
      </text>
    </comment>
    <comment ref="CJ26" authorId="0" shapeId="0" xr:uid="{00000000-0006-0000-0000-00000D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BhmWP12023</t>
        </r>
      </text>
    </comment>
    <comment ref="CK26" authorId="0" shapeId="0" xr:uid="{00000000-0006-0000-0000-00000E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Using the 2025 benchmark value based on BhmWP12023</t>
        </r>
      </text>
    </comment>
    <comment ref="CL26" authorId="0" shapeId="0" xr:uid="{00000000-0006-0000-0000-00000F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Using the 2025 benchmark value based on BhmWP12023</t>
        </r>
      </text>
    </comment>
    <comment ref="CM26" authorId="0" shapeId="0" xr:uid="{00000000-0006-0000-0000-000010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Using the 2025 benchmark value based on BhmWP12023</t>
        </r>
      </text>
    </comment>
    <comment ref="CO26" authorId="0" shapeId="0" xr:uid="{00000000-0006-0000-0000-000011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Using the 2025 best value based on BhmWP12023</t>
        </r>
      </text>
    </comment>
    <comment ref="CP26" authorId="0" shapeId="0" xr:uid="{00000000-0006-0000-0000-000012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Using the 2025 best value based on BhmWP12023</t>
        </r>
      </text>
    </comment>
    <comment ref="CQ26" authorId="0" shapeId="0" xr:uid="{00000000-0006-0000-0000-000013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Using the 2025 best value based on BhmWP12023</t>
        </r>
      </text>
    </comment>
    <comment ref="CR26" authorId="0" shapeId="0" xr:uid="{00000000-0006-0000-0000-000014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CS26" authorId="0" shapeId="0" xr:uid="{00000000-0006-0000-0000-000015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CT26" authorId="0" shapeId="0" xr:uid="{00000000-0006-0000-0000-000016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CU26" authorId="0" shapeId="0" xr:uid="{00000000-0006-0000-0000-000017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CV26" authorId="0" shapeId="0" xr:uid="{00000000-0006-0000-0000-000018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CW26" authorId="0" shapeId="0" xr:uid="{00000000-0006-0000-0000-000019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CX26" authorId="0" shapeId="0" xr:uid="{00000000-0006-0000-0000-00001A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CY26" authorId="0" shapeId="0" xr:uid="{00000000-0006-0000-0000-00001B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CZ26" authorId="0" shapeId="0" xr:uid="{00000000-0006-0000-0000-00001C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DA26" authorId="0" shapeId="0" xr:uid="{00000000-0006-0000-0000-00001D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DV26" authorId="0" shapeId="0" xr:uid="{00000000-0006-0000-0000-00001E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High water price from BhmWP12023</t>
        </r>
      </text>
    </comment>
    <comment ref="DW26" authorId="0" shapeId="0" xr:uid="{00000000-0006-0000-0000-00001F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Medium water price from BhmWP12023</t>
        </r>
      </text>
    </comment>
    <comment ref="DX26" authorId="0" shapeId="0" xr:uid="{00000000-0006-0000-0000-000020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Low water price from BhmWP12023</t>
        </r>
      </text>
    </comment>
    <comment ref="DY26" authorId="0" shapeId="0" xr:uid="{00000000-0006-0000-0000-000021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High water price from BhmWP12023</t>
        </r>
      </text>
    </comment>
    <comment ref="DZ26" authorId="0" shapeId="0" xr:uid="{00000000-0006-0000-0000-000022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Medium water price from BhmWP12023</t>
        </r>
      </text>
    </comment>
    <comment ref="EA26" authorId="0" shapeId="0" xr:uid="{00000000-0006-0000-0000-000023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Low water price from BhmWP12023</t>
        </r>
      </text>
    </comment>
    <comment ref="EC26" authorId="0" shapeId="0" xr:uid="{00000000-0006-0000-0000-000024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High water price from BhmWP12023</t>
        </r>
      </text>
    </comment>
    <comment ref="ED26" authorId="0" shapeId="0" xr:uid="{00000000-0006-0000-0000-000025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Medium water price from BhmWP12023</t>
        </r>
      </text>
    </comment>
    <comment ref="EE26" authorId="0" shapeId="0" xr:uid="{00000000-0006-0000-0000-000026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Low water price from BhmWP12023</t>
        </r>
      </text>
    </comment>
    <comment ref="P27" authorId="0" shapeId="0" xr:uid="{00000000-0006-0000-0000-000027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stoichiometric (9 kg of water consumed per kg of hydrogen).</t>
        </r>
      </text>
    </comment>
    <comment ref="Q27" authorId="0" shapeId="0" xr:uid="{9C31F0F6-570D-4A90-8657-AAB015288A9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stoichiometric (9 kg of water consumed per kg of hydrogen).</t>
        </r>
      </text>
    </comment>
    <comment ref="R27" authorId="0" shapeId="0" xr:uid="{B88B302B-7EBA-411D-A3F8-7997B207677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stoichiometric (9 kg of water consumed per kg of hydrogen).</t>
        </r>
      </text>
    </comment>
    <comment ref="S27" authorId="0" shapeId="0" xr:uid="{2A471841-68E2-410C-9E0B-94778D367FD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stoichiometric (9 kg of water consumed per kg of hydrogen).</t>
        </r>
      </text>
    </comment>
    <comment ref="T27" authorId="0" shapeId="0" xr:uid="{487A2661-868D-4250-A721-AA0192AF631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stoichiometric (9 kg of water consumed per kg of hydrogen).</t>
        </r>
      </text>
    </comment>
    <comment ref="U27" authorId="0" shapeId="0" xr:uid="{2FDA8006-EB69-4D29-9BA7-1F4A499BDA8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stoichiometric (9 kg of water consumed per kg of hydrogen).</t>
        </r>
      </text>
    </comment>
    <comment ref="V27" authorId="0" shapeId="0" xr:uid="{34D24FD6-12F6-48AB-B9C7-E73B47F661A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stoichiometric (9 kg of water consumed per kg of hydrogen).</t>
        </r>
      </text>
    </comment>
    <comment ref="W27" authorId="0" shapeId="0" xr:uid="{CB240832-046B-4452-9E0B-AD22EDF6927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stoichiometric (9 kg of water consumed per kg of hydrogen).</t>
        </r>
      </text>
    </comment>
    <comment ref="X27" authorId="0" shapeId="0" xr:uid="{38B578DE-AA23-48CA-869F-8C9D6BDEA22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stoichiometric (9 kg of water consumed per kg of hydrogen).</t>
        </r>
      </text>
    </comment>
    <comment ref="Y27" authorId="0" shapeId="0" xr:uid="{CCB480EA-21B4-43FD-989A-11AE30AB090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stoichiometric (9 kg of water consumed per kg of hydrogen).</t>
        </r>
      </text>
    </comment>
    <comment ref="BX27" authorId="0" shapeId="0" xr:uid="{00000000-0006-0000-0000-000031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IEA2019</t>
        </r>
      </text>
    </comment>
    <comment ref="BY27" authorId="0" shapeId="0" xr:uid="{00000000-0006-0000-0000-000032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Campion2023</t>
        </r>
      </text>
    </comment>
    <comment ref="BZ27" authorId="0" shapeId="0" xr:uid="{00000000-0006-0000-0000-000033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A27" authorId="0" shapeId="0" xr:uid="{00000000-0006-0000-0000-000034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IEA2019</t>
        </r>
      </text>
    </comment>
    <comment ref="CB27" authorId="0" shapeId="0" xr:uid="{00000000-0006-0000-0000-000035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C27" authorId="0" shapeId="0" xr:uid="{00000000-0006-0000-0000-000036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IEA2019</t>
        </r>
      </text>
    </comment>
    <comment ref="CD27" authorId="0" shapeId="0" xr:uid="{00000000-0006-0000-0000-000037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E27" authorId="0" shapeId="0" xr:uid="{00000000-0006-0000-0000-000038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F27" authorId="0" shapeId="0" xr:uid="{00000000-0006-0000-0000-000039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G27" authorId="0" shapeId="0" xr:uid="{00000000-0006-0000-0000-00003A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Target for 2050 according to IRENA2020</t>
        </r>
      </text>
    </comment>
    <comment ref="CI27" authorId="0" shapeId="0" xr:uid="{00000000-0006-0000-0000-00003B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MMZCS2023</t>
        </r>
      </text>
    </comment>
    <comment ref="CK27" authorId="0" shapeId="0" xr:uid="{00000000-0006-0000-0000-00003C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MMZCS2023</t>
        </r>
      </text>
    </comment>
    <comment ref="CL27" authorId="0" shapeId="0" xr:uid="{00000000-0006-0000-0000-00003D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MMZCS2023</t>
        </r>
      </text>
    </comment>
    <comment ref="CM27" authorId="0" shapeId="0" xr:uid="{00000000-0006-0000-0000-00003E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MMZCS2023</t>
        </r>
      </text>
    </comment>
    <comment ref="CO27" authorId="0" shapeId="0" xr:uid="{00000000-0006-0000-0000-00003F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MMZCS2023</t>
        </r>
      </text>
    </comment>
    <comment ref="CP27" authorId="0" shapeId="0" xr:uid="{00000000-0006-0000-0000-000040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MMZCS2023</t>
        </r>
      </text>
    </comment>
    <comment ref="CQ27" authorId="0" shapeId="0" xr:uid="{00000000-0006-0000-0000-000041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MMZCS2023</t>
        </r>
      </text>
    </comment>
    <comment ref="CR27" authorId="0" shapeId="0" xr:uid="{00000000-0006-0000-0000-000042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Using 10% Capex based on MMZCS2023</t>
        </r>
      </text>
    </comment>
    <comment ref="CS27" authorId="0" shapeId="0" xr:uid="{00000000-0006-0000-0000-000043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Using 10% Capex based on MMZCS2023</t>
        </r>
      </text>
    </comment>
    <comment ref="CT27" authorId="0" shapeId="0" xr:uid="{00000000-0006-0000-0000-000044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Using 10% Capex based on MMZCS2023</t>
        </r>
      </text>
    </comment>
    <comment ref="CU27" authorId="0" shapeId="0" xr:uid="{00000000-0006-0000-0000-000045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Using 10% Capex based on MMZCS2023</t>
        </r>
      </text>
    </comment>
    <comment ref="CV27" authorId="0" shapeId="0" xr:uid="{00000000-0006-0000-0000-000046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Using 10% Capex based on MMZCS2023</t>
        </r>
      </text>
    </comment>
    <comment ref="CW27" authorId="0" shapeId="0" xr:uid="{00000000-0006-0000-0000-000047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Using 10% Capex based on MMZCS2023</t>
        </r>
      </text>
    </comment>
    <comment ref="CX27" authorId="0" shapeId="0" xr:uid="{00000000-0006-0000-0000-000048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Using 10% Capex based on MMZCS2023</t>
        </r>
      </text>
    </comment>
    <comment ref="CY27" authorId="0" shapeId="0" xr:uid="{00000000-0006-0000-0000-000049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Using 10% Capex based on MMZCS2023</t>
        </r>
      </text>
    </comment>
    <comment ref="CZ27" authorId="0" shapeId="0" xr:uid="{00000000-0006-0000-0000-00004A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Using 10% Capex based on MMZCS2023</t>
        </r>
      </text>
    </comment>
    <comment ref="DA27" authorId="0" shapeId="0" xr:uid="{00000000-0006-0000-0000-00004B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Using 10% Capex based on MMZCS2023</t>
        </r>
      </text>
    </comment>
    <comment ref="P28" authorId="0" shapeId="0" xr:uid="{9F8A19BF-686B-468A-97D2-3D9FCBA6E67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stoichiometric (9 kg of water consumed per kg of hydrogen).</t>
        </r>
      </text>
    </comment>
    <comment ref="Q28" authorId="0" shapeId="0" xr:uid="{3B056564-C2DB-4714-8333-7FD442AC9F7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stoichiometric (9 kg of water consumed per kg of hydrogen).</t>
        </r>
      </text>
    </comment>
    <comment ref="R28" authorId="0" shapeId="0" xr:uid="{82C4ABF3-89D3-4DF4-BC09-687A57FCBAC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stoichiometric (9 kg of water consumed per kg of hydrogen).</t>
        </r>
      </text>
    </comment>
    <comment ref="S28" authorId="0" shapeId="0" xr:uid="{70A52F90-D66B-4A8C-AA5B-94CD3909EF1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stoichiometric (9 kg of water consumed per kg of hydrogen).</t>
        </r>
      </text>
    </comment>
    <comment ref="T28" authorId="0" shapeId="0" xr:uid="{AE6B7B20-C1A5-4265-B46B-980DF6EECF1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stoichiometric (9 kg of water consumed per kg of hydrogen).</t>
        </r>
      </text>
    </comment>
    <comment ref="U28" authorId="0" shapeId="0" xr:uid="{9850C6EB-13A7-4B87-B209-65C56CF3808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stoichiometric (9 kg of water consumed per kg of hydrogen).</t>
        </r>
      </text>
    </comment>
    <comment ref="V28" authorId="0" shapeId="0" xr:uid="{1C7F6D03-0CBD-4707-AB8B-620FBCB5B96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stoichiometric (9 kg of water consumed per kg of hydrogen).</t>
        </r>
      </text>
    </comment>
    <comment ref="W28" authorId="0" shapeId="0" xr:uid="{3DBB2D62-F402-4262-ADFD-469AF74D587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stoichiometric (9 kg of water consumed per kg of hydrogen).</t>
        </r>
      </text>
    </comment>
    <comment ref="X28" authorId="0" shapeId="0" xr:uid="{F472CF8E-26EF-444A-9CEB-000B1CD8B99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stoichiometric (9 kg of water consumed per kg of hydrogen).</t>
        </r>
      </text>
    </comment>
    <comment ref="Y28" authorId="0" shapeId="0" xr:uid="{82FA748D-8F18-41CE-A534-57D96F4034E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stoichiometric (9 kg of water consumed per kg of hydrogen).</t>
        </r>
      </text>
    </comment>
    <comment ref="BX28" authorId="0" shapeId="0" xr:uid="{00000000-0006-0000-0000-000056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</t>
        </r>
      </text>
    </comment>
    <comment ref="BY28" authorId="0" shapeId="0" xr:uid="{00000000-0006-0000-0000-000057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</t>
        </r>
      </text>
    </comment>
    <comment ref="BZ28" authorId="0" shapeId="0" xr:uid="{00000000-0006-0000-0000-000058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</t>
        </r>
      </text>
    </comment>
    <comment ref="CA28" authorId="0" shapeId="0" xr:uid="{00000000-0006-0000-0000-000059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</t>
        </r>
      </text>
    </comment>
    <comment ref="CB28" authorId="0" shapeId="0" xr:uid="{00000000-0006-0000-0000-00005A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</t>
        </r>
      </text>
    </comment>
    <comment ref="CC28" authorId="0" shapeId="0" xr:uid="{00000000-0006-0000-0000-00005B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</t>
        </r>
      </text>
    </comment>
    <comment ref="CD28" authorId="0" shapeId="0" xr:uid="{00000000-0006-0000-0000-00005C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</t>
        </r>
      </text>
    </comment>
    <comment ref="CE28" authorId="0" shapeId="0" xr:uid="{00000000-0006-0000-0000-00005D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</t>
        </r>
      </text>
    </comment>
    <comment ref="CF28" authorId="0" shapeId="0" xr:uid="{00000000-0006-0000-0000-00005E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</t>
        </r>
      </text>
    </comment>
    <comment ref="CG28" authorId="0" shapeId="0" xr:uid="{00000000-0006-0000-0000-00005F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</t>
        </r>
      </text>
    </comment>
    <comment ref="CI28" authorId="0" shapeId="0" xr:uid="{00000000-0006-0000-0000-000060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MMZCS2023</t>
        </r>
      </text>
    </comment>
    <comment ref="CK28" authorId="0" shapeId="0" xr:uid="{00000000-0006-0000-0000-000061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NREL2020</t>
        </r>
      </text>
    </comment>
    <comment ref="CL28" authorId="0" shapeId="0" xr:uid="{00000000-0006-0000-0000-000062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NREL2020</t>
        </r>
      </text>
    </comment>
    <comment ref="CM28" authorId="0" shapeId="0" xr:uid="{00000000-0006-0000-0000-000063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NREL2020</t>
        </r>
      </text>
    </comment>
    <comment ref="CO28" authorId="0" shapeId="0" xr:uid="{00000000-0006-0000-0000-000064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MMZCS2023</t>
        </r>
      </text>
    </comment>
    <comment ref="CP28" authorId="0" shapeId="0" xr:uid="{00000000-0006-0000-0000-000065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MMZCS2023</t>
        </r>
      </text>
    </comment>
    <comment ref="CQ28" authorId="0" shapeId="0" xr:uid="{00000000-0006-0000-0000-000066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MMZCS2023</t>
        </r>
      </text>
    </comment>
    <comment ref="CR28" authorId="0" shapeId="0" xr:uid="{00000000-0006-0000-0000-000067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8.55% Capex based on NREL2020</t>
        </r>
      </text>
    </comment>
    <comment ref="CS28" authorId="0" shapeId="0" xr:uid="{00000000-0006-0000-0000-000068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8.55% Capex based on NREL2020</t>
        </r>
      </text>
    </comment>
    <comment ref="CT28" authorId="0" shapeId="0" xr:uid="{00000000-0006-0000-0000-000069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8.55% Capex based on NREL2020</t>
        </r>
      </text>
    </comment>
    <comment ref="CU28" authorId="0" shapeId="0" xr:uid="{00000000-0006-0000-0000-00006A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8.55% Capex based on NREL2020</t>
        </r>
      </text>
    </comment>
    <comment ref="CV28" authorId="0" shapeId="0" xr:uid="{00000000-0006-0000-0000-00006B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8.55% Capex based on NREL2020</t>
        </r>
      </text>
    </comment>
    <comment ref="CW28" authorId="0" shapeId="0" xr:uid="{00000000-0006-0000-0000-00006C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8.55% Capex based on NREL2020</t>
        </r>
      </text>
    </comment>
    <comment ref="CX28" authorId="0" shapeId="0" xr:uid="{00000000-0006-0000-0000-00006D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8.55% Capex based on NREL2020</t>
        </r>
      </text>
    </comment>
    <comment ref="CY28" authorId="0" shapeId="0" xr:uid="{00000000-0006-0000-0000-00006E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8.55% Capex based on NREL2020</t>
        </r>
      </text>
    </comment>
    <comment ref="CZ28" authorId="0" shapeId="0" xr:uid="{00000000-0006-0000-0000-00006F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8.55% Capex based on NREL2020</t>
        </r>
      </text>
    </comment>
    <comment ref="DA28" authorId="0" shapeId="0" xr:uid="{00000000-0006-0000-0000-000070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8.55% Capex based on NREL2020</t>
        </r>
      </text>
    </comment>
    <comment ref="P29" authorId="0" shapeId="0" xr:uid="{38615923-CC46-4D0E-8E95-F2F4C662B8B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stoichiometric (9 kg of water consumed per kg of hydrogen).</t>
        </r>
      </text>
    </comment>
    <comment ref="Q29" authorId="0" shapeId="0" xr:uid="{898FC987-9E62-4C5D-965E-4AB53B3DC19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stoichiometric (9 kg of water consumed per kg of hydrogen).</t>
        </r>
      </text>
    </comment>
    <comment ref="R29" authorId="0" shapeId="0" xr:uid="{0D4B39DE-315F-4BD1-8996-5DCC66C7DA4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stoichiometric (9 kg of water consumed per kg of hydrogen).</t>
        </r>
      </text>
    </comment>
    <comment ref="S29" authorId="0" shapeId="0" xr:uid="{34653067-F382-4CAD-AD58-60B1323E8ED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stoichiometric (9 kg of water consumed per kg of hydrogen).</t>
        </r>
      </text>
    </comment>
    <comment ref="T29" authorId="0" shapeId="0" xr:uid="{AA4A4FCE-109A-4DCA-A87E-D9C4A87F49A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stoichiometric (9 kg of water consumed per kg of hydrogen).</t>
        </r>
      </text>
    </comment>
    <comment ref="U29" authorId="0" shapeId="0" xr:uid="{405FBCEE-D001-4C80-9CA9-51635EC1443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stoichiometric (9 kg of water consumed per kg of hydrogen).</t>
        </r>
      </text>
    </comment>
    <comment ref="V29" authorId="0" shapeId="0" xr:uid="{B3580D6A-CEF3-42F4-912D-909C941E9CB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stoichiometric (9 kg of water consumed per kg of hydrogen).</t>
        </r>
      </text>
    </comment>
    <comment ref="W29" authorId="0" shapeId="0" xr:uid="{C2181870-19B1-47BA-A69C-FA01FB348B1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stoichiometric (9 kg of water consumed per kg of hydrogen).</t>
        </r>
      </text>
    </comment>
    <comment ref="X29" authorId="0" shapeId="0" xr:uid="{11B641F7-B622-47CA-B533-7CBAFA23B08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stoichiometric (9 kg of water consumed per kg of hydrogen).</t>
        </r>
      </text>
    </comment>
    <comment ref="Y29" authorId="0" shapeId="0" xr:uid="{CB113C52-B824-4A7C-BB11-A7353257488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stoichiometric (9 kg of water consumed per kg of hydrogen).</t>
        </r>
      </text>
    </comment>
    <comment ref="BX29" authorId="0" shapeId="0" xr:uid="{00000000-0006-0000-0000-00007B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Y29" authorId="0" shapeId="0" xr:uid="{00000000-0006-0000-0000-00007C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Z29" authorId="0" shapeId="0" xr:uid="{00000000-0006-0000-0000-00007D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A29" authorId="0" shapeId="0" xr:uid="{00000000-0006-0000-0000-00007E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B29" authorId="0" shapeId="0" xr:uid="{00000000-0006-0000-0000-00007F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C29" authorId="0" shapeId="0" xr:uid="{00000000-0006-0000-0000-000080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D29" authorId="0" shapeId="0" xr:uid="{00000000-0006-0000-0000-000081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E29" authorId="0" shapeId="0" xr:uid="{00000000-0006-0000-0000-000082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F29" authorId="0" shapeId="0" xr:uid="{00000000-0006-0000-0000-000083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G29" authorId="0" shapeId="0" xr:uid="{00000000-0006-0000-0000-000084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I29" authorId="0" shapeId="0" xr:uid="{00000000-0006-0000-0000-000085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MMZCS2023</t>
        </r>
      </text>
    </comment>
    <comment ref="CK29" authorId="0" shapeId="0" xr:uid="{00000000-0006-0000-0000-000086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NREL2020</t>
        </r>
      </text>
    </comment>
    <comment ref="CL29" authorId="0" shapeId="0" xr:uid="{00000000-0006-0000-0000-000087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NREL2020</t>
        </r>
      </text>
    </comment>
    <comment ref="CM29" authorId="0" shapeId="0" xr:uid="{00000000-0006-0000-0000-000088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NREL2020</t>
        </r>
      </text>
    </comment>
    <comment ref="CO29" authorId="0" shapeId="0" xr:uid="{00000000-0006-0000-0000-000089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MMZCS2023</t>
        </r>
      </text>
    </comment>
    <comment ref="CP29" authorId="0" shapeId="0" xr:uid="{00000000-0006-0000-0000-00008A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MMZCS2023</t>
        </r>
      </text>
    </comment>
    <comment ref="CQ29" authorId="0" shapeId="0" xr:uid="{00000000-0006-0000-0000-00008B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MMZCS2023</t>
        </r>
      </text>
    </comment>
    <comment ref="CR29" authorId="0" shapeId="0" xr:uid="{00000000-0006-0000-0000-00008C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8.55% Capex based on NREL2020</t>
        </r>
      </text>
    </comment>
    <comment ref="CS29" authorId="0" shapeId="0" xr:uid="{00000000-0006-0000-0000-00008D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8.55% Capex based on NREL2020</t>
        </r>
      </text>
    </comment>
    <comment ref="CT29" authorId="0" shapeId="0" xr:uid="{00000000-0006-0000-0000-00008E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8.55% Capex based on NREL2020</t>
        </r>
      </text>
    </comment>
    <comment ref="CU29" authorId="0" shapeId="0" xr:uid="{00000000-0006-0000-0000-00008F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8.55% Capex based on NREL2020</t>
        </r>
      </text>
    </comment>
    <comment ref="CV29" authorId="0" shapeId="0" xr:uid="{00000000-0006-0000-0000-000090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8.55% Capex based on NREL2020</t>
        </r>
      </text>
    </comment>
    <comment ref="CW29" authorId="0" shapeId="0" xr:uid="{00000000-0006-0000-0000-000091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8.55% Capex based on NREL2020</t>
        </r>
      </text>
    </comment>
    <comment ref="CX29" authorId="0" shapeId="0" xr:uid="{00000000-0006-0000-0000-000092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8.55% Capex based on NREL2020</t>
        </r>
      </text>
    </comment>
    <comment ref="CY29" authorId="0" shapeId="0" xr:uid="{00000000-0006-0000-0000-000093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8.55% Capex based on NREL2020</t>
        </r>
      </text>
    </comment>
    <comment ref="CZ29" authorId="0" shapeId="0" xr:uid="{00000000-0006-0000-0000-000094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8.55% Capex based on NREL2020</t>
        </r>
      </text>
    </comment>
    <comment ref="DA29" authorId="0" shapeId="0" xr:uid="{00000000-0006-0000-0000-000095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8.55% Capex based on NREL2020</t>
        </r>
      </text>
    </comment>
    <comment ref="P30" authorId="0" shapeId="0" xr:uid="{B4AA62D4-C76F-4EE3-9605-DADF306B880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stoichiometric (9 kg of water consumed per kg of hydrogen).</t>
        </r>
      </text>
    </comment>
    <comment ref="Q30" authorId="0" shapeId="0" xr:uid="{91C51C26-4FAD-43FC-800F-A763D101913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stoichiometric (9 kg of water consumed per kg of hydrogen).</t>
        </r>
      </text>
    </comment>
    <comment ref="R30" authorId="0" shapeId="0" xr:uid="{E56D9AB4-ECC1-4C50-9C22-220E57BD665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stoichiometric (9 kg of water consumed per kg of hydrogen).</t>
        </r>
      </text>
    </comment>
    <comment ref="S30" authorId="0" shapeId="0" xr:uid="{884AA593-C8CE-4D4B-9B5A-50735568591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stoichiometric (9 kg of water consumed per kg of hydrogen).</t>
        </r>
      </text>
    </comment>
    <comment ref="T30" authorId="0" shapeId="0" xr:uid="{CA383C8E-907A-43DB-9493-2FAC124B7A2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stoichiometric (9 kg of water consumed per kg of hydrogen).</t>
        </r>
      </text>
    </comment>
    <comment ref="U30" authorId="0" shapeId="0" xr:uid="{92712949-D5C1-456A-B282-C62B44E8704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stoichiometric (9 kg of water consumed per kg of hydrogen).</t>
        </r>
      </text>
    </comment>
    <comment ref="V30" authorId="0" shapeId="0" xr:uid="{44AFDED6-0127-451F-8446-7D4A908E040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stoichiometric (9 kg of water consumed per kg of hydrogen).</t>
        </r>
      </text>
    </comment>
    <comment ref="W30" authorId="0" shapeId="0" xr:uid="{835F37B3-2D82-4C9D-B517-5019631E10C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stoichiometric (9 kg of water consumed per kg of hydrogen).</t>
        </r>
      </text>
    </comment>
    <comment ref="X30" authorId="0" shapeId="0" xr:uid="{EF37DC23-CC24-4C1A-BB41-143A1382EBB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stoichiometric (9 kg of water consumed per kg of hydrogen).</t>
        </r>
      </text>
    </comment>
    <comment ref="Y30" authorId="0" shapeId="0" xr:uid="{2DB55340-FC3E-415B-8D76-AEADBF964F2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stoichiometric (9 kg of water consumed per kg of hydrogen).</t>
        </r>
      </text>
    </comment>
    <comment ref="P31" authorId="0" shapeId="0" xr:uid="{B6802D0C-7DC8-4ABE-829E-C24439FCFE2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stoichiometric (9 kg of water consumed per kg of hydrogen).</t>
        </r>
      </text>
    </comment>
    <comment ref="Q31" authorId="0" shapeId="0" xr:uid="{9C84401B-0CA6-468E-93ED-19FE9803FD7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stoichiometric (9 kg of water consumed per kg of hydrogen).</t>
        </r>
      </text>
    </comment>
    <comment ref="R31" authorId="0" shapeId="0" xr:uid="{9706AFCE-AD69-4AFA-8AC5-8B589700E8E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stoichiometric (9 kg of water consumed per kg of hydrogen).</t>
        </r>
      </text>
    </comment>
    <comment ref="S31" authorId="0" shapeId="0" xr:uid="{308DA88A-F7E6-4E90-89F8-FF1CD99C465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stoichiometric (9 kg of water consumed per kg of hydrogen).</t>
        </r>
      </text>
    </comment>
    <comment ref="T31" authorId="0" shapeId="0" xr:uid="{01DB05C0-82B3-4331-855B-6847BADB846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stoichiometric (9 kg of water consumed per kg of hydrogen).</t>
        </r>
      </text>
    </comment>
    <comment ref="U31" authorId="0" shapeId="0" xr:uid="{446452C6-567A-4B1D-8A3A-A2B7BB92AE4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stoichiometric (9 kg of water consumed per kg of hydrogen).</t>
        </r>
      </text>
    </comment>
    <comment ref="V31" authorId="0" shapeId="0" xr:uid="{FB2E084C-9E98-4839-9527-E887CF8E690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stoichiometric (9 kg of water consumed per kg of hydrogen).</t>
        </r>
      </text>
    </comment>
    <comment ref="W31" authorId="0" shapeId="0" xr:uid="{A2C5A1C7-404B-497E-A952-13D61C7CED0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stoichiometric (9 kg of water consumed per kg of hydrogen).</t>
        </r>
      </text>
    </comment>
    <comment ref="X31" authorId="0" shapeId="0" xr:uid="{3D1A8A04-93AD-47AC-AB2A-16E9981E487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stoichiometric (9 kg of water consumed per kg of hydrogen).</t>
        </r>
      </text>
    </comment>
    <comment ref="Y31" authorId="0" shapeId="0" xr:uid="{CC7A55C9-2F41-484E-9DDF-DA41E1237C2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stoichiometric (9 kg of water consumed per kg of hydrogen).</t>
        </r>
      </text>
    </comment>
    <comment ref="P38" authorId="0" shapeId="0" xr:uid="{00000000-0006-0000-0000-0000AA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Stoechiometric conversion</t>
        </r>
      </text>
    </comment>
    <comment ref="Q38" authorId="0" shapeId="0" xr:uid="{00000000-0006-0000-0000-0000AB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Stoechiometric conversion</t>
        </r>
      </text>
    </comment>
    <comment ref="R38" authorId="0" shapeId="0" xr:uid="{00000000-0006-0000-0000-0000AC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Stoechiometric conversion</t>
        </r>
      </text>
    </comment>
    <comment ref="S38" authorId="0" shapeId="0" xr:uid="{00000000-0006-0000-0000-0000AD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Stoechiometric conversion</t>
        </r>
      </text>
    </comment>
    <comment ref="T38" authorId="0" shapeId="0" xr:uid="{00000000-0006-0000-0000-0000AE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Stoechiometric conversion</t>
        </r>
      </text>
    </comment>
    <comment ref="U38" authorId="0" shapeId="0" xr:uid="{00000000-0006-0000-0000-0000AF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Stoechiometric conversion</t>
        </r>
      </text>
    </comment>
    <comment ref="V38" authorId="0" shapeId="0" xr:uid="{00000000-0006-0000-0000-0000B0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Stoechiometric conversion</t>
        </r>
      </text>
    </comment>
    <comment ref="W38" authorId="0" shapeId="0" xr:uid="{00000000-0006-0000-0000-0000B1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Stoechiometric conversion</t>
        </r>
      </text>
    </comment>
    <comment ref="X38" authorId="0" shapeId="0" xr:uid="{00000000-0006-0000-0000-0000B2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Stoechiometric conversion</t>
        </r>
      </text>
    </comment>
    <comment ref="Y38" authorId="0" shapeId="0" xr:uid="{00000000-0006-0000-0000-0000B3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Stoechiometric conversion</t>
        </r>
      </text>
    </comment>
    <comment ref="BX39" authorId="0" shapeId="0" xr:uid="{00000000-0006-0000-0000-0000B4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Compression work from 20 to 100 bars based on Induspart2023</t>
        </r>
      </text>
    </comment>
    <comment ref="BY39" authorId="0" shapeId="0" xr:uid="{00000000-0006-0000-0000-0000B5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Compression work from 20 to 100 bars based on Induspart2023</t>
        </r>
      </text>
    </comment>
    <comment ref="BZ39" authorId="0" shapeId="0" xr:uid="{00000000-0006-0000-0000-0000B6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Compression work from 20 to 100 bars based on Induspart2023</t>
        </r>
      </text>
    </comment>
    <comment ref="CA39" authorId="0" shapeId="0" xr:uid="{00000000-0006-0000-0000-0000B7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Compression work from 20 to 100 bars based on Induspart2023</t>
        </r>
      </text>
    </comment>
    <comment ref="CB39" authorId="0" shapeId="0" xr:uid="{00000000-0006-0000-0000-0000B8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Compression work from 20 to 100 bars based on Induspart2023</t>
        </r>
      </text>
    </comment>
    <comment ref="CC39" authorId="0" shapeId="0" xr:uid="{00000000-0006-0000-0000-0000B9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Compression work from 20 to 100 bars based on Induspart2023</t>
        </r>
      </text>
    </comment>
    <comment ref="CD39" authorId="0" shapeId="0" xr:uid="{00000000-0006-0000-0000-0000BA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Compression work from 20 to 100 bars based on Induspart2023</t>
        </r>
      </text>
    </comment>
    <comment ref="CE39" authorId="0" shapeId="0" xr:uid="{00000000-0006-0000-0000-0000BB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Compression work from 20 to 100 bars based on Induspart2023</t>
        </r>
      </text>
    </comment>
    <comment ref="CF39" authorId="0" shapeId="0" xr:uid="{00000000-0006-0000-0000-0000BC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Compression work from 20 to 100 bars based on Induspart2023</t>
        </r>
      </text>
    </comment>
    <comment ref="CG39" authorId="0" shapeId="0" xr:uid="{00000000-0006-0000-0000-0000BD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Compression work from 20 to 100 bars based on Induspart2023</t>
        </r>
      </text>
    </comment>
    <comment ref="AT41" authorId="0" shapeId="0" xr:uid="{00000000-0006-0000-0000-0000BE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Adams2019</t>
        </r>
      </text>
    </comment>
    <comment ref="AU41" authorId="0" shapeId="0" xr:uid="{00000000-0006-0000-0000-0000BF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Adams2019</t>
        </r>
      </text>
    </comment>
    <comment ref="AV41" authorId="0" shapeId="0" xr:uid="{00000000-0006-0000-0000-0000C0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Adams2019</t>
        </r>
      </text>
    </comment>
    <comment ref="AW41" authorId="0" shapeId="0" xr:uid="{00000000-0006-0000-0000-0000C1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Adams2019</t>
        </r>
      </text>
    </comment>
    <comment ref="AX41" authorId="0" shapeId="0" xr:uid="{00000000-0006-0000-0000-0000C2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Adams2019</t>
        </r>
      </text>
    </comment>
    <comment ref="AY41" authorId="0" shapeId="0" xr:uid="{00000000-0006-0000-0000-0000C3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Adams2019</t>
        </r>
      </text>
    </comment>
    <comment ref="AZ41" authorId="0" shapeId="0" xr:uid="{00000000-0006-0000-0000-0000C4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Adams2019</t>
        </r>
      </text>
    </comment>
    <comment ref="BA41" authorId="0" shapeId="0" xr:uid="{00000000-0006-0000-0000-0000C5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Adams2019</t>
        </r>
      </text>
    </comment>
    <comment ref="BB41" authorId="0" shapeId="0" xr:uid="{00000000-0006-0000-0000-0000C6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Adams2019</t>
        </r>
      </text>
    </comment>
    <comment ref="BC41" authorId="0" shapeId="0" xr:uid="{00000000-0006-0000-0000-0000C7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Adams2019</t>
        </r>
      </text>
    </comment>
    <comment ref="CH41" authorId="0" shapeId="0" xr:uid="{00000000-0006-0000-0000-0000C8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 (includes compressors)</t>
        </r>
      </text>
    </comment>
    <comment ref="CI41" authorId="0" shapeId="0" xr:uid="{00000000-0006-0000-0000-0000C9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 (includes compressors)</t>
        </r>
      </text>
    </comment>
    <comment ref="CJ41" authorId="0" shapeId="0" xr:uid="{00000000-0006-0000-0000-0000CA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 (includes compressors)</t>
        </r>
      </text>
    </comment>
    <comment ref="CK41" authorId="0" shapeId="0" xr:uid="{00000000-0006-0000-0000-0000CB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 (includes compressors)</t>
        </r>
      </text>
    </comment>
    <comment ref="CL41" authorId="0" shapeId="0" xr:uid="{00000000-0006-0000-0000-0000CC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 (includes compressors)</t>
        </r>
      </text>
    </comment>
    <comment ref="CM41" authorId="0" shapeId="0" xr:uid="{00000000-0006-0000-0000-0000CD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 (includes compressors)</t>
        </r>
      </text>
    </comment>
    <comment ref="CO41" authorId="0" shapeId="0" xr:uid="{00000000-0006-0000-0000-0000CE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 assuming that compressor and pressurized storage components cost will be half of 2025's costs</t>
        </r>
      </text>
    </comment>
    <comment ref="CP41" authorId="0" shapeId="0" xr:uid="{00000000-0006-0000-0000-0000CF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 assuming that compressor and pressurized storage components cost will be half of 2025's costs</t>
        </r>
      </text>
    </comment>
    <comment ref="CQ41" authorId="0" shapeId="0" xr:uid="{00000000-0006-0000-0000-0000D0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 assuming that compressor and pressurized storage components cost will be half of 2025's costs</t>
        </r>
      </text>
    </comment>
    <comment ref="CR41" authorId="0" shapeId="0" xr:uid="{00000000-0006-0000-0000-0000D1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4% Capex based on Induspart2023</t>
        </r>
      </text>
    </comment>
    <comment ref="CS41" authorId="0" shapeId="0" xr:uid="{00000000-0006-0000-0000-0000D2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Induspart2023</t>
        </r>
      </text>
    </comment>
    <comment ref="CT41" authorId="0" shapeId="0" xr:uid="{00000000-0006-0000-0000-0000D3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Induspart2023</t>
        </r>
      </text>
    </comment>
    <comment ref="CU41" authorId="0" shapeId="0" xr:uid="{00000000-0006-0000-0000-0000D4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Induspart2023</t>
        </r>
      </text>
    </comment>
    <comment ref="CV41" authorId="0" shapeId="0" xr:uid="{00000000-0006-0000-0000-0000D5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Induspart2023</t>
        </r>
      </text>
    </comment>
    <comment ref="CW41" authorId="0" shapeId="0" xr:uid="{00000000-0006-0000-0000-0000D6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Induspart2023</t>
        </r>
      </text>
    </comment>
    <comment ref="CX41" authorId="0" shapeId="0" xr:uid="{00000000-0006-0000-0000-0000D7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Induspart2023</t>
        </r>
      </text>
    </comment>
    <comment ref="CY41" authorId="0" shapeId="0" xr:uid="{00000000-0006-0000-0000-0000D8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Induspart2023</t>
        </r>
      </text>
    </comment>
    <comment ref="CZ41" authorId="0" shapeId="0" xr:uid="{00000000-0006-0000-0000-0000D9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Induspart2023</t>
        </r>
      </text>
    </comment>
    <comment ref="DA41" authorId="0" shapeId="0" xr:uid="{00000000-0006-0000-0000-0000DA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Induspart2023</t>
        </r>
      </text>
    </comment>
    <comment ref="BX42" authorId="0" shapeId="0" xr:uid="{00000000-0006-0000-0000-0000DB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Compression work from 20 to 100 bars</t>
        </r>
      </text>
    </comment>
    <comment ref="BY42" authorId="0" shapeId="0" xr:uid="{00000000-0006-0000-0000-0000DC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Compression work from 20 to 100 bars</t>
        </r>
      </text>
    </comment>
    <comment ref="BZ42" authorId="0" shapeId="0" xr:uid="{00000000-0006-0000-0000-0000DD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Compression work from 20 to 100 bars</t>
        </r>
      </text>
    </comment>
    <comment ref="CA42" authorId="0" shapeId="0" xr:uid="{00000000-0006-0000-0000-0000DE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Compression work from 20 to 100 bars</t>
        </r>
      </text>
    </comment>
    <comment ref="CB42" authorId="0" shapeId="0" xr:uid="{00000000-0006-0000-0000-0000DF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Compression work from 20 to 100 bars</t>
        </r>
      </text>
    </comment>
    <comment ref="CC42" authorId="0" shapeId="0" xr:uid="{00000000-0006-0000-0000-0000E0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Compression work from 20 to 100 bars</t>
        </r>
      </text>
    </comment>
    <comment ref="CD42" authorId="0" shapeId="0" xr:uid="{00000000-0006-0000-0000-0000E1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Compression work from 20 to 100 bars</t>
        </r>
      </text>
    </comment>
    <comment ref="CE42" authorId="0" shapeId="0" xr:uid="{00000000-0006-0000-0000-0000E2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Compression work from 20 to 100 bars</t>
        </r>
      </text>
    </comment>
    <comment ref="CF42" authorId="0" shapeId="0" xr:uid="{00000000-0006-0000-0000-0000E3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Compression work from 20 to 100 bars</t>
        </r>
      </text>
    </comment>
    <comment ref="CG42" authorId="0" shapeId="0" xr:uid="{00000000-0006-0000-0000-0000E4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Compression work from 20 to 100 bars</t>
        </r>
      </text>
    </comment>
    <comment ref="AT44" authorId="0" shapeId="0" xr:uid="{00000000-0006-0000-0000-0000E5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Papadias2021</t>
        </r>
      </text>
    </comment>
    <comment ref="AU44" authorId="0" shapeId="0" xr:uid="{00000000-0006-0000-0000-0000E6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Papadias2021</t>
        </r>
      </text>
    </comment>
    <comment ref="AV44" authorId="0" shapeId="0" xr:uid="{00000000-0006-0000-0000-0000E7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Papadias2021</t>
        </r>
      </text>
    </comment>
    <comment ref="AW44" authorId="0" shapeId="0" xr:uid="{00000000-0006-0000-0000-0000E8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Papadias2021 assuming same values as of 2020</t>
        </r>
      </text>
    </comment>
    <comment ref="AX44" authorId="0" shapeId="0" xr:uid="{00000000-0006-0000-0000-0000E9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Papadias2021 assuming same values as of 2020</t>
        </r>
      </text>
    </comment>
    <comment ref="AY44" authorId="0" shapeId="0" xr:uid="{00000000-0006-0000-0000-0000EA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Papadias2021 assuming same values as of 2020</t>
        </r>
      </text>
    </comment>
    <comment ref="AZ44" authorId="0" shapeId="0" xr:uid="{00000000-0006-0000-0000-0000EB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Papadias2021 assuming same values as of 2020</t>
        </r>
      </text>
    </comment>
    <comment ref="BA44" authorId="0" shapeId="0" xr:uid="{00000000-0006-0000-0000-0000EC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Papadias2021 assuming same values as of 2020</t>
        </r>
      </text>
    </comment>
    <comment ref="BB44" authorId="0" shapeId="0" xr:uid="{00000000-0006-0000-0000-0000ED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Papadias2021 assuming same values as of 2020</t>
        </r>
      </text>
    </comment>
    <comment ref="BC44" authorId="0" shapeId="0" xr:uid="{00000000-0006-0000-0000-0000EE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Papadias2021 assuming same values as of 2020</t>
        </r>
      </text>
    </comment>
    <comment ref="CH44" authorId="0" shapeId="0" xr:uid="{00000000-0006-0000-0000-0000EF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Papadias2021</t>
        </r>
      </text>
    </comment>
    <comment ref="CI44" authorId="0" shapeId="0" xr:uid="{00000000-0006-0000-0000-0000F0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 for a working pressure around 100 bars</t>
        </r>
      </text>
    </comment>
    <comment ref="CJ44" authorId="0" shapeId="0" xr:uid="{00000000-0006-0000-0000-0000F1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 for a working pressure around 100 bars</t>
        </r>
      </text>
    </comment>
    <comment ref="CK44" authorId="0" shapeId="0" xr:uid="{00000000-0006-0000-0000-0000F2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 for a working pressure around 100 bars</t>
        </r>
      </text>
    </comment>
    <comment ref="CL44" authorId="0" shapeId="0" xr:uid="{00000000-0006-0000-0000-0000F3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 for a working pressure around 100 bars</t>
        </r>
      </text>
    </comment>
    <comment ref="CM44" authorId="0" shapeId="0" xr:uid="{00000000-0006-0000-0000-0000F4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 for a working pressure around 100 bars</t>
        </r>
      </text>
    </comment>
    <comment ref="CN44" authorId="0" shapeId="0" xr:uid="{00000000-0006-0000-0000-0000F5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 for a working pressure around 100 bars</t>
        </r>
      </text>
    </comment>
    <comment ref="CO44" authorId="0" shapeId="0" xr:uid="{00000000-0006-0000-0000-0000F6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 for a working pressure around 100 bars</t>
        </r>
      </text>
    </comment>
    <comment ref="CP44" authorId="0" shapeId="0" xr:uid="{00000000-0006-0000-0000-0000F7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 for a working pressure around 100 bars</t>
        </r>
      </text>
    </comment>
    <comment ref="CQ44" authorId="0" shapeId="0" xr:uid="{00000000-0006-0000-0000-0000F8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 for a working pressure around 100 bars</t>
        </r>
      </text>
    </comment>
    <comment ref="CR44" authorId="0" shapeId="0" xr:uid="{00000000-0006-0000-0000-0000F9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4% Capex based on Induspart2023</t>
        </r>
      </text>
    </comment>
    <comment ref="CS44" authorId="0" shapeId="0" xr:uid="{00000000-0006-0000-0000-0000FA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Induspart2023</t>
        </r>
      </text>
    </comment>
    <comment ref="CT44" authorId="0" shapeId="0" xr:uid="{00000000-0006-0000-0000-0000FB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Induspart2023</t>
        </r>
      </text>
    </comment>
    <comment ref="CU44" authorId="0" shapeId="0" xr:uid="{00000000-0006-0000-0000-0000FC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Induspart2023</t>
        </r>
      </text>
    </comment>
    <comment ref="CV44" authorId="0" shapeId="0" xr:uid="{00000000-0006-0000-0000-0000FD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Induspart2023</t>
        </r>
      </text>
    </comment>
    <comment ref="CW44" authorId="0" shapeId="0" xr:uid="{00000000-0006-0000-0000-0000FE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Induspart2023</t>
        </r>
      </text>
    </comment>
    <comment ref="CX44" authorId="0" shapeId="0" xr:uid="{00000000-0006-0000-0000-0000FF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Induspart2023</t>
        </r>
      </text>
    </comment>
    <comment ref="CY44" authorId="0" shapeId="0" xr:uid="{00000000-0006-0000-0000-000000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Induspart2023</t>
        </r>
      </text>
    </comment>
    <comment ref="CZ44" authorId="0" shapeId="0" xr:uid="{00000000-0006-0000-0000-000001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Induspart2023</t>
        </r>
      </text>
    </comment>
    <comment ref="DA44" authorId="0" shapeId="0" xr:uid="{00000000-0006-0000-0000-000002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Induspart2023</t>
        </r>
      </text>
    </comment>
    <comment ref="CH45" authorId="0" shapeId="0" xr:uid="{00000000-0006-0000-0000-000003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I45" authorId="0" shapeId="0" xr:uid="{00000000-0006-0000-0000-000004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J45" authorId="0" shapeId="0" xr:uid="{00000000-0006-0000-0000-000005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K45" authorId="0" shapeId="0" xr:uid="{00000000-0006-0000-0000-000006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L45" authorId="0" shapeId="0" xr:uid="{00000000-0006-0000-0000-000007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M45" authorId="0" shapeId="0" xr:uid="{00000000-0006-0000-0000-000008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N45" authorId="0" shapeId="0" xr:uid="{00000000-0006-0000-0000-000009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O45" authorId="0" shapeId="0" xr:uid="{00000000-0006-0000-0000-00000A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P45" authorId="0" shapeId="0" xr:uid="{00000000-0006-0000-0000-00000B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Q45" authorId="0" shapeId="0" xr:uid="{00000000-0006-0000-0000-00000C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R45" authorId="0" shapeId="0" xr:uid="{00000000-0006-0000-0000-00000D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S45" authorId="0" shapeId="0" xr:uid="{00000000-0006-0000-0000-00000E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T45" authorId="0" shapeId="0" xr:uid="{00000000-0006-0000-0000-00000F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U45" authorId="0" shapeId="0" xr:uid="{00000000-0006-0000-0000-000010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V45" authorId="0" shapeId="0" xr:uid="{00000000-0006-0000-0000-000011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W45" authorId="0" shapeId="0" xr:uid="{00000000-0006-0000-0000-000012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X45" authorId="0" shapeId="0" xr:uid="{00000000-0006-0000-0000-000013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Y45" authorId="0" shapeId="0" xr:uid="{00000000-0006-0000-0000-000014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Z45" authorId="0" shapeId="0" xr:uid="{00000000-0006-0000-0000-000015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A45" authorId="0" shapeId="0" xr:uid="{00000000-0006-0000-0000-000016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B45" authorId="0" shapeId="0" xr:uid="{00000000-0006-0000-0000-000017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C45" authorId="0" shapeId="0" xr:uid="{00000000-0006-0000-0000-000018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D45" authorId="0" shapeId="0" xr:uid="{00000000-0006-0000-0000-000019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E45" authorId="0" shapeId="0" xr:uid="{00000000-0006-0000-0000-00001A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F45" authorId="0" shapeId="0" xr:uid="{00000000-0006-0000-0000-00001B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G45" authorId="0" shapeId="0" xr:uid="{00000000-0006-0000-0000-00001C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H45" authorId="0" shapeId="0" xr:uid="{00000000-0006-0000-0000-00001D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I45" authorId="0" shapeId="0" xr:uid="{00000000-0006-0000-0000-00001E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J45" authorId="0" shapeId="0" xr:uid="{00000000-0006-0000-0000-00001F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K45" authorId="0" shapeId="0" xr:uid="{00000000-0006-0000-0000-000020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H46" authorId="0" shapeId="0" xr:uid="{00000000-0006-0000-0000-000021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I46" authorId="0" shapeId="0" xr:uid="{00000000-0006-0000-0000-000022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J46" authorId="0" shapeId="0" xr:uid="{00000000-0006-0000-0000-000023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K46" authorId="0" shapeId="0" xr:uid="{00000000-0006-0000-0000-000024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L46" authorId="0" shapeId="0" xr:uid="{00000000-0006-0000-0000-000025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M46" authorId="0" shapeId="0" xr:uid="{00000000-0006-0000-0000-000026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N46" authorId="0" shapeId="0" xr:uid="{00000000-0006-0000-0000-000027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O46" authorId="0" shapeId="0" xr:uid="{00000000-0006-0000-0000-000028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P46" authorId="0" shapeId="0" xr:uid="{00000000-0006-0000-0000-000029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Q46" authorId="0" shapeId="0" xr:uid="{00000000-0006-0000-0000-00002A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R46" authorId="0" shapeId="0" xr:uid="{00000000-0006-0000-0000-00002B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S46" authorId="0" shapeId="0" xr:uid="{00000000-0006-0000-0000-00002C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T46" authorId="0" shapeId="0" xr:uid="{00000000-0006-0000-0000-00002D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U46" authorId="0" shapeId="0" xr:uid="{00000000-0006-0000-0000-00002E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V46" authorId="0" shapeId="0" xr:uid="{00000000-0006-0000-0000-00002F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W46" authorId="0" shapeId="0" xr:uid="{00000000-0006-0000-0000-000030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X46" authorId="0" shapeId="0" xr:uid="{00000000-0006-0000-0000-000031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Y46" authorId="0" shapeId="0" xr:uid="{00000000-0006-0000-0000-000032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Z46" authorId="0" shapeId="0" xr:uid="{00000000-0006-0000-0000-000033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A46" authorId="0" shapeId="0" xr:uid="{00000000-0006-0000-0000-000034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B46" authorId="0" shapeId="0" xr:uid="{00000000-0006-0000-0000-000035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C46" authorId="0" shapeId="0" xr:uid="{00000000-0006-0000-0000-000036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D46" authorId="0" shapeId="0" xr:uid="{00000000-0006-0000-0000-000037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E46" authorId="0" shapeId="0" xr:uid="{00000000-0006-0000-0000-000038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F46" authorId="0" shapeId="0" xr:uid="{00000000-0006-0000-0000-000039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G46" authorId="0" shapeId="0" xr:uid="{00000000-0006-0000-0000-00003A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H46" authorId="0" shapeId="0" xr:uid="{00000000-0006-0000-0000-00003B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I46" authorId="0" shapeId="0" xr:uid="{00000000-0006-0000-0000-00003C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J46" authorId="0" shapeId="0" xr:uid="{00000000-0006-0000-0000-00003D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K46" authorId="0" shapeId="0" xr:uid="{00000000-0006-0000-0000-00003E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H47" authorId="0" shapeId="0" xr:uid="{00000000-0006-0000-0000-00003F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I47" authorId="0" shapeId="0" xr:uid="{00000000-0006-0000-0000-000040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J47" authorId="0" shapeId="0" xr:uid="{00000000-0006-0000-0000-000041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K47" authorId="0" shapeId="0" xr:uid="{00000000-0006-0000-0000-000042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L47" authorId="0" shapeId="0" xr:uid="{00000000-0006-0000-0000-000043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M47" authorId="0" shapeId="0" xr:uid="{00000000-0006-0000-0000-000044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N47" authorId="0" shapeId="0" xr:uid="{00000000-0006-0000-0000-000045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O47" authorId="0" shapeId="0" xr:uid="{00000000-0006-0000-0000-000046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P47" authorId="0" shapeId="0" xr:uid="{00000000-0006-0000-0000-000047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Q47" authorId="0" shapeId="0" xr:uid="{00000000-0006-0000-0000-000048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R47" authorId="0" shapeId="0" xr:uid="{00000000-0006-0000-0000-000049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S47" authorId="0" shapeId="0" xr:uid="{00000000-0006-0000-0000-00004A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T47" authorId="0" shapeId="0" xr:uid="{00000000-0006-0000-0000-00004B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U47" authorId="0" shapeId="0" xr:uid="{00000000-0006-0000-0000-00004C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V47" authorId="0" shapeId="0" xr:uid="{00000000-0006-0000-0000-00004D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W47" authorId="0" shapeId="0" xr:uid="{00000000-0006-0000-0000-00004E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X47" authorId="0" shapeId="0" xr:uid="{00000000-0006-0000-0000-00004F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Y47" authorId="0" shapeId="0" xr:uid="{00000000-0006-0000-0000-000050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Z47" authorId="0" shapeId="0" xr:uid="{00000000-0006-0000-0000-000051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A47" authorId="0" shapeId="0" xr:uid="{00000000-0006-0000-0000-000052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B47" authorId="0" shapeId="0" xr:uid="{00000000-0006-0000-0000-000053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C47" authorId="0" shapeId="0" xr:uid="{00000000-0006-0000-0000-000054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D47" authorId="0" shapeId="0" xr:uid="{00000000-0006-0000-0000-000055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E47" authorId="0" shapeId="0" xr:uid="{00000000-0006-0000-0000-000056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F47" authorId="0" shapeId="0" xr:uid="{00000000-0006-0000-0000-000057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G47" authorId="0" shapeId="0" xr:uid="{00000000-0006-0000-0000-000058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H47" authorId="0" shapeId="0" xr:uid="{00000000-0006-0000-0000-000059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I47" authorId="0" shapeId="0" xr:uid="{00000000-0006-0000-0000-00005A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J47" authorId="0" shapeId="0" xr:uid="{00000000-0006-0000-0000-00005B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K47" authorId="0" shapeId="0" xr:uid="{00000000-0006-0000-0000-00005C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H48" authorId="0" shapeId="0" xr:uid="{00000000-0006-0000-0000-00005D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I48" authorId="0" shapeId="0" xr:uid="{00000000-0006-0000-0000-00005E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J48" authorId="0" shapeId="0" xr:uid="{00000000-0006-0000-0000-00005F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K48" authorId="0" shapeId="0" xr:uid="{00000000-0006-0000-0000-000060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L48" authorId="0" shapeId="0" xr:uid="{00000000-0006-0000-0000-000061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M48" authorId="0" shapeId="0" xr:uid="{00000000-0006-0000-0000-000062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N48" authorId="0" shapeId="0" xr:uid="{00000000-0006-0000-0000-000063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O48" authorId="0" shapeId="0" xr:uid="{00000000-0006-0000-0000-000064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P48" authorId="0" shapeId="0" xr:uid="{00000000-0006-0000-0000-000065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Q48" authorId="0" shapeId="0" xr:uid="{00000000-0006-0000-0000-000066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R48" authorId="0" shapeId="0" xr:uid="{00000000-0006-0000-0000-000067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S48" authorId="0" shapeId="0" xr:uid="{00000000-0006-0000-0000-000068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T48" authorId="0" shapeId="0" xr:uid="{00000000-0006-0000-0000-000069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U48" authorId="0" shapeId="0" xr:uid="{00000000-0006-0000-0000-00006A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V48" authorId="0" shapeId="0" xr:uid="{00000000-0006-0000-0000-00006B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W48" authorId="0" shapeId="0" xr:uid="{00000000-0006-0000-0000-00006C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X48" authorId="0" shapeId="0" xr:uid="{00000000-0006-0000-0000-00006D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Y48" authorId="0" shapeId="0" xr:uid="{00000000-0006-0000-0000-00006E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Z48" authorId="0" shapeId="0" xr:uid="{00000000-0006-0000-0000-00006F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A48" authorId="0" shapeId="0" xr:uid="{00000000-0006-0000-0000-000070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B48" authorId="0" shapeId="0" xr:uid="{00000000-0006-0000-0000-000071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C48" authorId="0" shapeId="0" xr:uid="{00000000-0006-0000-0000-000072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D48" authorId="0" shapeId="0" xr:uid="{00000000-0006-0000-0000-000073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E48" authorId="0" shapeId="0" xr:uid="{00000000-0006-0000-0000-000074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F48" authorId="0" shapeId="0" xr:uid="{00000000-0006-0000-0000-000075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G48" authorId="0" shapeId="0" xr:uid="{00000000-0006-0000-0000-000076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H48" authorId="0" shapeId="0" xr:uid="{00000000-0006-0000-0000-000077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I48" authorId="0" shapeId="0" xr:uid="{00000000-0006-0000-0000-000078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J48" authorId="0" shapeId="0" xr:uid="{00000000-0006-0000-0000-000079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K48" authorId="0" shapeId="0" xr:uid="{00000000-0006-0000-0000-00007A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H49" authorId="0" shapeId="0" xr:uid="{00000000-0006-0000-0000-00007B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I49" authorId="0" shapeId="0" xr:uid="{00000000-0006-0000-0000-00007C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J49" authorId="0" shapeId="0" xr:uid="{00000000-0006-0000-0000-00007D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K49" authorId="0" shapeId="0" xr:uid="{00000000-0006-0000-0000-00007E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L49" authorId="0" shapeId="0" xr:uid="{00000000-0006-0000-0000-00007F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M49" authorId="0" shapeId="0" xr:uid="{00000000-0006-0000-0000-000080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N49" authorId="0" shapeId="0" xr:uid="{00000000-0006-0000-0000-000081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O49" authorId="0" shapeId="0" xr:uid="{00000000-0006-0000-0000-000082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P49" authorId="0" shapeId="0" xr:uid="{00000000-0006-0000-0000-000083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Q49" authorId="0" shapeId="0" xr:uid="{00000000-0006-0000-0000-000084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R49" authorId="0" shapeId="0" xr:uid="{00000000-0006-0000-0000-000085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S49" authorId="0" shapeId="0" xr:uid="{00000000-0006-0000-0000-000086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T49" authorId="0" shapeId="0" xr:uid="{00000000-0006-0000-0000-000087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U49" authorId="0" shapeId="0" xr:uid="{00000000-0006-0000-0000-000088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V49" authorId="0" shapeId="0" xr:uid="{00000000-0006-0000-0000-000089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W49" authorId="0" shapeId="0" xr:uid="{00000000-0006-0000-0000-00008A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X49" authorId="0" shapeId="0" xr:uid="{00000000-0006-0000-0000-00008B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Y49" authorId="0" shapeId="0" xr:uid="{00000000-0006-0000-0000-00008C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Z49" authorId="0" shapeId="0" xr:uid="{00000000-0006-0000-0000-00008D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A49" authorId="0" shapeId="0" xr:uid="{00000000-0006-0000-0000-00008E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B49" authorId="0" shapeId="0" xr:uid="{00000000-0006-0000-0000-00008F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C49" authorId="0" shapeId="0" xr:uid="{00000000-0006-0000-0000-000090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D49" authorId="0" shapeId="0" xr:uid="{00000000-0006-0000-0000-000091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E49" authorId="0" shapeId="0" xr:uid="{00000000-0006-0000-0000-000092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F49" authorId="0" shapeId="0" xr:uid="{00000000-0006-0000-0000-000093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G49" authorId="0" shapeId="0" xr:uid="{00000000-0006-0000-0000-000094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H49" authorId="0" shapeId="0" xr:uid="{00000000-0006-0000-0000-000095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I49" authorId="0" shapeId="0" xr:uid="{00000000-0006-0000-0000-000096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J49" authorId="0" shapeId="0" xr:uid="{00000000-0006-0000-0000-000097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K49" authorId="0" shapeId="0" xr:uid="{00000000-0006-0000-0000-000098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H50" authorId="0" shapeId="0" xr:uid="{00000000-0006-0000-0000-000099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I50" authorId="0" shapeId="0" xr:uid="{00000000-0006-0000-0000-00009A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J50" authorId="0" shapeId="0" xr:uid="{00000000-0006-0000-0000-00009B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K50" authorId="0" shapeId="0" xr:uid="{00000000-0006-0000-0000-00009C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L50" authorId="0" shapeId="0" xr:uid="{00000000-0006-0000-0000-00009D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M50" authorId="0" shapeId="0" xr:uid="{00000000-0006-0000-0000-00009E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N50" authorId="0" shapeId="0" xr:uid="{00000000-0006-0000-0000-00009F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O50" authorId="0" shapeId="0" xr:uid="{00000000-0006-0000-0000-0000A0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P50" authorId="0" shapeId="0" xr:uid="{00000000-0006-0000-0000-0000A1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Q50" authorId="0" shapeId="0" xr:uid="{00000000-0006-0000-0000-0000A2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R50" authorId="0" shapeId="0" xr:uid="{00000000-0006-0000-0000-0000A3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S50" authorId="0" shapeId="0" xr:uid="{00000000-0006-0000-0000-0000A4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T50" authorId="0" shapeId="0" xr:uid="{00000000-0006-0000-0000-0000A5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U50" authorId="0" shapeId="0" xr:uid="{00000000-0006-0000-0000-0000A6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V50" authorId="0" shapeId="0" xr:uid="{00000000-0006-0000-0000-0000A7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W50" authorId="0" shapeId="0" xr:uid="{00000000-0006-0000-0000-0000A8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X50" authorId="0" shapeId="0" xr:uid="{00000000-0006-0000-0000-0000A9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Y50" authorId="0" shapeId="0" xr:uid="{00000000-0006-0000-0000-0000AA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Z50" authorId="0" shapeId="0" xr:uid="{00000000-0006-0000-0000-0000AB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A50" authorId="0" shapeId="0" xr:uid="{00000000-0006-0000-0000-0000AC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B50" authorId="0" shapeId="0" xr:uid="{00000000-0006-0000-0000-0000AD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C50" authorId="0" shapeId="0" xr:uid="{00000000-0006-0000-0000-0000AE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D50" authorId="0" shapeId="0" xr:uid="{00000000-0006-0000-0000-0000AF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E50" authorId="0" shapeId="0" xr:uid="{00000000-0006-0000-0000-0000B0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F50" authorId="0" shapeId="0" xr:uid="{00000000-0006-0000-0000-0000B1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G50" authorId="0" shapeId="0" xr:uid="{00000000-0006-0000-0000-0000B2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H50" authorId="0" shapeId="0" xr:uid="{00000000-0006-0000-0000-0000B3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I50" authorId="0" shapeId="0" xr:uid="{00000000-0006-0000-0000-0000B4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J50" authorId="0" shapeId="0" xr:uid="{00000000-0006-0000-0000-0000B5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K50" authorId="0" shapeId="0" xr:uid="{00000000-0006-0000-0000-0000B6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H51" authorId="0" shapeId="0" xr:uid="{00000000-0006-0000-0000-0000B7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I51" authorId="0" shapeId="0" xr:uid="{00000000-0006-0000-0000-0000B8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J51" authorId="0" shapeId="0" xr:uid="{00000000-0006-0000-0000-0000B9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K51" authorId="0" shapeId="0" xr:uid="{00000000-0006-0000-0000-0000BA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L51" authorId="0" shapeId="0" xr:uid="{00000000-0006-0000-0000-0000BB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M51" authorId="0" shapeId="0" xr:uid="{00000000-0006-0000-0000-0000BC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N51" authorId="0" shapeId="0" xr:uid="{00000000-0006-0000-0000-0000BD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O51" authorId="0" shapeId="0" xr:uid="{00000000-0006-0000-0000-0000BE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P51" authorId="0" shapeId="0" xr:uid="{00000000-0006-0000-0000-0000BF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Q51" authorId="0" shapeId="0" xr:uid="{00000000-0006-0000-0000-0000C0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R51" authorId="0" shapeId="0" xr:uid="{00000000-0006-0000-0000-0000C1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S51" authorId="0" shapeId="0" xr:uid="{00000000-0006-0000-0000-0000C2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T51" authorId="0" shapeId="0" xr:uid="{00000000-0006-0000-0000-0000C3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U51" authorId="0" shapeId="0" xr:uid="{00000000-0006-0000-0000-0000C4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V51" authorId="0" shapeId="0" xr:uid="{00000000-0006-0000-0000-0000C5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W51" authorId="0" shapeId="0" xr:uid="{00000000-0006-0000-0000-0000C6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X51" authorId="0" shapeId="0" xr:uid="{00000000-0006-0000-0000-0000C7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Y51" authorId="0" shapeId="0" xr:uid="{00000000-0006-0000-0000-0000C8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Z51" authorId="0" shapeId="0" xr:uid="{00000000-0006-0000-0000-0000C9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A51" authorId="0" shapeId="0" xr:uid="{00000000-0006-0000-0000-0000CA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B51" authorId="0" shapeId="0" xr:uid="{00000000-0006-0000-0000-0000CB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C51" authorId="0" shapeId="0" xr:uid="{00000000-0006-0000-0000-0000CC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D51" authorId="0" shapeId="0" xr:uid="{00000000-0006-0000-0000-0000CD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E51" authorId="0" shapeId="0" xr:uid="{00000000-0006-0000-0000-0000CE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F51" authorId="0" shapeId="0" xr:uid="{00000000-0006-0000-0000-0000CF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G51" authorId="0" shapeId="0" xr:uid="{00000000-0006-0000-0000-0000D0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H51" authorId="0" shapeId="0" xr:uid="{00000000-0006-0000-0000-0000D1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I51" authorId="0" shapeId="0" xr:uid="{00000000-0006-0000-0000-0000D2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J51" authorId="0" shapeId="0" xr:uid="{00000000-0006-0000-0000-0000D3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K51" authorId="0" shapeId="0" xr:uid="{00000000-0006-0000-0000-0000D4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H52" authorId="0" shapeId="0" xr:uid="{00000000-0006-0000-0000-0000D5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I52" authorId="0" shapeId="0" xr:uid="{00000000-0006-0000-0000-0000D6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J52" authorId="0" shapeId="0" xr:uid="{00000000-0006-0000-0000-0000D7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K52" authorId="0" shapeId="0" xr:uid="{00000000-0006-0000-0000-0000D8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L52" authorId="0" shapeId="0" xr:uid="{00000000-0006-0000-0000-0000D9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M52" authorId="0" shapeId="0" xr:uid="{00000000-0006-0000-0000-0000DA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N52" authorId="0" shapeId="0" xr:uid="{00000000-0006-0000-0000-0000DB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O52" authorId="0" shapeId="0" xr:uid="{00000000-0006-0000-0000-0000DC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P52" authorId="0" shapeId="0" xr:uid="{00000000-0006-0000-0000-0000DD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Q52" authorId="0" shapeId="0" xr:uid="{00000000-0006-0000-0000-0000DE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R52" authorId="0" shapeId="0" xr:uid="{00000000-0006-0000-0000-0000DF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S52" authorId="0" shapeId="0" xr:uid="{00000000-0006-0000-0000-0000E0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T52" authorId="0" shapeId="0" xr:uid="{00000000-0006-0000-0000-0000E1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U52" authorId="0" shapeId="0" xr:uid="{00000000-0006-0000-0000-0000E2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V52" authorId="0" shapeId="0" xr:uid="{00000000-0006-0000-0000-0000E3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W52" authorId="0" shapeId="0" xr:uid="{00000000-0006-0000-0000-0000E4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X52" authorId="0" shapeId="0" xr:uid="{00000000-0006-0000-0000-0000E5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Y52" authorId="0" shapeId="0" xr:uid="{00000000-0006-0000-0000-0000E6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Z52" authorId="0" shapeId="0" xr:uid="{00000000-0006-0000-0000-0000E7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A52" authorId="0" shapeId="0" xr:uid="{00000000-0006-0000-0000-0000E8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B52" authorId="0" shapeId="0" xr:uid="{00000000-0006-0000-0000-0000E9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C52" authorId="0" shapeId="0" xr:uid="{00000000-0006-0000-0000-0000EA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D52" authorId="0" shapeId="0" xr:uid="{00000000-0006-0000-0000-0000EB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E52" authorId="0" shapeId="0" xr:uid="{00000000-0006-0000-0000-0000EC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F52" authorId="0" shapeId="0" xr:uid="{00000000-0006-0000-0000-0000ED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G52" authorId="0" shapeId="0" xr:uid="{00000000-0006-0000-0000-0000EE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H52" authorId="0" shapeId="0" xr:uid="{00000000-0006-0000-0000-0000EF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I52" authorId="0" shapeId="0" xr:uid="{00000000-0006-0000-0000-0000F0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J52" authorId="0" shapeId="0" xr:uid="{00000000-0006-0000-0000-0000F1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K52" authorId="0" shapeId="0" xr:uid="{00000000-0006-0000-0000-0000F2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H53" authorId="0" shapeId="0" xr:uid="{00000000-0006-0000-0000-0000F3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I53" authorId="0" shapeId="0" xr:uid="{00000000-0006-0000-0000-0000F4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J53" authorId="0" shapeId="0" xr:uid="{00000000-0006-0000-0000-0000F5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K53" authorId="0" shapeId="0" xr:uid="{00000000-0006-0000-0000-0000F6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L53" authorId="0" shapeId="0" xr:uid="{00000000-0006-0000-0000-0000F7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M53" authorId="0" shapeId="0" xr:uid="{00000000-0006-0000-0000-0000F8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N53" authorId="0" shapeId="0" xr:uid="{00000000-0006-0000-0000-0000F9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O53" authorId="0" shapeId="0" xr:uid="{00000000-0006-0000-0000-0000FA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P53" authorId="0" shapeId="0" xr:uid="{00000000-0006-0000-0000-0000FB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Q53" authorId="0" shapeId="0" xr:uid="{00000000-0006-0000-0000-0000FC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R53" authorId="0" shapeId="0" xr:uid="{00000000-0006-0000-0000-0000FD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S53" authorId="0" shapeId="0" xr:uid="{00000000-0006-0000-0000-0000FE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T53" authorId="0" shapeId="0" xr:uid="{00000000-0006-0000-0000-0000FF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U53" authorId="0" shapeId="0" xr:uid="{00000000-0006-0000-0000-000000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V53" authorId="0" shapeId="0" xr:uid="{00000000-0006-0000-0000-000001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W53" authorId="0" shapeId="0" xr:uid="{00000000-0006-0000-0000-000002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X53" authorId="0" shapeId="0" xr:uid="{00000000-0006-0000-0000-000003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Y53" authorId="0" shapeId="0" xr:uid="{00000000-0006-0000-0000-000004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Z53" authorId="0" shapeId="0" xr:uid="{00000000-0006-0000-0000-000005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A53" authorId="0" shapeId="0" xr:uid="{00000000-0006-0000-0000-000006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B53" authorId="0" shapeId="0" xr:uid="{00000000-0006-0000-0000-000007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C53" authorId="0" shapeId="0" xr:uid="{00000000-0006-0000-0000-000008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D53" authorId="0" shapeId="0" xr:uid="{00000000-0006-0000-0000-000009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E53" authorId="0" shapeId="0" xr:uid="{00000000-0006-0000-0000-00000A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F53" authorId="0" shapeId="0" xr:uid="{00000000-0006-0000-0000-00000B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G53" authorId="0" shapeId="0" xr:uid="{00000000-0006-0000-0000-00000C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H53" authorId="0" shapeId="0" xr:uid="{00000000-0006-0000-0000-00000D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I53" authorId="0" shapeId="0" xr:uid="{00000000-0006-0000-0000-00000E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J53" authorId="0" shapeId="0" xr:uid="{00000000-0006-0000-0000-00000F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K53" authorId="0" shapeId="0" xr:uid="{00000000-0006-0000-0000-000010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H54" authorId="0" shapeId="0" xr:uid="{00000000-0006-0000-0000-000011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I54" authorId="0" shapeId="0" xr:uid="{00000000-0006-0000-0000-000012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J54" authorId="0" shapeId="0" xr:uid="{00000000-0006-0000-0000-000013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K54" authorId="0" shapeId="0" xr:uid="{00000000-0006-0000-0000-000014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L54" authorId="0" shapeId="0" xr:uid="{00000000-0006-0000-0000-000015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M54" authorId="0" shapeId="0" xr:uid="{00000000-0006-0000-0000-000016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N54" authorId="0" shapeId="0" xr:uid="{00000000-0006-0000-0000-000017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O54" authorId="0" shapeId="0" xr:uid="{00000000-0006-0000-0000-000018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P54" authorId="0" shapeId="0" xr:uid="{00000000-0006-0000-0000-000019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Q54" authorId="0" shapeId="0" xr:uid="{00000000-0006-0000-0000-00001A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R54" authorId="0" shapeId="0" xr:uid="{00000000-0006-0000-0000-00001B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S54" authorId="0" shapeId="0" xr:uid="{00000000-0006-0000-0000-00001C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T54" authorId="0" shapeId="0" xr:uid="{00000000-0006-0000-0000-00001D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U54" authorId="0" shapeId="0" xr:uid="{00000000-0006-0000-0000-00001E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V54" authorId="0" shapeId="0" xr:uid="{00000000-0006-0000-0000-00001F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W54" authorId="0" shapeId="0" xr:uid="{00000000-0006-0000-0000-000020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X54" authorId="0" shapeId="0" xr:uid="{00000000-0006-0000-0000-000021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Y54" authorId="0" shapeId="0" xr:uid="{00000000-0006-0000-0000-000022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Z54" authorId="0" shapeId="0" xr:uid="{00000000-0006-0000-0000-000023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A54" authorId="0" shapeId="0" xr:uid="{00000000-0006-0000-0000-000024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B54" authorId="0" shapeId="0" xr:uid="{00000000-0006-0000-0000-000025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C54" authorId="0" shapeId="0" xr:uid="{00000000-0006-0000-0000-000026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D54" authorId="0" shapeId="0" xr:uid="{00000000-0006-0000-0000-000027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E54" authorId="0" shapeId="0" xr:uid="{00000000-0006-0000-0000-000028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F54" authorId="0" shapeId="0" xr:uid="{00000000-0006-0000-0000-000029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G54" authorId="0" shapeId="0" xr:uid="{00000000-0006-0000-0000-00002A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H54" authorId="0" shapeId="0" xr:uid="{00000000-0006-0000-0000-00002B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I54" authorId="0" shapeId="0" xr:uid="{00000000-0006-0000-0000-00002C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J54" authorId="0" shapeId="0" xr:uid="{00000000-0006-0000-0000-00002D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K54" authorId="0" shapeId="0" xr:uid="{00000000-0006-0000-0000-00002E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H55" authorId="0" shapeId="0" xr:uid="{00000000-0006-0000-0000-00002F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I55" authorId="0" shapeId="0" xr:uid="{00000000-0006-0000-0000-000030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J55" authorId="0" shapeId="0" xr:uid="{00000000-0006-0000-0000-000031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K55" authorId="0" shapeId="0" xr:uid="{00000000-0006-0000-0000-000032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L55" authorId="0" shapeId="0" xr:uid="{00000000-0006-0000-0000-000033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M55" authorId="0" shapeId="0" xr:uid="{00000000-0006-0000-0000-000034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N55" authorId="0" shapeId="0" xr:uid="{00000000-0006-0000-0000-000035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O55" authorId="0" shapeId="0" xr:uid="{00000000-0006-0000-0000-000036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P55" authorId="0" shapeId="0" xr:uid="{00000000-0006-0000-0000-000037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Q55" authorId="0" shapeId="0" xr:uid="{00000000-0006-0000-0000-000038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R55" authorId="0" shapeId="0" xr:uid="{00000000-0006-0000-0000-000039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S55" authorId="0" shapeId="0" xr:uid="{00000000-0006-0000-0000-00003A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T55" authorId="0" shapeId="0" xr:uid="{00000000-0006-0000-0000-00003B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U55" authorId="0" shapeId="0" xr:uid="{00000000-0006-0000-0000-00003C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V55" authorId="0" shapeId="0" xr:uid="{00000000-0006-0000-0000-00003D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W55" authorId="0" shapeId="0" xr:uid="{00000000-0006-0000-0000-00003E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X55" authorId="0" shapeId="0" xr:uid="{00000000-0006-0000-0000-00003F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Y55" authorId="0" shapeId="0" xr:uid="{00000000-0006-0000-0000-000040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Z55" authorId="0" shapeId="0" xr:uid="{00000000-0006-0000-0000-000041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A55" authorId="0" shapeId="0" xr:uid="{00000000-0006-0000-0000-000042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B55" authorId="0" shapeId="0" xr:uid="{00000000-0006-0000-0000-000043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C55" authorId="0" shapeId="0" xr:uid="{00000000-0006-0000-0000-000044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D55" authorId="0" shapeId="0" xr:uid="{00000000-0006-0000-0000-000045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E55" authorId="0" shapeId="0" xr:uid="{00000000-0006-0000-0000-000046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F55" authorId="0" shapeId="0" xr:uid="{00000000-0006-0000-0000-000047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G55" authorId="0" shapeId="0" xr:uid="{00000000-0006-0000-0000-000048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H55" authorId="0" shapeId="0" xr:uid="{00000000-0006-0000-0000-000049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I55" authorId="0" shapeId="0" xr:uid="{00000000-0006-0000-0000-00004A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J55" authorId="0" shapeId="0" xr:uid="{00000000-0006-0000-0000-00004B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K55" authorId="0" shapeId="0" xr:uid="{00000000-0006-0000-0000-00004C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H56" authorId="0" shapeId="0" xr:uid="{00000000-0006-0000-0000-00004D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I56" authorId="0" shapeId="0" xr:uid="{00000000-0006-0000-0000-00004E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J56" authorId="0" shapeId="0" xr:uid="{00000000-0006-0000-0000-00004F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K56" authorId="0" shapeId="0" xr:uid="{00000000-0006-0000-0000-000050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L56" authorId="0" shapeId="0" xr:uid="{00000000-0006-0000-0000-000051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M56" authorId="0" shapeId="0" xr:uid="{00000000-0006-0000-0000-000052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N56" authorId="0" shapeId="0" xr:uid="{00000000-0006-0000-0000-000053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O56" authorId="0" shapeId="0" xr:uid="{00000000-0006-0000-0000-000054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P56" authorId="0" shapeId="0" xr:uid="{00000000-0006-0000-0000-000055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Q56" authorId="0" shapeId="0" xr:uid="{00000000-0006-0000-0000-000056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R56" authorId="0" shapeId="0" xr:uid="{00000000-0006-0000-0000-000057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S56" authorId="0" shapeId="0" xr:uid="{00000000-0006-0000-0000-000058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T56" authorId="0" shapeId="0" xr:uid="{00000000-0006-0000-0000-000059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U56" authorId="0" shapeId="0" xr:uid="{00000000-0006-0000-0000-00005A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V56" authorId="0" shapeId="0" xr:uid="{00000000-0006-0000-0000-00005B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W56" authorId="0" shapeId="0" xr:uid="{00000000-0006-0000-0000-00005C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X56" authorId="0" shapeId="0" xr:uid="{00000000-0006-0000-0000-00005D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Y56" authorId="0" shapeId="0" xr:uid="{00000000-0006-0000-0000-00005E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Z56" authorId="0" shapeId="0" xr:uid="{00000000-0006-0000-0000-00005F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A56" authorId="0" shapeId="0" xr:uid="{00000000-0006-0000-0000-000060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B56" authorId="0" shapeId="0" xr:uid="{00000000-0006-0000-0000-000061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C56" authorId="0" shapeId="0" xr:uid="{00000000-0006-0000-0000-000062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D56" authorId="0" shapeId="0" xr:uid="{00000000-0006-0000-0000-000063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E56" authorId="0" shapeId="0" xr:uid="{00000000-0006-0000-0000-000064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F56" authorId="0" shapeId="0" xr:uid="{00000000-0006-0000-0000-000065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G56" authorId="0" shapeId="0" xr:uid="{00000000-0006-0000-0000-000066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H56" authorId="0" shapeId="0" xr:uid="{00000000-0006-0000-0000-000067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I56" authorId="0" shapeId="0" xr:uid="{00000000-0006-0000-0000-000068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J56" authorId="0" shapeId="0" xr:uid="{00000000-0006-0000-0000-000069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K56" authorId="0" shapeId="0" xr:uid="{00000000-0006-0000-0000-00006A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H57" authorId="0" shapeId="0" xr:uid="{00000000-0006-0000-0000-00006B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I57" authorId="0" shapeId="0" xr:uid="{00000000-0006-0000-0000-00006C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J57" authorId="0" shapeId="0" xr:uid="{00000000-0006-0000-0000-00006D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K57" authorId="0" shapeId="0" xr:uid="{00000000-0006-0000-0000-00006E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L57" authorId="0" shapeId="0" xr:uid="{00000000-0006-0000-0000-00006F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M57" authorId="0" shapeId="0" xr:uid="{00000000-0006-0000-0000-000070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N57" authorId="0" shapeId="0" xr:uid="{00000000-0006-0000-0000-000071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O57" authorId="0" shapeId="0" xr:uid="{00000000-0006-0000-0000-000072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P57" authorId="0" shapeId="0" xr:uid="{00000000-0006-0000-0000-000073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Q57" authorId="0" shapeId="0" xr:uid="{00000000-0006-0000-0000-000074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R57" authorId="0" shapeId="0" xr:uid="{00000000-0006-0000-0000-000075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S57" authorId="0" shapeId="0" xr:uid="{00000000-0006-0000-0000-000076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T57" authorId="0" shapeId="0" xr:uid="{00000000-0006-0000-0000-000077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U57" authorId="0" shapeId="0" xr:uid="{00000000-0006-0000-0000-000078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V57" authorId="0" shapeId="0" xr:uid="{00000000-0006-0000-0000-000079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W57" authorId="0" shapeId="0" xr:uid="{00000000-0006-0000-0000-00007A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X57" authorId="0" shapeId="0" xr:uid="{00000000-0006-0000-0000-00007B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Y57" authorId="0" shapeId="0" xr:uid="{00000000-0006-0000-0000-00007C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Z57" authorId="0" shapeId="0" xr:uid="{00000000-0006-0000-0000-00007D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A57" authorId="0" shapeId="0" xr:uid="{00000000-0006-0000-0000-00007E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B57" authorId="0" shapeId="0" xr:uid="{00000000-0006-0000-0000-00007F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C57" authorId="0" shapeId="0" xr:uid="{00000000-0006-0000-0000-000080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D57" authorId="0" shapeId="0" xr:uid="{00000000-0006-0000-0000-000081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E57" authorId="0" shapeId="0" xr:uid="{00000000-0006-0000-0000-000082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F57" authorId="0" shapeId="0" xr:uid="{00000000-0006-0000-0000-000083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G57" authorId="0" shapeId="0" xr:uid="{00000000-0006-0000-0000-000084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H57" authorId="0" shapeId="0" xr:uid="{00000000-0006-0000-0000-000085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I57" authorId="0" shapeId="0" xr:uid="{00000000-0006-0000-0000-000086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J57" authorId="0" shapeId="0" xr:uid="{00000000-0006-0000-0000-000087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K57" authorId="0" shapeId="0" xr:uid="{00000000-0006-0000-0000-000088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H58" authorId="0" shapeId="0" xr:uid="{00000000-0006-0000-0000-000089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I58" authorId="0" shapeId="0" xr:uid="{00000000-0006-0000-0000-00008A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J58" authorId="0" shapeId="0" xr:uid="{00000000-0006-0000-0000-00008B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K58" authorId="0" shapeId="0" xr:uid="{00000000-0006-0000-0000-00008C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L58" authorId="0" shapeId="0" xr:uid="{00000000-0006-0000-0000-00008D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M58" authorId="0" shapeId="0" xr:uid="{00000000-0006-0000-0000-00008E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N58" authorId="0" shapeId="0" xr:uid="{00000000-0006-0000-0000-00008F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O58" authorId="0" shapeId="0" xr:uid="{00000000-0006-0000-0000-000090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P58" authorId="0" shapeId="0" xr:uid="{00000000-0006-0000-0000-000091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Q58" authorId="0" shapeId="0" xr:uid="{00000000-0006-0000-0000-000092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R58" authorId="0" shapeId="0" xr:uid="{00000000-0006-0000-0000-000093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S58" authorId="0" shapeId="0" xr:uid="{00000000-0006-0000-0000-000094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T58" authorId="0" shapeId="0" xr:uid="{00000000-0006-0000-0000-000095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U58" authorId="0" shapeId="0" xr:uid="{00000000-0006-0000-0000-000096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V58" authorId="0" shapeId="0" xr:uid="{00000000-0006-0000-0000-000097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W58" authorId="0" shapeId="0" xr:uid="{00000000-0006-0000-0000-000098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X58" authorId="0" shapeId="0" xr:uid="{00000000-0006-0000-0000-000099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Y58" authorId="0" shapeId="0" xr:uid="{00000000-0006-0000-0000-00009A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Z58" authorId="0" shapeId="0" xr:uid="{00000000-0006-0000-0000-00009B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A58" authorId="0" shapeId="0" xr:uid="{00000000-0006-0000-0000-00009C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B58" authorId="0" shapeId="0" xr:uid="{00000000-0006-0000-0000-00009D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C58" authorId="0" shapeId="0" xr:uid="{00000000-0006-0000-0000-00009E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D58" authorId="0" shapeId="0" xr:uid="{00000000-0006-0000-0000-00009F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E58" authorId="0" shapeId="0" xr:uid="{00000000-0006-0000-0000-0000A0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F58" authorId="0" shapeId="0" xr:uid="{00000000-0006-0000-0000-0000A1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G58" authorId="0" shapeId="0" xr:uid="{00000000-0006-0000-0000-0000A2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H58" authorId="0" shapeId="0" xr:uid="{00000000-0006-0000-0000-0000A3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I58" authorId="0" shapeId="0" xr:uid="{00000000-0006-0000-0000-0000A4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J58" authorId="0" shapeId="0" xr:uid="{00000000-0006-0000-0000-0000A5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K58" authorId="0" shapeId="0" xr:uid="{00000000-0006-0000-0000-0000A6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EF59" authorId="0" shapeId="0" xr:uid="{00000000-0006-0000-0000-0000A7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Including TES</t>
        </r>
      </text>
    </comment>
    <comment ref="BX67" authorId="0" shapeId="0" xr:uid="{00000000-0006-0000-0000-0000A8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BY67" authorId="0" shapeId="0" xr:uid="{00000000-0006-0000-0000-0000A9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BZ67" authorId="0" shapeId="0" xr:uid="{00000000-0006-0000-0000-0000AA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CA67" authorId="0" shapeId="0" xr:uid="{00000000-0006-0000-0000-0000AB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CB67" authorId="0" shapeId="0" xr:uid="{00000000-0006-0000-0000-0000AC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CC67" authorId="0" shapeId="0" xr:uid="{00000000-0006-0000-0000-0000AD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CD67" authorId="0" shapeId="0" xr:uid="{00000000-0006-0000-0000-0000AE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CE67" authorId="0" shapeId="0" xr:uid="{00000000-0006-0000-0000-0000AF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CF67" authorId="0" shapeId="0" xr:uid="{00000000-0006-0000-0000-0000B0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CG67" authorId="0" shapeId="0" xr:uid="{00000000-0006-0000-0000-0000B1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BX68" authorId="0" shapeId="0" xr:uid="{00000000-0006-0000-0000-0000B2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BY68" authorId="0" shapeId="0" xr:uid="{00000000-0006-0000-0000-0000B3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BZ68" authorId="0" shapeId="0" xr:uid="{00000000-0006-0000-0000-0000B4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CA68" authorId="0" shapeId="0" xr:uid="{00000000-0006-0000-0000-0000B5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CB68" authorId="0" shapeId="0" xr:uid="{00000000-0006-0000-0000-0000B6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CC68" authorId="0" shapeId="0" xr:uid="{00000000-0006-0000-0000-0000B7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CD68" authorId="0" shapeId="0" xr:uid="{00000000-0006-0000-0000-0000B8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CE68" authorId="0" shapeId="0" xr:uid="{00000000-0006-0000-0000-0000B9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CF68" authorId="0" shapeId="0" xr:uid="{00000000-0006-0000-0000-0000BA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CG68" authorId="0" shapeId="0" xr:uid="{00000000-0006-0000-0000-0000BB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AT69" authorId="0" shapeId="0" xr:uid="{00000000-0006-0000-0000-0000BC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communication with industrial partners</t>
        </r>
      </text>
    </comment>
    <comment ref="AU69" authorId="0" shapeId="0" xr:uid="{00000000-0006-0000-0000-0000BD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communication with industrial partners</t>
        </r>
      </text>
    </comment>
    <comment ref="AV69" authorId="0" shapeId="0" xr:uid="{00000000-0006-0000-0000-0000BE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communication with industrial partners</t>
        </r>
      </text>
    </comment>
    <comment ref="AW69" authorId="0" shapeId="0" xr:uid="{00000000-0006-0000-0000-0000BF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communication with industrial partners</t>
        </r>
      </text>
    </comment>
    <comment ref="AX69" authorId="0" shapeId="0" xr:uid="{00000000-0006-0000-0000-0000C0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communication with industrial partners</t>
        </r>
      </text>
    </comment>
    <comment ref="AY69" authorId="0" shapeId="0" xr:uid="{00000000-0006-0000-0000-0000C1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communication with industrial partners</t>
        </r>
      </text>
    </comment>
    <comment ref="AZ69" authorId="0" shapeId="0" xr:uid="{00000000-0006-0000-0000-0000C2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communication with industrial partners</t>
        </r>
      </text>
    </comment>
    <comment ref="BA69" authorId="0" shapeId="0" xr:uid="{00000000-0006-0000-0000-0000C3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communication with industrial partners</t>
        </r>
      </text>
    </comment>
    <comment ref="BB69" authorId="0" shapeId="0" xr:uid="{00000000-0006-0000-0000-0000C4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communication with industrial partners</t>
        </r>
      </text>
    </comment>
    <comment ref="BC69" authorId="0" shapeId="0" xr:uid="{00000000-0006-0000-0000-0000C5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communication with industrial partners</t>
        </r>
      </text>
    </comment>
    <comment ref="CH69" authorId="0" shapeId="0" xr:uid="{00000000-0006-0000-0000-0000C6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Induspart2023 with high logistics and ground work costs</t>
        </r>
      </text>
    </comment>
    <comment ref="CI69" authorId="0" shapeId="0" xr:uid="{00000000-0006-0000-0000-0000C7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Induspart2023</t>
        </r>
      </text>
    </comment>
    <comment ref="CJ69" authorId="0" shapeId="0" xr:uid="{00000000-0006-0000-0000-0000C8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Induspart2023 with low lithium prices</t>
        </r>
      </text>
    </comment>
    <comment ref="CK69" authorId="0" shapeId="0" xr:uid="{00000000-0006-0000-0000-0000C9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DEAstor2020</t>
        </r>
      </text>
    </comment>
    <comment ref="CL69" authorId="0" shapeId="0" xr:uid="{00000000-0006-0000-0000-0000CA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Induspart2023 assuming low lithium price</t>
        </r>
      </text>
    </comment>
    <comment ref="CM69" authorId="0" shapeId="0" xr:uid="{00000000-0006-0000-0000-0000CB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Low cost estimatiom from Ikaheimo2018</t>
        </r>
      </text>
    </comment>
    <comment ref="CO69" authorId="0" shapeId="0" xr:uid="{00000000-0006-0000-0000-0000CC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Medium estimate from DEAstor2020 </t>
        </r>
      </text>
    </comment>
    <comment ref="CP69" authorId="0" shapeId="0" xr:uid="{00000000-0006-0000-0000-0000CD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Induspart2023 assuming low lithium price assuming same values as of 2030</t>
        </r>
      </text>
    </comment>
    <comment ref="CQ69" authorId="0" shapeId="0" xr:uid="{00000000-0006-0000-0000-0000CE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Low cost estimatiom from Ikaheimo2018 (assumed the same as of 2030)</t>
        </r>
      </text>
    </comment>
    <comment ref="CR69" authorId="0" shapeId="0" xr:uid="{00000000-0006-0000-0000-0000CF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2% Capex based on Induspart2023</t>
        </r>
      </text>
    </comment>
    <comment ref="CS69" authorId="0" shapeId="0" xr:uid="{00000000-0006-0000-0000-0000D0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1.5% Capex based on Induspart2023</t>
        </r>
      </text>
    </comment>
    <comment ref="CT69" authorId="0" shapeId="0" xr:uid="{00000000-0006-0000-0000-0000D1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1% Capex based on Induspart2023</t>
        </r>
      </text>
    </comment>
    <comment ref="CU69" authorId="0" shapeId="0" xr:uid="{00000000-0006-0000-0000-0000D2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2% Capex based on Induspart2023</t>
        </r>
      </text>
    </comment>
    <comment ref="CV69" authorId="0" shapeId="0" xr:uid="{00000000-0006-0000-0000-0000D3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1.5% Capex based on Induspart2023</t>
        </r>
      </text>
    </comment>
    <comment ref="CW69" authorId="0" shapeId="0" xr:uid="{00000000-0006-0000-0000-0000D4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1% Capex based on Induspart2023</t>
        </r>
      </text>
    </comment>
    <comment ref="CY69" authorId="0" shapeId="0" xr:uid="{00000000-0006-0000-0000-0000D5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2% Capex based on Induspart2023</t>
        </r>
      </text>
    </comment>
    <comment ref="CZ69" authorId="0" shapeId="0" xr:uid="{00000000-0006-0000-0000-0000D6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1.5% Capex based on Induspart2023</t>
        </r>
      </text>
    </comment>
    <comment ref="DA69" authorId="0" shapeId="0" xr:uid="{00000000-0006-0000-0000-0000D7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1% Capex based on Induspart2023</t>
        </r>
      </text>
    </comment>
    <comment ref="EJ69" authorId="0" shapeId="0" xr:uid="{00000000-0006-0000-0000-0000D8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No CO2 formula here, check techno-eco file</t>
        </r>
      </text>
    </comment>
  </commentList>
</comments>
</file>

<file path=xl/sharedStrings.xml><?xml version="1.0" encoding="utf-8"?>
<sst xmlns="http://schemas.openxmlformats.org/spreadsheetml/2006/main" count="5343" uniqueCount="540">
  <si>
    <t>Red: Don't change the name without changing the Julia code</t>
  </si>
  <si>
    <t>Parameters--&gt;</t>
  </si>
  <si>
    <t>Produced from</t>
  </si>
  <si>
    <t>H2 balance</t>
  </si>
  <si>
    <t>El balance</t>
  </si>
  <si>
    <t>Heat balance</t>
  </si>
  <si>
    <t>Max Capacity</t>
  </si>
  <si>
    <t>Subsets</t>
  </si>
  <si>
    <t>Subsets_2</t>
  </si>
  <si>
    <t>Type of units</t>
  </si>
  <si>
    <t>Line/Column index</t>
  </si>
  <si>
    <t>Non-electrical</t>
  </si>
  <si>
    <t>-</t>
  </si>
  <si>
    <t>PWL</t>
  </si>
  <si>
    <t>O2</t>
  </si>
  <si>
    <t>Stor_in</t>
  </si>
  <si>
    <t>Stor_out</t>
  </si>
  <si>
    <t>Tank</t>
  </si>
  <si>
    <t>Electrical</t>
  </si>
  <si>
    <t>H2_pipeline_to_NH3_plant</t>
  </si>
  <si>
    <t>Heat_import</t>
  </si>
  <si>
    <t>Heat_export</t>
  </si>
  <si>
    <t>H2_to_tank</t>
  </si>
  <si>
    <t>H2_from_tank</t>
  </si>
  <si>
    <t>Power_from_the_grid</t>
  </si>
  <si>
    <t>Electricity_to_batteries</t>
  </si>
  <si>
    <t>Electricity_from_batteries</t>
  </si>
  <si>
    <t>Electricity_stored</t>
  </si>
  <si>
    <t>PU_Grid_in</t>
  </si>
  <si>
    <t>Heat_in</t>
  </si>
  <si>
    <t>Heat_out</t>
  </si>
  <si>
    <t>Heat_buy</t>
  </si>
  <si>
    <t>Heat_sell</t>
  </si>
  <si>
    <t>Grid_buy</t>
  </si>
  <si>
    <t>Grid_sell</t>
  </si>
  <si>
    <t>Desalination plant</t>
  </si>
  <si>
    <t>H2 pipeline to NH3 plant</t>
  </si>
  <si>
    <t>Heat from district heating</t>
  </si>
  <si>
    <t>Heat sent to district heating</t>
  </si>
  <si>
    <t>Sale of oxygen</t>
  </si>
  <si>
    <t>H2 tank compressor</t>
  </si>
  <si>
    <t>H2 tank valve</t>
  </si>
  <si>
    <t>H2 tank</t>
  </si>
  <si>
    <t>Electricity from the grid</t>
  </si>
  <si>
    <t>Charge batteries</t>
  </si>
  <si>
    <t>Discharge batteries</t>
  </si>
  <si>
    <t>Batteries</t>
  </si>
  <si>
    <t>Solar fixed</t>
  </si>
  <si>
    <t>Solar_fixed</t>
  </si>
  <si>
    <t>Solar tracking</t>
  </si>
  <si>
    <t>Solar_tracking</t>
  </si>
  <si>
    <t>RPU_Solar_track</t>
  </si>
  <si>
    <t>RPU_Solar_fixed</t>
  </si>
  <si>
    <t>SP198-HH100</t>
  </si>
  <si>
    <t>ON_SP198-HH150</t>
  </si>
  <si>
    <t>SP198-HH150</t>
  </si>
  <si>
    <t>ON_SP237-HH100</t>
  </si>
  <si>
    <t>SP237-HH100</t>
  </si>
  <si>
    <t>ON_SP237-HH150</t>
  </si>
  <si>
    <t>SP237-HH150</t>
  </si>
  <si>
    <t>ON_SP277-HH100</t>
  </si>
  <si>
    <t>SP277-HH100</t>
  </si>
  <si>
    <t>ON_SP277-HH150</t>
  </si>
  <si>
    <t>SP277-HH150</t>
  </si>
  <si>
    <t>ON_SP321-HH100</t>
  </si>
  <si>
    <t>SP321-HH100</t>
  </si>
  <si>
    <t>ON_SP321-HH150</t>
  </si>
  <si>
    <t>SP321-HH150</t>
  </si>
  <si>
    <t>OFF_SP379-HH100</t>
  </si>
  <si>
    <t>SP379-HH100</t>
  </si>
  <si>
    <t>OFF_SP379-HH150</t>
  </si>
  <si>
    <t>SP379-HH150</t>
  </si>
  <si>
    <t>OFF_SP450-HH100</t>
  </si>
  <si>
    <t>SP450-HH100</t>
  </si>
  <si>
    <t>SP450-HH150</t>
  </si>
  <si>
    <t>H2 pipeline to MeOH CCU plant</t>
  </si>
  <si>
    <t>H2_pipeline_to_MeOHCCU_plant</t>
  </si>
  <si>
    <t>CO2 capture DAC</t>
  </si>
  <si>
    <t>Yearly demand (kg fuel)</t>
  </si>
  <si>
    <t>Fuel production rate (kg output/kg input)</t>
  </si>
  <si>
    <t>Heat generated (kWh/output)</t>
  </si>
  <si>
    <t>Load min (% of max capacity)</t>
  </si>
  <si>
    <t>Ramp up (% of capacity /h)</t>
  </si>
  <si>
    <t>Ramp down (% of capacity /h)</t>
  </si>
  <si>
    <t>Electrical consumption (kWh/output)</t>
  </si>
  <si>
    <t>CO2e process (kg CO2e/output)</t>
  </si>
  <si>
    <t>Annuity factor</t>
  </si>
  <si>
    <t>AEC</t>
  </si>
  <si>
    <t>CO2 DAC</t>
  </si>
  <si>
    <t>CO2 PS</t>
  </si>
  <si>
    <t>NH3-AEC</t>
  </si>
  <si>
    <t>NH3-SOEC</t>
  </si>
  <si>
    <t>H2_from_AEC</t>
  </si>
  <si>
    <t>DAC</t>
  </si>
  <si>
    <t>NH3 plant + ASU - AEC</t>
  </si>
  <si>
    <t>NH3 plant + ASU - SOEC</t>
  </si>
  <si>
    <t>CO2 capture PS</t>
  </si>
  <si>
    <t>Bio-eMeOH</t>
  </si>
  <si>
    <t>Parameter changed</t>
  </si>
  <si>
    <t>Year</t>
  </si>
  <si>
    <t>New value</t>
  </si>
  <si>
    <t>Old value</t>
  </si>
  <si>
    <t>Year--&gt;</t>
  </si>
  <si>
    <t>MeOH</t>
  </si>
  <si>
    <t>SOEC</t>
  </si>
  <si>
    <t>Scenario number</t>
  </si>
  <si>
    <t>Fuel</t>
  </si>
  <si>
    <t>Electrolyser</t>
  </si>
  <si>
    <t>Input data sheet</t>
  </si>
  <si>
    <t>Profile name</t>
  </si>
  <si>
    <t>Result folder name</t>
  </si>
  <si>
    <t>Max profit</t>
  </si>
  <si>
    <t>Demand</t>
  </si>
  <si>
    <t>Max capacity</t>
  </si>
  <si>
    <t>Ramping</t>
  </si>
  <si>
    <t>No negative elec price</t>
  </si>
  <si>
    <t>Connection limit</t>
  </si>
  <si>
    <t>Sold products</t>
  </si>
  <si>
    <t>Fuel cost</t>
  </si>
  <si>
    <t>Flows</t>
  </si>
  <si>
    <t>NH3</t>
  </si>
  <si>
    <t>CO2 capture</t>
  </si>
  <si>
    <t>None</t>
  </si>
  <si>
    <t>Carbon capture</t>
  </si>
  <si>
    <t>PS</t>
  </si>
  <si>
    <t>Configuration</t>
  </si>
  <si>
    <t>Hourly electricity sale</t>
  </si>
  <si>
    <t>Hourly heat sale</t>
  </si>
  <si>
    <t>Fixed heat sale</t>
  </si>
  <si>
    <t>Fixed oxygen sale</t>
  </si>
  <si>
    <t>O2_sell</t>
  </si>
  <si>
    <t>Used (1 or 0)</t>
  </si>
  <si>
    <t>CO2e infrastructure (kg CO2e/Capacity/y)</t>
  </si>
  <si>
    <t>All</t>
  </si>
  <si>
    <t>Product/Reactant1</t>
  </si>
  <si>
    <t>Product</t>
  </si>
  <si>
    <t>Reactant2</t>
  </si>
  <si>
    <t>Reactant5</t>
  </si>
  <si>
    <t>Reactant6</t>
  </si>
  <si>
    <t>Reactant7</t>
  </si>
  <si>
    <t>Product/Reactant3</t>
  </si>
  <si>
    <t>Year old value</t>
  </si>
  <si>
    <t>Year new value</t>
  </si>
  <si>
    <t>Type of units for change</t>
  </si>
  <si>
    <t>Scenario name definition</t>
  </si>
  <si>
    <t>Unit tag</t>
  </si>
  <si>
    <t>CO2 % compared to 2020</t>
  </si>
  <si>
    <t>Max profit TRUE doesn't work</t>
  </si>
  <si>
    <t>See Scenarios_definition</t>
  </si>
  <si>
    <t>Options available</t>
  </si>
  <si>
    <t>Any name</t>
  </si>
  <si>
    <t>Results to write</t>
  </si>
  <si>
    <t>Islanded</t>
  </si>
  <si>
    <t>Fuel energy content LHV (MJ/kg fuel)</t>
  </si>
  <si>
    <t>Scenario</t>
  </si>
  <si>
    <t>Scenario name</t>
  </si>
  <si>
    <t>Name of the scenario in the output csv file</t>
  </si>
  <si>
    <t>H2_stored_tank</t>
  </si>
  <si>
    <t>H2 pipes compressor</t>
  </si>
  <si>
    <t>H2_to_pipe</t>
  </si>
  <si>
    <t>H2 pipes valve</t>
  </si>
  <si>
    <t>H2_from_pipe</t>
  </si>
  <si>
    <t>H2 buried pipes</t>
  </si>
  <si>
    <t>H2_stored_pipe</t>
  </si>
  <si>
    <t>ON_SP198-HH100</t>
  </si>
  <si>
    <t>OFF_SP450-HH150</t>
  </si>
  <si>
    <t>CO2taxWTTop</t>
  </si>
  <si>
    <t>€/kg CO2</t>
  </si>
  <si>
    <t>CO2taxWTTup</t>
  </si>
  <si>
    <t>Average grid emissions (yes=1 ; no =0)</t>
  </si>
  <si>
    <t>Fuel produced</t>
  </si>
  <si>
    <t>Min_demand_MainFuel</t>
  </si>
  <si>
    <t>Weight costs</t>
  </si>
  <si>
    <t>Objective function weight for costs</t>
  </si>
  <si>
    <t>Objective function weight for CO2 emissions</t>
  </si>
  <si>
    <t>Weight CO2e</t>
  </si>
  <si>
    <t>Diesel generator</t>
  </si>
  <si>
    <t>Diesel_gen</t>
  </si>
  <si>
    <t>Land use (m2/Capacity)</t>
  </si>
  <si>
    <t>Year data</t>
  </si>
  <si>
    <t>Profile folder name</t>
  </si>
  <si>
    <t>Name of the excel file profile</t>
  </si>
  <si>
    <t>Folder name where the excel profile is</t>
  </si>
  <si>
    <t>Investment (EUR/Capacity installed)</t>
  </si>
  <si>
    <t>Fixed cost (EUR/Capacity installed/y)</t>
  </si>
  <si>
    <t>Variable cost (EUR/Output)</t>
  </si>
  <si>
    <t>Fuel selling price (EUR/output)</t>
  </si>
  <si>
    <t>Fuel buying price (EUR/output)</t>
  </si>
  <si>
    <t>Reference scenario</t>
  </si>
  <si>
    <t>Changes also include the changes made in the reference scenario. If nothing is specified in the reference scenario column, changes are made compared to the input data sheet (i.e Data_base_case)</t>
  </si>
  <si>
    <t>Document type</t>
  </si>
  <si>
    <t>Title</t>
  </si>
  <si>
    <t>Reliability</t>
  </si>
  <si>
    <t xml:space="preserve">https://ens.dk/en/our-services/projections-and-models/technology-data/technology-data-generation-electricity-and </t>
  </si>
  <si>
    <t>https://doi.org/10.1038/s41560-020-00771-9</t>
  </si>
  <si>
    <t>https://www.iea.org/reports/world-energy-outlook-2020</t>
  </si>
  <si>
    <t>https://doi.org/10.1016/j.egypro.2017.03.1111</t>
  </si>
  <si>
    <t xml:space="preserve">https://www.nrel.gov/docs/fy04osti/35404.pdf </t>
  </si>
  <si>
    <t>https://www.nature.com/articles/s41558-021-01032-7</t>
  </si>
  <si>
    <t xml:space="preserve">https://www.cei.washington.edu/education/science-of-solar/battery-technology/ </t>
  </si>
  <si>
    <t xml:space="preserve">https://www.iea.org/reports/net-zero-by-2050 </t>
  </si>
  <si>
    <t xml:space="preserve">https://www.hydrogen.energy.gov/pdfs/progress13/xi_5_elgowainy_2013.pdf </t>
  </si>
  <si>
    <t xml:space="preserve">https://ens.dk/en/our-services/projections-and-models/technology-data/technology-data-industrial-process-heat-and </t>
  </si>
  <si>
    <t xml:space="preserve">https://www.sciencedirect.com/science/article/pii/B9781782423645000075 </t>
  </si>
  <si>
    <t xml:space="preserve">https://www.sciencedirect.com/science/article/pii/S0360319921030834 </t>
  </si>
  <si>
    <t xml:space="preserve">https://ens.dk/en/our-services/projections-and-models/technology-data/technology-data-renewable-fuels </t>
  </si>
  <si>
    <t xml:space="preserve">https://op.europa.eu/en/publication-detail/-/publication/1f55ca82-3451-11e6-969e-01aa75ed71a1/language-en </t>
  </si>
  <si>
    <t xml:space="preserve">https://www.nordicenergy.org/project/np2x/ </t>
  </si>
  <si>
    <t>Input references sheet</t>
  </si>
  <si>
    <t>Any data sheet name</t>
  </si>
  <si>
    <t>Link (doi is preferred)</t>
  </si>
  <si>
    <t xml:space="preserve">http://dx.doi.org/10.2139/ssrn.4154006 </t>
  </si>
  <si>
    <t>Main author</t>
  </si>
  <si>
    <t>https://ens.dk/en/our-services/projections-and-models/technology-data/technology-data-carbon-capture-transport-and</t>
  </si>
  <si>
    <t>https://orbit.dtu.dk/en/projects/electro-fuels-for-long-range-maritime-transport</t>
  </si>
  <si>
    <t xml:space="preserve">https://www.danskfjernvarme.dk/groen-energi/analyser/210512-power-to-x-og-fjernvarme </t>
  </si>
  <si>
    <t>Semi-islanded</t>
  </si>
  <si>
    <t>Grid_out</t>
  </si>
  <si>
    <t>PU</t>
  </si>
  <si>
    <t>Scale (for economy of scales)</t>
  </si>
  <si>
    <t>Location</t>
  </si>
  <si>
    <t>Data_base_case</t>
  </si>
  <si>
    <t>Ref_base_case</t>
  </si>
  <si>
    <t>CO2treshWTTop</t>
  </si>
  <si>
    <t>Waste water plant</t>
  </si>
  <si>
    <t>Drinking water</t>
  </si>
  <si>
    <t>H2O wwtp</t>
  </si>
  <si>
    <t>H2O sea</t>
  </si>
  <si>
    <t>H2O drink</t>
  </si>
  <si>
    <t>MeOH plant CCU</t>
  </si>
  <si>
    <t>Ammonia-AEC</t>
  </si>
  <si>
    <t>Bornholm</t>
  </si>
  <si>
    <t>Electrolysers AEC</t>
  </si>
  <si>
    <t>Mix</t>
  </si>
  <si>
    <t>Water supply</t>
  </si>
  <si>
    <t>H2 storage</t>
  </si>
  <si>
    <t>RPU_CSP_tower</t>
  </si>
  <si>
    <t>CSP_tower</t>
  </si>
  <si>
    <t>Renewable criterion</t>
  </si>
  <si>
    <t>All_locations</t>
  </si>
  <si>
    <t>Arica</t>
  </si>
  <si>
    <t>Electrolysers SOEC alone</t>
  </si>
  <si>
    <t>Electrolysers SOEC heat integrated</t>
  </si>
  <si>
    <t>Electrolysers 75AEC-25SOEC_HI</t>
  </si>
  <si>
    <t>Electrolysers 75AEC-25SOEC_A</t>
  </si>
  <si>
    <t>H2_from_SOEC_HI</t>
  </si>
  <si>
    <t>H2_from_SOEC_A</t>
  </si>
  <si>
    <t>H2_from_AEC_SOEC_HI</t>
  </si>
  <si>
    <t>H2_from_AEC_SOEC_A</t>
  </si>
  <si>
    <t>Reactant8</t>
  </si>
  <si>
    <t>H2 client</t>
  </si>
  <si>
    <t>H2-client</t>
  </si>
  <si>
    <t>H2 pipeline to client</t>
  </si>
  <si>
    <t>H2_pipeline_to_client</t>
  </si>
  <si>
    <t>Yearly kg CO2e / MJ fuel (-1 if no treshhold is applied)</t>
  </si>
  <si>
    <t>Hourly renewable criterion applied to the grid electricity (should match with ren_crit profile subset name)</t>
  </si>
  <si>
    <t>Criterion application</t>
  </si>
  <si>
    <t>How renewable criterion is applied: enforcement or incentive ? If incentive put a number for price difference between certified and non certified electricity (€/kWh). If enforcement put -1</t>
  </si>
  <si>
    <t>Esbjerg</t>
  </si>
  <si>
    <t>Ceduna</t>
  </si>
  <si>
    <t>Results_pap1</t>
  </si>
  <si>
    <t>Ammonia-AEC-is</t>
  </si>
  <si>
    <t>MinPricehourly20</t>
  </si>
  <si>
    <t>MinCO2hourly36</t>
  </si>
  <si>
    <t>MinPricehourly15</t>
  </si>
  <si>
    <t>MinPricehourly25</t>
  </si>
  <si>
    <t>MinPricehourly30</t>
  </si>
  <si>
    <t>Results_pap2</t>
  </si>
  <si>
    <t>Results_pap3</t>
  </si>
  <si>
    <t>CSP balance</t>
  </si>
  <si>
    <t>Charge TES</t>
  </si>
  <si>
    <t>Discharge TES</t>
  </si>
  <si>
    <t>TES</t>
  </si>
  <si>
    <t>Charge_TES</t>
  </si>
  <si>
    <t>Discharge_TES</t>
  </si>
  <si>
    <t>Results_tests</t>
  </si>
  <si>
    <t>NoSubset</t>
  </si>
  <si>
    <t>CSP + TES</t>
  </si>
  <si>
    <t>Curtailment</t>
  </si>
  <si>
    <t>Economically driven behavior</t>
  </si>
  <si>
    <t>Results_economic</t>
  </si>
  <si>
    <t>Communication with Mærsk Mc-Kinney Møller Center for Zero Carbon Shipping</t>
  </si>
  <si>
    <t>Brandon McKenna</t>
  </si>
  <si>
    <t>MMZCS2023</t>
  </si>
  <si>
    <t>2030 worst</t>
  </si>
  <si>
    <t>No CO2 formula here, check techno-eco file</t>
  </si>
  <si>
    <t>Including TES</t>
  </si>
  <si>
    <t>Based on MMZCS2023</t>
  </si>
  <si>
    <t>Based on MMZCS2023 for a small scale methanol plant</t>
  </si>
  <si>
    <t>Communication with different industry partners. Final value is an "aggregate" of different values from the industry</t>
  </si>
  <si>
    <t>Comment</t>
  </si>
  <si>
    <t>Based on MMZSC2023</t>
  </si>
  <si>
    <t>BhmWP12023</t>
  </si>
  <si>
    <t>Assessment of resources available in Bornholm</t>
  </si>
  <si>
    <t>WP1</t>
  </si>
  <si>
    <t>Report</t>
  </si>
  <si>
    <t>Database</t>
  </si>
  <si>
    <t>Reference tag in the comments and mendeley</t>
  </si>
  <si>
    <t>Onboard Type IV Compressed Hydrogen Storage System - Cost and Performance Status (19008)</t>
  </si>
  <si>
    <t>Adams</t>
  </si>
  <si>
    <t>Record 19008 NREL</t>
  </si>
  <si>
    <t xml:space="preserve">https://www.hydrogen.energy.gov/program_records.html?print </t>
  </si>
  <si>
    <t>Bulk storage of hydrogen</t>
  </si>
  <si>
    <t>Papadias</t>
  </si>
  <si>
    <t>Article</t>
  </si>
  <si>
    <t>Flexible production of green hydrogen and ammonia from variable solar and wind energy:Case study of Chile and Argentina</t>
  </si>
  <si>
    <t>Armijo</t>
  </si>
  <si>
    <t>https://doi.org/10.1016/j.ijhydene.2019.11.028</t>
  </si>
  <si>
    <t>Assumed to be similar to an ammonia plant. Ramp rate for an ammonia plant is from Armijo2020</t>
  </si>
  <si>
    <t>Based on Armijo2020</t>
  </si>
  <si>
    <t>Taking the best case of 2030 based on MMZCS2023</t>
  </si>
  <si>
    <t>Stoechiometric conversion</t>
  </si>
  <si>
    <t>Based on Adams2019</t>
  </si>
  <si>
    <t>Based on Papadias2021</t>
  </si>
  <si>
    <t>Based on Papadias2021 assuming same values as of 2020</t>
  </si>
  <si>
    <t>Based on communication with industrial partners</t>
  </si>
  <si>
    <t>2025 worst</t>
  </si>
  <si>
    <t>2025 best</t>
  </si>
  <si>
    <t>2030 best</t>
  </si>
  <si>
    <t>2050 worst</t>
  </si>
  <si>
    <t>2050 best</t>
  </si>
  <si>
    <t>2025 bench</t>
  </si>
  <si>
    <t>2030 bench</t>
  </si>
  <si>
    <t>2040 bench</t>
  </si>
  <si>
    <t>2050 bench</t>
  </si>
  <si>
    <t>IEA The future of hydrogen 2019</t>
  </si>
  <si>
    <t>IEA</t>
  </si>
  <si>
    <t>IEA Report</t>
  </si>
  <si>
    <t xml:space="preserve">https://webstore.iea.org/the-future-of-hydrogen </t>
  </si>
  <si>
    <t>Campion2023</t>
  </si>
  <si>
    <t>Techno-economic assessment of green ammonia production with different wind and solar potentials</t>
  </si>
  <si>
    <t>Campion</t>
  </si>
  <si>
    <t xml:space="preserve">https://doi.org/10.1016/j.rser.2022.113057 </t>
  </si>
  <si>
    <t>Based on BhmWP12023</t>
  </si>
  <si>
    <t>Based on BhmWP12023  taking the best case scenario of near-term technology development</t>
  </si>
  <si>
    <t>Based on IEA2019</t>
  </si>
  <si>
    <t>From Campion2023</t>
  </si>
  <si>
    <t>Target for 2050 according to IRENA2020</t>
  </si>
  <si>
    <t>Induspart2023</t>
  </si>
  <si>
    <t>Communication with industrial partners</t>
  </si>
  <si>
    <t>Induspart</t>
  </si>
  <si>
    <t>https://atb.nrel.gov/transportation/2020/hydrogen</t>
  </si>
  <si>
    <t>Webpage</t>
  </si>
  <si>
    <t>NREL</t>
  </si>
  <si>
    <t>Annual technlogy baseline for hydrogen</t>
  </si>
  <si>
    <t>NREL2020</t>
  </si>
  <si>
    <t>Data validated by industrial partners</t>
  </si>
  <si>
    <t>Power-to-ammonia in future North European 100 % renewable power and heat system</t>
  </si>
  <si>
    <t>Ikäheimo</t>
  </si>
  <si>
    <t>Paper</t>
  </si>
  <si>
    <t xml:space="preserve">https://www.sciencedirect.com/science/article/pii/S0360319918319931 </t>
  </si>
  <si>
    <t>Technology data for energy storage</t>
  </si>
  <si>
    <t>DEA</t>
  </si>
  <si>
    <t>Report/Catalogue</t>
  </si>
  <si>
    <t xml:space="preserve">https://ens.dk/en/our-services/projections-and-models/technology-data/technology-data-energy-storage </t>
  </si>
  <si>
    <t>DEAstor2020</t>
  </si>
  <si>
    <t>Campion2021</t>
  </si>
  <si>
    <t>MarE-fuel: LCOE and optimal electricity supply strategies for P2X plants</t>
  </si>
  <si>
    <t>https://backend.orbit.dtu.dk/ws/portalfiles/portal/264043718/MarE_Fuel_LCOE_and_optimal_electricity_supply_strategies_for_P2X_plants.pdf</t>
  </si>
  <si>
    <t>Estimate from MMZCS2023, on the high bound for CO2 extracted from a biogas plant</t>
  </si>
  <si>
    <t>For a small-scale 6.7 t$_{MeOH}$/h plant capacity based on MMZCS2023</t>
  </si>
  <si>
    <t>For a medium-scale 13.3 t$_{MeOH}$/h plant capacity based on MMZCS2023</t>
  </si>
  <si>
    <t>For a large-scale 133.3 t$_{MeOH}$/h plant capacity based on MMZCS2023</t>
  </si>
  <si>
    <t>4% Capex based on MMZCS2023</t>
  </si>
  <si>
    <t>For a small-scale 10 t$_{NH_3}$/h plant capacity based on MMZCS2023 (include the ASU)</t>
  </si>
  <si>
    <t>For a large-scale 95 t$_{NH_3}$/h plant capacity based on MMZCS2023 (includes ASU)</t>
  </si>
  <si>
    <t>For a very large-scale 190 t$_{NH_3}$/h plant capacity based on MMZCS2023 (including ASU)</t>
  </si>
  <si>
    <t>From BhmWP12023</t>
  </si>
  <si>
    <t>Using the 2025 benchmark value based on BhmWP12023</t>
  </si>
  <si>
    <t>Using the 2025 best value from BhmWP12023</t>
  </si>
  <si>
    <t>Using the 2025 best value based on BhmWP12023</t>
  </si>
  <si>
    <t>3% Capex based on BhmWP12023</t>
  </si>
  <si>
    <t>High water price from BhmWP12023</t>
  </si>
  <si>
    <t>Medium water price from BhmWP12023</t>
  </si>
  <si>
    <t>Low water price from BhmWP12023</t>
  </si>
  <si>
    <t>From MMZCS2023</t>
  </si>
  <si>
    <t>Using 10% Capex based on MMZCS2023</t>
  </si>
  <si>
    <t>Based on NREL2020</t>
  </si>
  <si>
    <t>8.55% Capex based on NREL2020</t>
  </si>
  <si>
    <t>Compression work from 20 to 100 bars based on Induspart2023</t>
  </si>
  <si>
    <t>Based on Induspart2023 (includes compressors)</t>
  </si>
  <si>
    <t>Based on Induspart2023 assuming that compressor and pressurized storage components cost will be half of 2025's costs</t>
  </si>
  <si>
    <t>4% Capex based on Induspart2023</t>
  </si>
  <si>
    <t>3% Capex based on Induspart2023</t>
  </si>
  <si>
    <t>Compression work from 20 to 100 bars</t>
  </si>
  <si>
    <t>Based on Induspart2023 for a working pressure around 100 bars</t>
  </si>
  <si>
    <t>Based on Campion2023</t>
  </si>
  <si>
    <t>From Campion2021</t>
  </si>
  <si>
    <t>Based on Induspart2023</t>
  </si>
  <si>
    <t>From Induspart2023 with high logistics and ground work costs</t>
  </si>
  <si>
    <t>From Induspart2023</t>
  </si>
  <si>
    <t>From Induspart2023 with low lithium prices</t>
  </si>
  <si>
    <t>From DEAstor2020</t>
  </si>
  <si>
    <t>From Induspart2023 assuming low lithium price</t>
  </si>
  <si>
    <t>Low cost estimatiom from Ikaheimo2018</t>
  </si>
  <si>
    <t xml:space="preserve">Medium estimate from DEAstor2020 </t>
  </si>
  <si>
    <t>From Induspart2023 assuming low lithium price assuming same values as of 2030</t>
  </si>
  <si>
    <t>Low cost estimatiom from Ikaheimo2018 (assumed the same as of 2030)</t>
  </si>
  <si>
    <t>2% Capex based on Induspart2023</t>
  </si>
  <si>
    <t>1.5% Capex based on Induspart2023</t>
  </si>
  <si>
    <t>1% Capex based on Induspart2023</t>
  </si>
  <si>
    <t>Bamboo2-stage-SOEC</t>
  </si>
  <si>
    <t>Bamboo1-stage-SOEC</t>
  </si>
  <si>
    <t>Wheat2-stage-SOEC</t>
  </si>
  <si>
    <t>Wheat1-stage-SOEC</t>
  </si>
  <si>
    <t>Process heat generated (kWh/output)</t>
  </si>
  <si>
    <t>Process heat balance</t>
  </si>
  <si>
    <t>H2 pipeline to Bamboo-2</t>
  </si>
  <si>
    <t>H2 pipeline to Bamboo-1</t>
  </si>
  <si>
    <t>H2 pipeline to Wheat-2</t>
  </si>
  <si>
    <t>H2 pipeline to Wheat-1</t>
  </si>
  <si>
    <t>H2_pipeline_to_Bamboo-2</t>
  </si>
  <si>
    <t>H2_pipeline_to_Bamboo-1</t>
  </si>
  <si>
    <t>H2_pipeline_to_Wheat-2</t>
  </si>
  <si>
    <t>H2_pipeline_to_Wheat-1</t>
  </si>
  <si>
    <t>Reactant9</t>
  </si>
  <si>
    <t>Reactant10</t>
  </si>
  <si>
    <t>DME-B2</t>
  </si>
  <si>
    <t>DME-B1</t>
  </si>
  <si>
    <t>DME-W2</t>
  </si>
  <si>
    <t>DME-W1</t>
  </si>
  <si>
    <t>Results_DME</t>
  </si>
  <si>
    <t xml:space="preserve">From this study </t>
  </si>
  <si>
    <t>From this study</t>
  </si>
  <si>
    <t>Reactant11</t>
  </si>
  <si>
    <t>Heat sent to other process</t>
  </si>
  <si>
    <t>Heat_export_process</t>
  </si>
  <si>
    <t>Sale of biochar</t>
  </si>
  <si>
    <t>Biochar</t>
  </si>
  <si>
    <t>Product/Reactant12</t>
  </si>
  <si>
    <t>Islanded-W2</t>
  </si>
  <si>
    <t>Fixed process heat sale</t>
  </si>
  <si>
    <t>Fixed biochar sale</t>
  </si>
  <si>
    <t>Biochar_sell</t>
  </si>
  <si>
    <t>Process_heat_sell</t>
  </si>
  <si>
    <t>Biomass bamboo 2</t>
  </si>
  <si>
    <t>Biomass bamboo 1</t>
  </si>
  <si>
    <t>Biomass wheat 2</t>
  </si>
  <si>
    <t>Biomass wheat 1</t>
  </si>
  <si>
    <t>Base-case</t>
  </si>
  <si>
    <t>Product/Reactant13</t>
  </si>
  <si>
    <t>MeOH - Biogas - SOEC</t>
  </si>
  <si>
    <t>MeOH biogas H2</t>
  </si>
  <si>
    <t>MeOH - Biogas - None</t>
  </si>
  <si>
    <t>MeOH biogas</t>
  </si>
  <si>
    <t>Biogas w H2</t>
  </si>
  <si>
    <t>Reactant14</t>
  </si>
  <si>
    <t>Biogas wo H2</t>
  </si>
  <si>
    <t>Based on Moioli2022</t>
  </si>
  <si>
    <t>Based on Moioli2022 case 1b.</t>
  </si>
  <si>
    <t>Based on Ghosh2019 - case 2</t>
  </si>
  <si>
    <t>Based on Ghosh2019 - case 2. Assuming biogas use as seen in Moioli2022.</t>
  </si>
  <si>
    <t>Based on Ghosh2019. Power generation is from turbines utilizing excess energy from combustion of biogas processes.</t>
  </si>
  <si>
    <t>Based on Moioli2022 case 1a.</t>
  </si>
  <si>
    <t>Based on Ghosh2019 - is CO2 sourced from biogas so not a net addition to the carbon cycle.</t>
  </si>
  <si>
    <t>Based on ENS2014. Higher range of biogas price estimate.</t>
  </si>
  <si>
    <t>Based on ENS2014. Average price level of biogas.</t>
  </si>
  <si>
    <t>Based on ENS2014. Lower range of biogas price estimate.</t>
  </si>
  <si>
    <t>BGH2-2030 MeOH from Biogas</t>
  </si>
  <si>
    <t>Moioli2022</t>
  </si>
  <si>
    <t>Eco-Techno-Economic Analysis of Methanol Production from Biogas and Power-to-X</t>
  </si>
  <si>
    <t>Moioli</t>
  </si>
  <si>
    <t>https://pubs.acs.org/doi/epdf/10.1021/acs.iecr.1c04682</t>
  </si>
  <si>
    <t>Ghosh2019</t>
  </si>
  <si>
    <t>Biogas to methanol: A comparison of conversion processes involving direct carbon dioxide hydrogenation and via reverse water gas shift reaction</t>
  </si>
  <si>
    <t>Ghosh</t>
  </si>
  <si>
    <t>ENS2014</t>
  </si>
  <si>
    <t>Biogas i Danmark – status, barrierer og perspektiver</t>
  </si>
  <si>
    <t>Energistyrelsen</t>
  </si>
  <si>
    <t>Numbers are perhaps outdated</t>
  </si>
  <si>
    <t>https://ens.dk/sites/ens.dk/files/Bioenergi/biogas_i_danmark_-_analyse_2014-final.pdf</t>
  </si>
  <si>
    <t>https://global-uploads.webflow.com/628dfad4d3a01f893b381f47/63ff3b262544944294815ea1_Biogasplan%20Bornholm%20Marts%202023%20Final.pdf</t>
  </si>
  <si>
    <t>Based on Biogasplan2023.</t>
  </si>
  <si>
    <t>Biogasplan2023</t>
  </si>
  <si>
    <t>Biogasplan Bornholm</t>
  </si>
  <si>
    <t>Bornholms Landbrug og Fødevarer</t>
  </si>
  <si>
    <t>Islanded-BG</t>
  </si>
  <si>
    <t>Islanded-BGH2</t>
  </si>
  <si>
    <t>Grid-BGH2</t>
  </si>
  <si>
    <t>MeOH Biogas only - Bench fuel</t>
  </si>
  <si>
    <t>MeOH Biogas only - Worst fuel</t>
  </si>
  <si>
    <t>MeOH Biogas only - Best fuel</t>
  </si>
  <si>
    <t>BG-2030 MeOH worst fuel</t>
  </si>
  <si>
    <t>BG-2030 MeOH best fuel</t>
  </si>
  <si>
    <t>BG-2030 MeOH bench fuel</t>
  </si>
  <si>
    <t>MeOH Biogas SOEC - Bench fuel</t>
  </si>
  <si>
    <t>MeOH Biogas AEC - Bench fuel</t>
  </si>
  <si>
    <t>MeOH Biogas SOEC - Worst fuel</t>
  </si>
  <si>
    <t>BGH2-2030 MeOH AEC</t>
  </si>
  <si>
    <t>BGH2-2030 MeOH SOEC</t>
  </si>
  <si>
    <t>MeOH Biogas SOEC - Best fuel</t>
  </si>
  <si>
    <t>BGH2-2030 MeOH worst fuel</t>
  </si>
  <si>
    <t>BGH2-2030 MeOH best fuel</t>
  </si>
  <si>
    <t>Consumption of non-purified water assuming a purification efficieny of 80% based on BhmWP12023. Conversion of purified water to hydrogen is stoichiometric (9 kg of water consumed per kg of hydrogen).</t>
  </si>
  <si>
    <t>MeOH Biogas - Grid conn.</t>
  </si>
  <si>
    <t>BGH2-2030 MeOH SOEC - grid</t>
  </si>
  <si>
    <t>BGH2-2030 MeOH AEC - grid</t>
  </si>
  <si>
    <t>BGH2-2030 MeOH worst fuel - grid</t>
  </si>
  <si>
    <t>BGH2-2030 MeOH best fuel - grid</t>
  </si>
  <si>
    <t>2030hgp</t>
  </si>
  <si>
    <t>2030lgp</t>
  </si>
  <si>
    <t>MeOH Biogas - Grid conn. 2030hgp</t>
  </si>
  <si>
    <t>MeOH Biogas - Grid conn. 2030lgp</t>
  </si>
  <si>
    <t>MeOH Biogas - 2030hgp ren crit</t>
  </si>
  <si>
    <t>MeOH Biogas - 2030lgp ren crit</t>
  </si>
  <si>
    <t>2030hgp_DE</t>
  </si>
  <si>
    <t>2030lgp_DE</t>
  </si>
  <si>
    <t>https://doi.org/10.1016/j.jclepro.2019.01.171</t>
  </si>
  <si>
    <t>High biomass price</t>
  </si>
  <si>
    <t>W2-Best wheat price</t>
  </si>
  <si>
    <t>W2-Worst wheat price</t>
  </si>
  <si>
    <t>Low biomass price</t>
  </si>
  <si>
    <t>HT</t>
  </si>
  <si>
    <t>MeOH HT</t>
  </si>
  <si>
    <t>Biogas HT</t>
  </si>
  <si>
    <t>Product/Reactant15</t>
  </si>
  <si>
    <t>HT-test</t>
  </si>
  <si>
    <t>Islanded-HT</t>
  </si>
  <si>
    <t>MeOH Biogas SOEC - CO2 tax</t>
  </si>
  <si>
    <t>BGH2-2030 MeOH SOEC - CT</t>
  </si>
  <si>
    <t>Without byproduct sale</t>
  </si>
  <si>
    <t>W2-no byproducts</t>
  </si>
  <si>
    <t>High biochar value</t>
  </si>
  <si>
    <t>W2-positive biochar</t>
  </si>
  <si>
    <t>Product/Reactant16</t>
  </si>
  <si>
    <t>MeOH-straw</t>
  </si>
  <si>
    <t>MeOH CCU</t>
  </si>
  <si>
    <t>Biomass wood</t>
  </si>
  <si>
    <t>Biomass</t>
  </si>
  <si>
    <t>Biogas</t>
  </si>
  <si>
    <t>MeOH Biomass</t>
  </si>
  <si>
    <t>Wood-MeOH</t>
  </si>
  <si>
    <t>DME</t>
  </si>
  <si>
    <t>W2</t>
  </si>
  <si>
    <t>H2 pipeline to MeOH plant</t>
  </si>
  <si>
    <t>Base case</t>
  </si>
  <si>
    <t>MeOH plant - Biogas</t>
  </si>
  <si>
    <t>MeOH plant - Biogas only</t>
  </si>
  <si>
    <t>MeOH plant - Topsoe</t>
  </si>
  <si>
    <t>MeOH plant - biomass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</si>
</sst>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00000"/>
    <numFmt numFmtId="166" formatCode="0.000"/>
    <numFmt numFmtId="167" formatCode="0.0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1"/>
      <color theme="1" tint="0.499984740745262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9" fontId="1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9" fillId="0" borderId="6" applyNumberFormat="0" applyFill="0" applyAlignment="0" applyProtection="0"/>
    <xf numFmtId="0" fontId="19" fillId="0" borderId="0" applyNumberFormat="0" applyFill="0" applyBorder="0" applyAlignment="0" applyProtection="0"/>
    <xf numFmtId="0" fontId="20" fillId="7" borderId="0" applyNumberFormat="0" applyBorder="0" applyAlignment="0" applyProtection="0"/>
    <xf numFmtId="0" fontId="21" fillId="8" borderId="0" applyNumberFormat="0" applyBorder="0" applyAlignment="0" applyProtection="0"/>
    <xf numFmtId="0" fontId="22" fillId="10" borderId="7" applyNumberFormat="0" applyAlignment="0" applyProtection="0"/>
    <xf numFmtId="0" fontId="23" fillId="11" borderId="8" applyNumberFormat="0" applyAlignment="0" applyProtection="0"/>
    <xf numFmtId="0" fontId="24" fillId="11" borderId="7" applyNumberFormat="0" applyAlignment="0" applyProtection="0"/>
    <xf numFmtId="0" fontId="25" fillId="0" borderId="9" applyNumberFormat="0" applyFill="0" applyAlignment="0" applyProtection="0"/>
    <xf numFmtId="0" fontId="26" fillId="12" borderId="10" applyNumberFormat="0" applyAlignment="0" applyProtection="0"/>
    <xf numFmtId="0" fontId="2" fillId="0" borderId="0" applyNumberFormat="0" applyFill="0" applyBorder="0" applyAlignment="0" applyProtection="0"/>
    <xf numFmtId="0" fontId="1" fillId="13" borderId="11" applyNumberFormat="0" applyFont="0" applyAlignment="0" applyProtection="0"/>
    <xf numFmtId="0" fontId="27" fillId="0" borderId="0" applyNumberFormat="0" applyFill="0" applyBorder="0" applyAlignment="0" applyProtection="0"/>
    <xf numFmtId="0" fontId="3" fillId="0" borderId="12" applyNumberFormat="0" applyFill="0" applyAlignment="0" applyProtection="0"/>
    <xf numFmtId="0" fontId="28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28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28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28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28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8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29" fillId="9" borderId="0" applyNumberFormat="0" applyBorder="0" applyAlignment="0" applyProtection="0"/>
    <xf numFmtId="0" fontId="28" fillId="17" borderId="0" applyNumberFormat="0" applyBorder="0" applyAlignment="0" applyProtection="0"/>
    <xf numFmtId="0" fontId="28" fillId="21" borderId="0" applyNumberFormat="0" applyBorder="0" applyAlignment="0" applyProtection="0"/>
    <xf numFmtId="0" fontId="28" fillId="25" borderId="0" applyNumberFormat="0" applyBorder="0" applyAlignment="0" applyProtection="0"/>
    <xf numFmtId="0" fontId="28" fillId="29" borderId="0" applyNumberFormat="0" applyBorder="0" applyAlignment="0" applyProtection="0"/>
    <xf numFmtId="0" fontId="28" fillId="33" borderId="0" applyNumberFormat="0" applyBorder="0" applyAlignment="0" applyProtection="0"/>
    <xf numFmtId="0" fontId="28" fillId="37" borderId="0" applyNumberFormat="0" applyBorder="0" applyAlignment="0" applyProtection="0"/>
  </cellStyleXfs>
  <cellXfs count="181">
    <xf numFmtId="0" fontId="0" fillId="0" borderId="0" xfId="0"/>
    <xf numFmtId="0" fontId="4" fillId="0" borderId="0" xfId="0" applyFont="1"/>
    <xf numFmtId="0" fontId="3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5" fillId="0" borderId="0" xfId="0" applyFont="1"/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0" borderId="0" xfId="1" applyNumberFormat="1" applyFont="1"/>
    <xf numFmtId="0" fontId="4" fillId="0" borderId="0" xfId="0" applyFont="1" applyAlignment="1">
      <alignment horizontal="center"/>
    </xf>
    <xf numFmtId="0" fontId="2" fillId="0" borderId="0" xfId="0" applyFont="1" applyAlignment="1">
      <alignment vertical="center"/>
    </xf>
    <xf numFmtId="0" fontId="0" fillId="0" borderId="0" xfId="0" applyAlignment="1">
      <alignment horizontal="center"/>
    </xf>
    <xf numFmtId="9" fontId="0" fillId="0" borderId="0" xfId="1" applyFont="1"/>
    <xf numFmtId="1" fontId="0" fillId="0" borderId="0" xfId="0" applyNumberFormat="1"/>
    <xf numFmtId="2" fontId="0" fillId="0" borderId="0" xfId="0" applyNumberFormat="1"/>
    <xf numFmtId="0" fontId="3" fillId="0" borderId="0" xfId="0" applyFont="1"/>
    <xf numFmtId="0" fontId="6" fillId="0" borderId="0" xfId="0" applyFont="1" applyAlignment="1">
      <alignment horizontal="center" vertical="center" wrapText="1"/>
    </xf>
    <xf numFmtId="0" fontId="6" fillId="0" borderId="0" xfId="0" applyFont="1"/>
    <xf numFmtId="0" fontId="0" fillId="0" borderId="1" xfId="0" applyBorder="1"/>
    <xf numFmtId="0" fontId="0" fillId="0" borderId="2" xfId="0" applyBorder="1"/>
    <xf numFmtId="0" fontId="8" fillId="3" borderId="0" xfId="0" applyFont="1" applyFill="1" applyAlignment="1">
      <alignment horizontal="center" vertical="center" wrapText="1"/>
    </xf>
    <xf numFmtId="0" fontId="8" fillId="3" borderId="0" xfId="0" applyFont="1" applyFill="1"/>
    <xf numFmtId="0" fontId="0" fillId="0" borderId="0" xfId="0" applyAlignment="1">
      <alignment horizontal="right"/>
    </xf>
    <xf numFmtId="0" fontId="2" fillId="0" borderId="0" xfId="0" applyFont="1" applyAlignment="1">
      <alignment horizontal="left"/>
    </xf>
    <xf numFmtId="10" fontId="0" fillId="0" borderId="0" xfId="0" applyNumberFormat="1"/>
    <xf numFmtId="165" fontId="0" fillId="0" borderId="0" xfId="0" applyNumberFormat="1"/>
    <xf numFmtId="0" fontId="0" fillId="0" borderId="0" xfId="1" quotePrefix="1" applyNumberFormat="1" applyFont="1"/>
    <xf numFmtId="0" fontId="5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164" fontId="0" fillId="0" borderId="0" xfId="0" applyNumberFormat="1"/>
    <xf numFmtId="0" fontId="0" fillId="0" borderId="0" xfId="0" applyAlignment="1">
      <alignment horizontal="left"/>
    </xf>
    <xf numFmtId="9" fontId="1" fillId="0" borderId="0" xfId="1" applyFont="1"/>
    <xf numFmtId="0" fontId="3" fillId="0" borderId="2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5" fillId="2" borderId="0" xfId="0" applyFont="1" applyFill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wrapText="1"/>
    </xf>
    <xf numFmtId="0" fontId="9" fillId="0" borderId="0" xfId="2" applyAlignment="1">
      <alignment horizontal="left" vertical="center"/>
    </xf>
    <xf numFmtId="0" fontId="3" fillId="5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 wrapText="1"/>
    </xf>
    <xf numFmtId="0" fontId="3" fillId="5" borderId="0" xfId="0" applyFont="1" applyFill="1" applyAlignment="1">
      <alignment horizontal="left" vertical="center"/>
    </xf>
    <xf numFmtId="0" fontId="6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0" fillId="0" borderId="0" xfId="0" applyAlignment="1">
      <alignment horizontal="left" vertical="center"/>
    </xf>
    <xf numFmtId="0" fontId="9" fillId="0" borderId="0" xfId="2"/>
    <xf numFmtId="0" fontId="3" fillId="0" borderId="2" xfId="0" applyFont="1" applyBorder="1"/>
    <xf numFmtId="0" fontId="4" fillId="0" borderId="0" xfId="2" applyFont="1"/>
    <xf numFmtId="166" fontId="0" fillId="0" borderId="0" xfId="0" applyNumberFormat="1"/>
    <xf numFmtId="0" fontId="4" fillId="0" borderId="0" xfId="1" applyNumberFormat="1" applyFont="1"/>
    <xf numFmtId="0" fontId="0" fillId="4" borderId="0" xfId="0" applyFill="1"/>
    <xf numFmtId="0" fontId="3" fillId="6" borderId="0" xfId="0" applyFont="1" applyFill="1" applyAlignment="1">
      <alignment horizontal="center"/>
    </xf>
    <xf numFmtId="0" fontId="0" fillId="6" borderId="0" xfId="1" applyNumberFormat="1" applyFont="1" applyFill="1"/>
    <xf numFmtId="9" fontId="0" fillId="6" borderId="0" xfId="1" applyFont="1" applyFill="1"/>
    <xf numFmtId="0" fontId="0" fillId="0" borderId="0" xfId="1" applyNumberFormat="1" applyFont="1" applyFill="1"/>
    <xf numFmtId="0" fontId="3" fillId="0" borderId="0" xfId="0" applyFont="1" applyAlignment="1">
      <alignment horizontal="right"/>
    </xf>
    <xf numFmtId="164" fontId="3" fillId="0" borderId="0" xfId="0" applyNumberFormat="1" applyFont="1"/>
    <xf numFmtId="9" fontId="0" fillId="0" borderId="0" xfId="1" applyFont="1" applyFill="1"/>
    <xf numFmtId="0" fontId="4" fillId="0" borderId="0" xfId="0" applyFont="1" applyAlignment="1">
      <alignment vertical="center"/>
    </xf>
    <xf numFmtId="0" fontId="2" fillId="6" borderId="0" xfId="0" applyFont="1" applyFill="1"/>
    <xf numFmtId="0" fontId="2" fillId="6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0" fillId="6" borderId="0" xfId="0" applyFill="1" applyAlignment="1">
      <alignment horizontal="right"/>
    </xf>
    <xf numFmtId="0" fontId="0" fillId="6" borderId="0" xfId="0" applyFill="1"/>
    <xf numFmtId="0" fontId="3" fillId="0" borderId="0" xfId="0" quotePrefix="1" applyFont="1"/>
    <xf numFmtId="0" fontId="5" fillId="2" borderId="0" xfId="0" applyFont="1" applyFill="1" applyAlignment="1">
      <alignment horizontal="center" vertical="center" wrapText="1"/>
    </xf>
    <xf numFmtId="167" fontId="0" fillId="0" borderId="0" xfId="0" applyNumberFormat="1"/>
    <xf numFmtId="0" fontId="15" fillId="0" borderId="0" xfId="0" applyFont="1" applyAlignment="1">
      <alignment horizontal="center" vertical="center" wrapText="1"/>
    </xf>
    <xf numFmtId="0" fontId="9" fillId="0" borderId="0" xfId="2" applyAlignment="1">
      <alignment vertical="center"/>
    </xf>
    <xf numFmtId="0" fontId="4" fillId="0" borderId="3" xfId="0" applyFont="1" applyBorder="1"/>
    <xf numFmtId="0" fontId="0" fillId="38" borderId="0" xfId="0" applyFill="1" applyAlignment="1">
      <alignment horizontal="center"/>
    </xf>
    <xf numFmtId="0" fontId="3" fillId="38" borderId="0" xfId="0" applyFont="1" applyFill="1" applyAlignment="1">
      <alignment horizontal="center"/>
    </xf>
    <xf numFmtId="0" fontId="0" fillId="38" borderId="0" xfId="0" applyFill="1"/>
    <xf numFmtId="0" fontId="3" fillId="38" borderId="0" xfId="0" applyFont="1" applyFill="1"/>
    <xf numFmtId="0" fontId="0" fillId="38" borderId="1" xfId="0" applyFill="1" applyBorder="1"/>
    <xf numFmtId="0" fontId="0" fillId="38" borderId="2" xfId="0" applyFill="1" applyBorder="1"/>
    <xf numFmtId="0" fontId="0" fillId="4" borderId="0" xfId="0" applyFill="1" applyAlignment="1">
      <alignment horizontal="center"/>
    </xf>
    <xf numFmtId="0" fontId="3" fillId="38" borderId="0" xfId="0" applyFont="1" applyFill="1" applyAlignment="1">
      <alignment horizontal="left"/>
    </xf>
    <xf numFmtId="0" fontId="4" fillId="4" borderId="0" xfId="0" applyFont="1" applyFill="1" applyAlignment="1">
      <alignment horizontal="center"/>
    </xf>
    <xf numFmtId="0" fontId="2" fillId="4" borderId="0" xfId="0" applyFont="1" applyFill="1"/>
    <xf numFmtId="0" fontId="3" fillId="4" borderId="0" xfId="0" applyFont="1" applyFill="1" applyAlignment="1">
      <alignment horizontal="center"/>
    </xf>
    <xf numFmtId="0" fontId="0" fillId="4" borderId="0" xfId="0" applyFill="1" applyAlignment="1">
      <alignment horizontal="right"/>
    </xf>
    <xf numFmtId="9" fontId="0" fillId="4" borderId="0" xfId="1" applyFont="1" applyFill="1"/>
    <xf numFmtId="0" fontId="0" fillId="4" borderId="0" xfId="1" applyNumberFormat="1" applyFont="1" applyFill="1"/>
    <xf numFmtId="0" fontId="4" fillId="4" borderId="0" xfId="1" applyNumberFormat="1" applyFont="1" applyFill="1"/>
    <xf numFmtId="165" fontId="0" fillId="4" borderId="0" xfId="0" applyNumberFormat="1" applyFill="1"/>
    <xf numFmtId="0" fontId="2" fillId="4" borderId="0" xfId="0" applyFont="1" applyFill="1" applyAlignment="1">
      <alignment horizontal="center"/>
    </xf>
    <xf numFmtId="1" fontId="0" fillId="4" borderId="0" xfId="0" applyNumberFormat="1" applyFill="1"/>
    <xf numFmtId="0" fontId="2" fillId="38" borderId="0" xfId="0" applyFont="1" applyFill="1"/>
    <xf numFmtId="0" fontId="2" fillId="38" borderId="0" xfId="0" applyFont="1" applyFill="1" applyAlignment="1">
      <alignment horizontal="center"/>
    </xf>
    <xf numFmtId="1" fontId="0" fillId="38" borderId="0" xfId="0" applyNumberFormat="1" applyFill="1"/>
    <xf numFmtId="0" fontId="0" fillId="38" borderId="0" xfId="0" applyFill="1" applyAlignment="1">
      <alignment horizontal="right"/>
    </xf>
    <xf numFmtId="2" fontId="0" fillId="38" borderId="0" xfId="0" applyNumberFormat="1" applyFill="1"/>
    <xf numFmtId="9" fontId="0" fillId="38" borderId="0" xfId="1" applyFont="1" applyFill="1"/>
    <xf numFmtId="0" fontId="0" fillId="38" borderId="0" xfId="1" applyNumberFormat="1" applyFont="1" applyFill="1"/>
    <xf numFmtId="167" fontId="0" fillId="38" borderId="0" xfId="0" applyNumberFormat="1" applyFill="1"/>
    <xf numFmtId="0" fontId="4" fillId="38" borderId="0" xfId="1" applyNumberFormat="1" applyFont="1" applyFill="1"/>
    <xf numFmtId="0" fontId="4" fillId="38" borderId="0" xfId="0" applyFont="1" applyFill="1" applyAlignment="1">
      <alignment horizontal="center"/>
    </xf>
    <xf numFmtId="0" fontId="2" fillId="39" borderId="0" xfId="0" applyFont="1" applyFill="1"/>
    <xf numFmtId="0" fontId="2" fillId="39" borderId="0" xfId="0" applyFont="1" applyFill="1" applyAlignment="1">
      <alignment horizontal="center"/>
    </xf>
    <xf numFmtId="0" fontId="3" fillId="39" borderId="0" xfId="0" applyFont="1" applyFill="1" applyAlignment="1">
      <alignment horizontal="center"/>
    </xf>
    <xf numFmtId="0" fontId="0" fillId="39" borderId="0" xfId="0" applyFill="1" applyAlignment="1">
      <alignment horizontal="center"/>
    </xf>
    <xf numFmtId="1" fontId="0" fillId="39" borderId="0" xfId="0" applyNumberFormat="1" applyFill="1"/>
    <xf numFmtId="0" fontId="0" fillId="39" borderId="0" xfId="0" applyFill="1" applyAlignment="1">
      <alignment horizontal="right"/>
    </xf>
    <xf numFmtId="0" fontId="0" fillId="39" borderId="0" xfId="0" applyFill="1"/>
    <xf numFmtId="2" fontId="0" fillId="39" borderId="0" xfId="0" applyNumberFormat="1" applyFill="1"/>
    <xf numFmtId="166" fontId="0" fillId="39" borderId="0" xfId="0" applyNumberFormat="1" applyFill="1"/>
    <xf numFmtId="9" fontId="0" fillId="39" borderId="0" xfId="1" applyFont="1" applyFill="1"/>
    <xf numFmtId="167" fontId="0" fillId="39" borderId="0" xfId="0" applyNumberFormat="1" applyFill="1"/>
    <xf numFmtId="0" fontId="4" fillId="39" borderId="0" xfId="1" applyNumberFormat="1" applyFont="1" applyFill="1"/>
    <xf numFmtId="0" fontId="0" fillId="39" borderId="0" xfId="1" applyNumberFormat="1" applyFont="1" applyFill="1"/>
    <xf numFmtId="0" fontId="2" fillId="40" borderId="0" xfId="0" applyFont="1" applyFill="1"/>
    <xf numFmtId="0" fontId="2" fillId="40" borderId="0" xfId="0" applyFont="1" applyFill="1" applyAlignment="1">
      <alignment horizontal="center"/>
    </xf>
    <xf numFmtId="0" fontId="3" fillId="40" borderId="0" xfId="0" applyFont="1" applyFill="1" applyAlignment="1">
      <alignment horizontal="center"/>
    </xf>
    <xf numFmtId="0" fontId="0" fillId="40" borderId="0" xfId="0" applyFill="1" applyAlignment="1">
      <alignment horizontal="center"/>
    </xf>
    <xf numFmtId="1" fontId="0" fillId="40" borderId="0" xfId="0" applyNumberFormat="1" applyFill="1"/>
    <xf numFmtId="0" fontId="0" fillId="40" borderId="0" xfId="0" applyFill="1" applyAlignment="1">
      <alignment horizontal="right"/>
    </xf>
    <xf numFmtId="0" fontId="0" fillId="40" borderId="0" xfId="0" applyFill="1"/>
    <xf numFmtId="166" fontId="0" fillId="40" borderId="0" xfId="0" applyNumberFormat="1" applyFill="1"/>
    <xf numFmtId="2" fontId="0" fillId="40" borderId="0" xfId="0" applyNumberFormat="1" applyFill="1"/>
    <xf numFmtId="9" fontId="0" fillId="40" borderId="0" xfId="1" applyFont="1" applyFill="1"/>
    <xf numFmtId="0" fontId="0" fillId="40" borderId="0" xfId="1" applyNumberFormat="1" applyFont="1" applyFill="1"/>
    <xf numFmtId="167" fontId="0" fillId="40" borderId="0" xfId="0" applyNumberFormat="1" applyFill="1"/>
    <xf numFmtId="0" fontId="4" fillId="40" borderId="0" xfId="1" applyNumberFormat="1" applyFont="1" applyFill="1"/>
    <xf numFmtId="0" fontId="2" fillId="41" borderId="0" xfId="0" applyFont="1" applyFill="1"/>
    <xf numFmtId="0" fontId="4" fillId="41" borderId="0" xfId="0" applyFont="1" applyFill="1" applyAlignment="1">
      <alignment horizontal="center"/>
    </xf>
    <xf numFmtId="0" fontId="3" fillId="41" borderId="0" xfId="0" applyFont="1" applyFill="1" applyAlignment="1">
      <alignment horizontal="center"/>
    </xf>
    <xf numFmtId="0" fontId="0" fillId="41" borderId="0" xfId="0" applyFill="1" applyAlignment="1">
      <alignment horizontal="center"/>
    </xf>
    <xf numFmtId="0" fontId="0" fillId="41" borderId="0" xfId="0" applyFill="1"/>
    <xf numFmtId="0" fontId="0" fillId="41" borderId="0" xfId="0" applyFill="1" applyAlignment="1">
      <alignment horizontal="right"/>
    </xf>
    <xf numFmtId="9" fontId="0" fillId="41" borderId="0" xfId="1" applyFont="1" applyFill="1"/>
    <xf numFmtId="0" fontId="0" fillId="41" borderId="0" xfId="1" applyNumberFormat="1" applyFont="1" applyFill="1"/>
    <xf numFmtId="0" fontId="2" fillId="41" borderId="0" xfId="0" applyFont="1" applyFill="1" applyAlignment="1">
      <alignment horizontal="center"/>
    </xf>
    <xf numFmtId="1" fontId="0" fillId="41" borderId="0" xfId="0" applyNumberFormat="1" applyFill="1"/>
    <xf numFmtId="0" fontId="3" fillId="40" borderId="0" xfId="0" applyFont="1" applyFill="1"/>
    <xf numFmtId="0" fontId="3" fillId="40" borderId="0" xfId="0" applyFont="1" applyFill="1" applyAlignment="1">
      <alignment horizontal="left"/>
    </xf>
    <xf numFmtId="0" fontId="0" fillId="40" borderId="1" xfId="0" applyFill="1" applyBorder="1"/>
    <xf numFmtId="0" fontId="0" fillId="40" borderId="2" xfId="0" applyFill="1" applyBorder="1"/>
    <xf numFmtId="0" fontId="3" fillId="39" borderId="0" xfId="0" applyFont="1" applyFill="1"/>
    <xf numFmtId="0" fontId="0" fillId="39" borderId="1" xfId="0" applyFill="1" applyBorder="1"/>
    <xf numFmtId="0" fontId="0" fillId="39" borderId="2" xfId="0" applyFill="1" applyBorder="1"/>
    <xf numFmtId="0" fontId="3" fillId="41" borderId="0" xfId="0" applyFont="1" applyFill="1"/>
    <xf numFmtId="0" fontId="0" fillId="41" borderId="1" xfId="0" applyFill="1" applyBorder="1"/>
    <xf numFmtId="0" fontId="0" fillId="41" borderId="2" xfId="0" applyFill="1" applyBorder="1"/>
    <xf numFmtId="0" fontId="4" fillId="0" borderId="0" xfId="0" applyFont="1" applyAlignment="1">
      <alignment horizontal="right"/>
    </xf>
    <xf numFmtId="0" fontId="4" fillId="0" borderId="0" xfId="0" applyFont="1" applyAlignment="1">
      <alignment horizontal="left" vertical="center" wrapText="1"/>
    </xf>
    <xf numFmtId="0" fontId="0" fillId="38" borderId="0" xfId="0" applyFill="1" applyAlignment="1">
      <alignment horizontal="left"/>
    </xf>
    <xf numFmtId="0" fontId="2" fillId="42" borderId="0" xfId="0" applyFont="1" applyFill="1"/>
    <xf numFmtId="0" fontId="0" fillId="42" borderId="0" xfId="0" applyFill="1" applyAlignment="1">
      <alignment horizontal="center"/>
    </xf>
    <xf numFmtId="0" fontId="3" fillId="42" borderId="0" xfId="0" applyFont="1" applyFill="1" applyAlignment="1">
      <alignment horizontal="center"/>
    </xf>
    <xf numFmtId="1" fontId="0" fillId="42" borderId="0" xfId="0" applyNumberFormat="1" applyFill="1"/>
    <xf numFmtId="0" fontId="0" fillId="42" borderId="0" xfId="0" applyFill="1" applyAlignment="1">
      <alignment horizontal="right"/>
    </xf>
    <xf numFmtId="0" fontId="0" fillId="42" borderId="0" xfId="0" applyFill="1"/>
    <xf numFmtId="166" fontId="0" fillId="42" borderId="0" xfId="0" applyNumberFormat="1" applyFill="1"/>
    <xf numFmtId="2" fontId="0" fillId="42" borderId="0" xfId="0" applyNumberFormat="1" applyFill="1"/>
    <xf numFmtId="9" fontId="0" fillId="42" borderId="0" xfId="1" applyFont="1" applyFill="1"/>
    <xf numFmtId="0" fontId="0" fillId="42" borderId="0" xfId="1" applyNumberFormat="1" applyFont="1" applyFill="1"/>
    <xf numFmtId="0" fontId="4" fillId="42" borderId="0" xfId="1" applyNumberFormat="1" applyFont="1" applyFill="1"/>
    <xf numFmtId="2" fontId="0" fillId="42" borderId="0" xfId="1" applyNumberFormat="1" applyFont="1" applyFill="1"/>
    <xf numFmtId="1" fontId="0" fillId="42" borderId="0" xfId="1" applyNumberFormat="1" applyFont="1" applyFill="1"/>
    <xf numFmtId="166" fontId="4" fillId="42" borderId="0" xfId="1" applyNumberFormat="1" applyFont="1" applyFill="1"/>
    <xf numFmtId="0" fontId="3" fillId="42" borderId="0" xfId="0" applyFont="1" applyFill="1"/>
    <xf numFmtId="0" fontId="0" fillId="42" borderId="1" xfId="0" applyFill="1" applyBorder="1"/>
    <xf numFmtId="0" fontId="0" fillId="42" borderId="2" xfId="0" applyFill="1" applyBorder="1"/>
    <xf numFmtId="0" fontId="4" fillId="41" borderId="0" xfId="0" applyFont="1" applyFill="1"/>
    <xf numFmtId="0" fontId="4" fillId="42" borderId="0" xfId="0" applyFont="1" applyFill="1"/>
    <xf numFmtId="0" fontId="6" fillId="41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 vertical="center" textRotation="90"/>
    </xf>
    <xf numFmtId="0" fontId="3" fillId="0" borderId="0" xfId="0" applyFont="1" applyAlignment="1">
      <alignment horizont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wrapText="1"/>
    </xf>
    <xf numFmtId="0" fontId="12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</cellXfs>
  <cellStyles count="44">
    <cellStyle name="20% - Accent1" xfId="20" builtinId="30" customBuiltin="1"/>
    <cellStyle name="20% - Accent2" xfId="23" builtinId="34" customBuiltin="1"/>
    <cellStyle name="20% - Accent3" xfId="26" builtinId="38" customBuiltin="1"/>
    <cellStyle name="20% - Accent4" xfId="29" builtinId="42" customBuiltin="1"/>
    <cellStyle name="20% - Accent5" xfId="32" builtinId="46" customBuiltin="1"/>
    <cellStyle name="20% - Accent6" xfId="35" builtinId="50" customBuiltin="1"/>
    <cellStyle name="40% - Accent1" xfId="21" builtinId="31" customBuiltin="1"/>
    <cellStyle name="40% - Accent2" xfId="24" builtinId="35" customBuiltin="1"/>
    <cellStyle name="40% - Accent3" xfId="27" builtinId="39" customBuiltin="1"/>
    <cellStyle name="40% - Accent4" xfId="30" builtinId="43" customBuiltin="1"/>
    <cellStyle name="40% - Accent5" xfId="33" builtinId="47" customBuiltin="1"/>
    <cellStyle name="40% - Accent6" xfId="36" builtinId="51" customBuiltin="1"/>
    <cellStyle name="60% - Accent1 2" xfId="38" xr:uid="{7E8EAC49-FEE3-4E83-B96D-D6D986406565}"/>
    <cellStyle name="60% - Accent2 2" xfId="39" xr:uid="{61EC3771-E369-4209-9DFA-FF7ABDE99D04}"/>
    <cellStyle name="60% - Accent3 2" xfId="40" xr:uid="{2C96BD72-B71F-4220-ABA5-C51F4B2A5CB2}"/>
    <cellStyle name="60% - Accent4 2" xfId="41" xr:uid="{539F7731-FA0F-4489-AE5B-EB2284AD8F37}"/>
    <cellStyle name="60% - Accent5 2" xfId="42" xr:uid="{AC2C3745-296D-4311-802F-A2F84EB1DA51}"/>
    <cellStyle name="60% - Accent6 2" xfId="43" xr:uid="{53754796-09D2-42FB-B49F-F53E2B40C14B}"/>
    <cellStyle name="Accent1" xfId="19" builtinId="29" customBuiltin="1"/>
    <cellStyle name="Accent2" xfId="22" builtinId="33" customBuiltin="1"/>
    <cellStyle name="Accent3" xfId="25" builtinId="37" customBuiltin="1"/>
    <cellStyle name="Accent4" xfId="28" builtinId="41" customBuiltin="1"/>
    <cellStyle name="Accent5" xfId="31" builtinId="45" customBuiltin="1"/>
    <cellStyle name="Accent6" xfId="34" builtinId="49" customBuiltin="1"/>
    <cellStyle name="Bad" xfId="9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Hyperlink" xfId="2" builtinId="8"/>
    <cellStyle name="Input" xfId="10" builtinId="20" customBuiltin="1"/>
    <cellStyle name="Linked Cell" xfId="13" builtinId="24" customBuiltin="1"/>
    <cellStyle name="Neutral 2" xfId="37" xr:uid="{ECFF19EE-E461-4B29-AF30-03EBF2A09DD4}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3" builtinId="15" customBuiltin="1"/>
    <cellStyle name="Total" xfId="18" builtinId="25" customBuiltin="1"/>
    <cellStyle name="Warning Text" xfId="15" builtinId="11" customBuiltin="1"/>
  </cellStyles>
  <dxfs count="14">
    <dxf>
      <font>
        <color theme="9"/>
      </font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</dxf>
    <dxf>
      <font>
        <color theme="9"/>
      </font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theme="9"/>
      </font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114300</xdr:colOff>
          <xdr:row>0</xdr:row>
          <xdr:rowOff>60960</xdr:rowOff>
        </xdr:from>
        <xdr:to>
          <xdr:col>3</xdr:col>
          <xdr:colOff>883920</xdr:colOff>
          <xdr:row>2</xdr:row>
          <xdr:rowOff>99060</xdr:rowOff>
        </xdr:to>
        <xdr:sp macro="" textlink="">
          <xdr:nvSpPr>
            <xdr:cNvPr id="7503" name="Button 335" hidden="1">
              <a:extLst>
                <a:ext uri="{63B3BB69-23CF-44E3-9099-C40C66FF867C}">
                  <a14:compatExt spid="_x0000_s7503"/>
                </a:ext>
                <a:ext uri="{FF2B5EF4-FFF2-40B4-BE49-F238E27FC236}">
                  <a16:creationId xmlns:a16="http://schemas.microsoft.com/office/drawing/2014/main" id="{00000000-0008-0000-0500-00004F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da-DK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Import comments from data sheet and save current file to xlsx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jbca/Documents/Models/OptiPlant/Sources%20and%20documentation/Techno%20economics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ources"/>
      <sheetName val="Fuel production cost"/>
      <sheetName val="Fuel cost graphs"/>
      <sheetName val="Calculations"/>
      <sheetName val="Calculations 2"/>
      <sheetName val="Annuities"/>
      <sheetName val="All_data"/>
      <sheetName val="Desalination"/>
      <sheetName val="Bio-eMeOH plant"/>
      <sheetName val="MeOH plant + CO2"/>
      <sheetName val="NH3 plant + ASU"/>
      <sheetName val=" Storage + Transport"/>
      <sheetName val="Electrolyser + O2+Heat + Grid"/>
      <sheetName val="Solar PV"/>
      <sheetName val="Solar PV tracking"/>
      <sheetName val="Wind_turbines"/>
      <sheetName val="Wind_on"/>
      <sheetName val="Wind_off"/>
      <sheetName val="Sheet1"/>
    </sheetNames>
    <sheetDataSet>
      <sheetData sheetId="0"/>
      <sheetData sheetId="1"/>
      <sheetData sheetId="2"/>
      <sheetData sheetId="3">
        <row r="3">
          <cell r="C3">
            <v>0.89293686936333605</v>
          </cell>
        </row>
        <row r="8">
          <cell r="C8">
            <v>0.75284197846871936</v>
          </cell>
        </row>
        <row r="22">
          <cell r="C22">
            <v>576.1</v>
          </cell>
        </row>
        <row r="23">
          <cell r="C23">
            <v>556.79999999999995</v>
          </cell>
        </row>
        <row r="28">
          <cell r="C28">
            <v>607.5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hydrogen.energy.gov/pdfs/progress13/xi_5_elgowainy_2013.pdf" TargetMode="External"/><Relationship Id="rId13" Type="http://schemas.openxmlformats.org/officeDocument/2006/relationships/hyperlink" Target="https://ens.dk/en/our-services/projections-and-models/technology-data/technology-data-renewable-fuels" TargetMode="External"/><Relationship Id="rId18" Type="http://schemas.openxmlformats.org/officeDocument/2006/relationships/hyperlink" Target="https://www.hydrogen.energy.gov/program_records.html?print" TargetMode="External"/><Relationship Id="rId26" Type="http://schemas.openxmlformats.org/officeDocument/2006/relationships/hyperlink" Target="https://doi.org/10.1016/j.jclepro.2019.01.171" TargetMode="External"/><Relationship Id="rId3" Type="http://schemas.openxmlformats.org/officeDocument/2006/relationships/hyperlink" Target="https://doi.org/10.1016/j.egypro.2017.03.1111" TargetMode="External"/><Relationship Id="rId21" Type="http://schemas.openxmlformats.org/officeDocument/2006/relationships/hyperlink" Target="https://webstore.iea.org/the-future-of-hydrogen" TargetMode="External"/><Relationship Id="rId7" Type="http://schemas.openxmlformats.org/officeDocument/2006/relationships/hyperlink" Target="https://www.nrel.gov/docs/fy04osti/35404.pdf" TargetMode="External"/><Relationship Id="rId12" Type="http://schemas.openxmlformats.org/officeDocument/2006/relationships/hyperlink" Target="https://ens.dk/en/our-services/projections-and-models/technology-data/technology-data-generation-electricity-and" TargetMode="External"/><Relationship Id="rId17" Type="http://schemas.openxmlformats.org/officeDocument/2006/relationships/hyperlink" Target="https://www.danskfjernvarme.dk/groen-energi/analyser/210512-power-to-x-og-fjernvarme" TargetMode="External"/><Relationship Id="rId25" Type="http://schemas.openxmlformats.org/officeDocument/2006/relationships/hyperlink" Target="https://atb.nrel.gov/transportation/2020/hydrogen" TargetMode="External"/><Relationship Id="rId2" Type="http://schemas.openxmlformats.org/officeDocument/2006/relationships/hyperlink" Target="https://www.iea.org/reports/world-energy-outlook-2020" TargetMode="External"/><Relationship Id="rId16" Type="http://schemas.openxmlformats.org/officeDocument/2006/relationships/hyperlink" Target="http://dx.doi.org/10.2139/ssrn.4154006" TargetMode="External"/><Relationship Id="rId20" Type="http://schemas.openxmlformats.org/officeDocument/2006/relationships/hyperlink" Target="https://doi.org/10.1016/j.ijhydene.2019.11.028" TargetMode="External"/><Relationship Id="rId1" Type="http://schemas.openxmlformats.org/officeDocument/2006/relationships/hyperlink" Target="https://doi.org/10.1038/s41560-020-00771-9" TargetMode="External"/><Relationship Id="rId6" Type="http://schemas.openxmlformats.org/officeDocument/2006/relationships/hyperlink" Target="https://www.iea.org/reports/net-zero-by-2050" TargetMode="External"/><Relationship Id="rId11" Type="http://schemas.openxmlformats.org/officeDocument/2006/relationships/hyperlink" Target="https://www.sciencedirect.com/science/article/pii/S0360319921030834" TargetMode="External"/><Relationship Id="rId24" Type="http://schemas.openxmlformats.org/officeDocument/2006/relationships/hyperlink" Target="https://ens.dk/en/our-services/projections-and-models/technology-data/technology-data-energy-storage" TargetMode="External"/><Relationship Id="rId5" Type="http://schemas.openxmlformats.org/officeDocument/2006/relationships/hyperlink" Target="https://www.cei.washington.edu/education/science-of-solar/battery-technology/" TargetMode="External"/><Relationship Id="rId15" Type="http://schemas.openxmlformats.org/officeDocument/2006/relationships/hyperlink" Target="https://www.nordicenergy.org/project/np2x/" TargetMode="External"/><Relationship Id="rId23" Type="http://schemas.openxmlformats.org/officeDocument/2006/relationships/hyperlink" Target="https://www.sciencedirect.com/science/article/pii/S0360319918319931" TargetMode="External"/><Relationship Id="rId10" Type="http://schemas.openxmlformats.org/officeDocument/2006/relationships/hyperlink" Target="https://www.sciencedirect.com/science/article/pii/B9781782423645000075" TargetMode="External"/><Relationship Id="rId19" Type="http://schemas.openxmlformats.org/officeDocument/2006/relationships/hyperlink" Target="https://www.sciencedirect.com/science/article/pii/S0360319921030834" TargetMode="External"/><Relationship Id="rId4" Type="http://schemas.openxmlformats.org/officeDocument/2006/relationships/hyperlink" Target="https://www.nature.com/articles/s41558-021-01032-7" TargetMode="External"/><Relationship Id="rId9" Type="http://schemas.openxmlformats.org/officeDocument/2006/relationships/hyperlink" Target="https://ens.dk/en/our-services/projections-and-models/technology-data/technology-data-industrial-process-heat-and" TargetMode="External"/><Relationship Id="rId14" Type="http://schemas.openxmlformats.org/officeDocument/2006/relationships/hyperlink" Target="https://op.europa.eu/en/publication-detail/-/publication/1f55ca82-3451-11e6-969e-01aa75ed71a1/language-en" TargetMode="External"/><Relationship Id="rId22" Type="http://schemas.openxmlformats.org/officeDocument/2006/relationships/hyperlink" Target="https://doi.org/10.1016/j.rser.2022.113057" TargetMode="External"/><Relationship Id="rId27" Type="http://schemas.openxmlformats.org/officeDocument/2006/relationships/hyperlink" Target="https://pubs.acs.org/doi/epdf/10.1021/acs.iecr.1c0468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FS69"/>
  <sheetViews>
    <sheetView workbookViewId="0">
      <pane xSplit="5" ySplit="8" topLeftCell="F9" activePane="bottomRight" state="frozen"/>
      <selection pane="topRight" activeCell="F1" sqref="F1"/>
      <selection pane="bottomLeft" activeCell="A12" sqref="A12"/>
      <selection pane="bottomRight" activeCell="D18" sqref="D18"/>
    </sheetView>
  </sheetViews>
  <sheetFormatPr defaultColWidth="8.77734375" defaultRowHeight="14.4" x14ac:dyDescent="0.3"/>
  <cols>
    <col min="1" max="1" width="8.109375" customWidth="1"/>
    <col min="2" max="2" width="20.6640625" style="3" customWidth="1"/>
    <col min="3" max="3" width="15.33203125" style="4" customWidth="1"/>
    <col min="4" max="4" width="27.21875" style="2" customWidth="1"/>
    <col min="5" max="5" width="3" style="9" customWidth="1"/>
    <col min="6" max="6" width="13.21875" style="2" customWidth="1"/>
    <col min="7" max="7" width="29.77734375" style="2" customWidth="1"/>
    <col min="8" max="8" width="21.33203125" customWidth="1"/>
    <col min="9" max="9" width="20.21875" customWidth="1"/>
    <col min="10" max="10" width="9.5546875" customWidth="1"/>
    <col min="11" max="12" width="11.77734375" customWidth="1"/>
    <col min="13" max="14" width="10.44140625" customWidth="1"/>
    <col min="15" max="15" width="12.21875" customWidth="1"/>
    <col min="16" max="16" width="9.21875" customWidth="1"/>
    <col min="17" max="17" width="10.5546875" customWidth="1"/>
    <col min="18" max="18" width="8.77734375" customWidth="1"/>
    <col min="19" max="19" width="10.5546875" customWidth="1"/>
    <col min="20" max="21" width="7.88671875" customWidth="1"/>
    <col min="22" max="23" width="7.5546875" customWidth="1"/>
    <col min="24" max="25" width="6.6640625" customWidth="1"/>
    <col min="26" max="26" width="14" customWidth="1"/>
    <col min="27" max="27" width="10.5546875" customWidth="1"/>
    <col min="28" max="29" width="8.77734375" customWidth="1"/>
    <col min="30" max="31" width="7.88671875" customWidth="1"/>
    <col min="32" max="33" width="7.5546875" customWidth="1"/>
    <col min="34" max="35" width="6.6640625" customWidth="1"/>
    <col min="36" max="36" width="14" customWidth="1"/>
    <col min="37" max="37" width="10.5546875" customWidth="1"/>
    <col min="38" max="39" width="8.77734375" customWidth="1"/>
    <col min="40" max="41" width="7.88671875" customWidth="1"/>
    <col min="42" max="43" width="7.5546875" customWidth="1"/>
    <col min="44" max="45" width="6.6640625" customWidth="1"/>
    <col min="47" max="47" width="10.5546875" customWidth="1"/>
    <col min="48" max="49" width="8.77734375" customWidth="1"/>
    <col min="50" max="51" width="7.88671875" customWidth="1"/>
    <col min="52" max="53" width="7.5546875" customWidth="1"/>
    <col min="54" max="55" width="6.6640625" customWidth="1"/>
    <col min="57" max="57" width="10.5546875" customWidth="1"/>
    <col min="58" max="59" width="8.77734375" customWidth="1"/>
    <col min="60" max="61" width="7.88671875" customWidth="1"/>
    <col min="62" max="63" width="7.5546875" customWidth="1"/>
    <col min="64" max="65" width="6.6640625" customWidth="1"/>
    <col min="66" max="66" width="11.21875" customWidth="1"/>
    <col min="67" max="67" width="10.5546875" customWidth="1"/>
    <col min="68" max="69" width="8.77734375" customWidth="1"/>
    <col min="70" max="71" width="7.88671875" customWidth="1"/>
    <col min="72" max="73" width="7.5546875" customWidth="1"/>
    <col min="74" max="75" width="6.6640625" customWidth="1"/>
    <col min="76" max="76" width="12.6640625" customWidth="1"/>
    <col min="77" max="77" width="10.5546875" customWidth="1"/>
    <col min="78" max="79" width="8.77734375" customWidth="1"/>
    <col min="80" max="81" width="7.88671875" customWidth="1"/>
    <col min="82" max="83" width="7.5546875" customWidth="1"/>
    <col min="84" max="85" width="6.6640625" customWidth="1"/>
    <col min="86" max="86" width="11.77734375" customWidth="1"/>
    <col min="87" max="87" width="10.5546875" customWidth="1"/>
    <col min="88" max="89" width="8.77734375" customWidth="1"/>
    <col min="90" max="91" width="7.88671875" customWidth="1"/>
    <col min="92" max="93" width="7.5546875" customWidth="1"/>
    <col min="94" max="94" width="8.6640625" customWidth="1"/>
    <col min="95" max="95" width="6.6640625" customWidth="1"/>
    <col min="96" max="96" width="10.77734375" customWidth="1"/>
    <col min="97" max="97" width="10.5546875" customWidth="1"/>
    <col min="98" max="99" width="8.77734375" customWidth="1"/>
    <col min="100" max="101" width="7.88671875" customWidth="1"/>
    <col min="102" max="103" width="7.5546875" customWidth="1"/>
    <col min="104" max="105" width="6.6640625" customWidth="1"/>
    <col min="106" max="106" width="12.88671875" customWidth="1"/>
    <col min="107" max="107" width="10.5546875" customWidth="1"/>
    <col min="108" max="109" width="8.77734375" customWidth="1"/>
    <col min="110" max="111" width="7.88671875" customWidth="1"/>
    <col min="112" max="113" width="7.5546875" customWidth="1"/>
    <col min="114" max="115" width="6.6640625" customWidth="1"/>
    <col min="116" max="116" width="14.21875" customWidth="1"/>
    <col min="117" max="117" width="10.5546875" customWidth="1"/>
    <col min="118" max="119" width="8.77734375" customWidth="1"/>
    <col min="120" max="121" width="7.88671875" customWidth="1"/>
    <col min="122" max="123" width="7.5546875" customWidth="1"/>
    <col min="124" max="125" width="6.6640625" customWidth="1"/>
    <col min="126" max="126" width="15.21875" customWidth="1"/>
    <col min="127" max="127" width="10.5546875" customWidth="1"/>
    <col min="128" max="129" width="8.77734375" customWidth="1"/>
    <col min="130" max="131" width="7.88671875" customWidth="1"/>
    <col min="132" max="133" width="7.5546875" customWidth="1"/>
    <col min="134" max="135" width="6.6640625" customWidth="1"/>
    <col min="136" max="136" width="18.21875" customWidth="1"/>
    <col min="137" max="137" width="10.5546875" customWidth="1"/>
    <col min="138" max="139" width="8.77734375" customWidth="1"/>
    <col min="140" max="141" width="7.88671875" customWidth="1"/>
    <col min="142" max="143" width="7.5546875" customWidth="1"/>
    <col min="144" max="145" width="6.6640625" customWidth="1"/>
    <col min="146" max="146" width="14.21875" customWidth="1"/>
    <col min="147" max="147" width="10.5546875" customWidth="1"/>
    <col min="148" max="149" width="8.77734375" customWidth="1"/>
    <col min="150" max="151" width="9.21875" customWidth="1"/>
    <col min="152" max="153" width="7.5546875" customWidth="1"/>
    <col min="154" max="155" width="6.6640625" customWidth="1"/>
    <col min="156" max="156" width="9.109375" customWidth="1"/>
    <col min="157" max="157" width="9.77734375" customWidth="1"/>
    <col min="158" max="159" width="9.88671875" customWidth="1"/>
    <col min="160" max="161" width="8" customWidth="1"/>
    <col min="162" max="163" width="8.33203125" customWidth="1"/>
    <col min="164" max="165" width="7.44140625" customWidth="1"/>
    <col min="167" max="167" width="10.5546875" customWidth="1"/>
    <col min="168" max="169" width="8.77734375" customWidth="1"/>
    <col min="170" max="171" width="7.88671875" customWidth="1"/>
    <col min="172" max="174" width="7.5546875" customWidth="1"/>
    <col min="175" max="175" width="6.6640625" customWidth="1"/>
    <col min="176" max="176" width="13.44140625" customWidth="1"/>
    <col min="177" max="177" width="11.21875" customWidth="1"/>
  </cols>
  <sheetData>
    <row r="1" spans="1:175" x14ac:dyDescent="0.3">
      <c r="A1" s="19" t="s">
        <v>169</v>
      </c>
      <c r="B1" s="19">
        <v>0</v>
      </c>
      <c r="C1" s="6" t="s">
        <v>219</v>
      </c>
      <c r="E1" s="13"/>
      <c r="G1" s="48"/>
    </row>
    <row r="2" spans="1:175" x14ac:dyDescent="0.3">
      <c r="A2" s="1" t="s">
        <v>146</v>
      </c>
      <c r="B2" s="1">
        <v>2030</v>
      </c>
      <c r="C2" s="11">
        <v>2040</v>
      </c>
      <c r="D2" s="11">
        <v>2050</v>
      </c>
      <c r="E2" s="13"/>
    </row>
    <row r="3" spans="1:175" x14ac:dyDescent="0.3">
      <c r="A3" s="26">
        <v>1</v>
      </c>
      <c r="B3" s="14">
        <f>$A$3+(($D$3-$A$3)/($D$2-2020))*(B2-2020)</f>
        <v>1</v>
      </c>
      <c r="C3" s="14">
        <f>$A$3+(($D$3-$A$3)/($D$2-2020))*(C2-2020)</f>
        <v>1</v>
      </c>
      <c r="D3" s="26">
        <v>1</v>
      </c>
      <c r="E3" s="13"/>
    </row>
    <row r="4" spans="1:175" ht="16.05" customHeight="1" x14ac:dyDescent="0.3">
      <c r="A4" s="172" t="s">
        <v>0</v>
      </c>
      <c r="B4" s="172"/>
      <c r="C4" s="172"/>
      <c r="D4" s="5"/>
      <c r="E4" s="13"/>
      <c r="F4" s="7" t="s">
        <v>131</v>
      </c>
      <c r="G4" s="7" t="s">
        <v>145</v>
      </c>
      <c r="H4" s="5" t="s">
        <v>78</v>
      </c>
      <c r="I4" s="5" t="s">
        <v>2</v>
      </c>
      <c r="J4" s="5" t="s">
        <v>4</v>
      </c>
      <c r="K4" s="5" t="s">
        <v>5</v>
      </c>
      <c r="L4" s="5" t="s">
        <v>406</v>
      </c>
      <c r="M4" s="29" t="s">
        <v>3</v>
      </c>
      <c r="N4" s="29" t="s">
        <v>269</v>
      </c>
      <c r="O4" s="5" t="s">
        <v>6</v>
      </c>
      <c r="P4" s="170" t="s">
        <v>79</v>
      </c>
      <c r="Q4" s="170"/>
      <c r="R4" s="170"/>
      <c r="S4" s="170"/>
      <c r="T4" s="170"/>
      <c r="U4" s="170"/>
      <c r="V4" s="170"/>
      <c r="W4" s="170"/>
      <c r="X4" s="170"/>
      <c r="Y4" s="170"/>
      <c r="Z4" s="170" t="s">
        <v>80</v>
      </c>
      <c r="AA4" s="170"/>
      <c r="AB4" s="170"/>
      <c r="AC4" s="170"/>
      <c r="AD4" s="170"/>
      <c r="AE4" s="170"/>
      <c r="AF4" s="170"/>
      <c r="AG4" s="170"/>
      <c r="AH4" s="170"/>
      <c r="AI4" s="170"/>
      <c r="AJ4" s="170" t="s">
        <v>405</v>
      </c>
      <c r="AK4" s="170"/>
      <c r="AL4" s="170"/>
      <c r="AM4" s="170"/>
      <c r="AN4" s="170"/>
      <c r="AO4" s="170"/>
      <c r="AP4" s="170"/>
      <c r="AQ4" s="170"/>
      <c r="AR4" s="170"/>
      <c r="AS4" s="170"/>
      <c r="AT4" s="170" t="s">
        <v>81</v>
      </c>
      <c r="AU4" s="170"/>
      <c r="AV4" s="170"/>
      <c r="AW4" s="170"/>
      <c r="AX4" s="170"/>
      <c r="AY4" s="170"/>
      <c r="AZ4" s="170"/>
      <c r="BA4" s="170"/>
      <c r="BB4" s="170"/>
      <c r="BC4" s="29"/>
      <c r="BD4" s="170" t="s">
        <v>82</v>
      </c>
      <c r="BE4" s="170"/>
      <c r="BF4" s="170"/>
      <c r="BG4" s="170"/>
      <c r="BH4" s="170"/>
      <c r="BI4" s="170"/>
      <c r="BJ4" s="170"/>
      <c r="BK4" s="170"/>
      <c r="BL4" s="170"/>
      <c r="BM4" s="29"/>
      <c r="BN4" s="170" t="s">
        <v>83</v>
      </c>
      <c r="BO4" s="170"/>
      <c r="BP4" s="170"/>
      <c r="BQ4" s="170"/>
      <c r="BR4" s="170"/>
      <c r="BS4" s="170"/>
      <c r="BT4" s="170"/>
      <c r="BU4" s="170"/>
      <c r="BV4" s="170"/>
      <c r="BW4" s="29"/>
      <c r="BX4" s="170" t="s">
        <v>84</v>
      </c>
      <c r="BY4" s="170"/>
      <c r="BZ4" s="170"/>
      <c r="CA4" s="170"/>
      <c r="CB4" s="170"/>
      <c r="CC4" s="170"/>
      <c r="CD4" s="170"/>
      <c r="CE4" s="170"/>
      <c r="CF4" s="170"/>
      <c r="CG4" s="29"/>
      <c r="CH4" s="170" t="s">
        <v>183</v>
      </c>
      <c r="CI4" s="170"/>
      <c r="CJ4" s="170"/>
      <c r="CK4" s="170"/>
      <c r="CL4" s="170"/>
      <c r="CM4" s="170"/>
      <c r="CN4" s="170"/>
      <c r="CO4" s="170"/>
      <c r="CP4" s="170"/>
      <c r="CQ4" s="29"/>
      <c r="CR4" s="170" t="s">
        <v>184</v>
      </c>
      <c r="CS4" s="170"/>
      <c r="CT4" s="170"/>
      <c r="CU4" s="170"/>
      <c r="CV4" s="170"/>
      <c r="CW4" s="170"/>
      <c r="CX4" s="170"/>
      <c r="CY4" s="170"/>
      <c r="CZ4" s="170"/>
      <c r="DA4" s="29"/>
      <c r="DB4" s="170" t="s">
        <v>185</v>
      </c>
      <c r="DC4" s="170"/>
      <c r="DD4" s="170"/>
      <c r="DE4" s="170"/>
      <c r="DF4" s="170"/>
      <c r="DG4" s="170"/>
      <c r="DH4" s="170"/>
      <c r="DI4" s="170"/>
      <c r="DJ4" s="170"/>
      <c r="DK4" s="29"/>
      <c r="DL4" s="170" t="s">
        <v>186</v>
      </c>
      <c r="DM4" s="170"/>
      <c r="DN4" s="170"/>
      <c r="DO4" s="170"/>
      <c r="DP4" s="170"/>
      <c r="DQ4" s="170"/>
      <c r="DR4" s="170"/>
      <c r="DS4" s="170"/>
      <c r="DT4" s="170"/>
      <c r="DU4" s="29"/>
      <c r="DV4" s="170" t="s">
        <v>187</v>
      </c>
      <c r="DW4" s="170"/>
      <c r="DX4" s="170"/>
      <c r="DY4" s="170"/>
      <c r="DZ4" s="170"/>
      <c r="EA4" s="170"/>
      <c r="EB4" s="170"/>
      <c r="EC4" s="170"/>
      <c r="ED4" s="170"/>
      <c r="EE4" s="29"/>
      <c r="EF4" s="170" t="s">
        <v>132</v>
      </c>
      <c r="EG4" s="170"/>
      <c r="EH4" s="170"/>
      <c r="EI4" s="170"/>
      <c r="EJ4" s="170"/>
      <c r="EK4" s="170"/>
      <c r="EL4" s="170"/>
      <c r="EM4" s="170"/>
      <c r="EN4" s="170"/>
      <c r="EO4" s="29"/>
      <c r="EP4" s="170" t="s">
        <v>85</v>
      </c>
      <c r="EQ4" s="170"/>
      <c r="ER4" s="170"/>
      <c r="ES4" s="170"/>
      <c r="ET4" s="170"/>
      <c r="EU4" s="170"/>
      <c r="EV4" s="170"/>
      <c r="EW4" s="170"/>
      <c r="EX4" s="170"/>
      <c r="EY4" s="29"/>
      <c r="EZ4" s="170" t="s">
        <v>178</v>
      </c>
      <c r="FA4" s="170"/>
      <c r="FB4" s="170"/>
      <c r="FC4" s="170"/>
      <c r="FD4" s="170"/>
      <c r="FE4" s="170"/>
      <c r="FF4" s="170"/>
      <c r="FG4" s="170"/>
      <c r="FH4" s="170"/>
      <c r="FI4" s="29"/>
      <c r="FJ4" s="170" t="s">
        <v>86</v>
      </c>
      <c r="FK4" s="170"/>
      <c r="FL4" s="170"/>
      <c r="FM4" s="170"/>
      <c r="FN4" s="170"/>
      <c r="FO4" s="170"/>
      <c r="FP4" s="170"/>
      <c r="FQ4" s="170"/>
      <c r="FR4" s="170"/>
      <c r="FS4" s="170"/>
    </row>
    <row r="5" spans="1:175" s="5" customFormat="1" ht="15" customHeight="1" x14ac:dyDescent="0.3">
      <c r="A5" s="37"/>
      <c r="B5" s="173" t="s">
        <v>7</v>
      </c>
      <c r="C5" s="174" t="s">
        <v>8</v>
      </c>
      <c r="D5" s="173" t="s">
        <v>9</v>
      </c>
      <c r="E5" s="46" t="s">
        <v>1</v>
      </c>
      <c r="F5" s="22" t="s">
        <v>131</v>
      </c>
      <c r="G5" s="22" t="str">
        <f>G4</f>
        <v>Unit tag</v>
      </c>
      <c r="H5" s="23" t="s">
        <v>78</v>
      </c>
      <c r="I5" s="23" t="s">
        <v>2</v>
      </c>
      <c r="J5" s="23" t="s">
        <v>4</v>
      </c>
      <c r="K5" s="23" t="s">
        <v>5</v>
      </c>
      <c r="L5" s="23" t="s">
        <v>406</v>
      </c>
      <c r="M5" s="23" t="s">
        <v>3</v>
      </c>
      <c r="N5" s="23" t="s">
        <v>269</v>
      </c>
      <c r="O5" s="23" t="s">
        <v>6</v>
      </c>
      <c r="P5" s="23" t="s">
        <v>79</v>
      </c>
      <c r="Q5" s="23" t="s">
        <v>79</v>
      </c>
      <c r="R5" s="23" t="s">
        <v>79</v>
      </c>
      <c r="S5" s="23" t="s">
        <v>79</v>
      </c>
      <c r="T5" s="23" t="s">
        <v>79</v>
      </c>
      <c r="U5" s="23" t="s">
        <v>79</v>
      </c>
      <c r="V5" s="23" t="s">
        <v>79</v>
      </c>
      <c r="W5" s="23" t="s">
        <v>79</v>
      </c>
      <c r="X5" s="23" t="s">
        <v>79</v>
      </c>
      <c r="Y5" s="23" t="s">
        <v>79</v>
      </c>
      <c r="Z5" s="23" t="s">
        <v>80</v>
      </c>
      <c r="AA5" s="23" t="s">
        <v>80</v>
      </c>
      <c r="AB5" s="23" t="s">
        <v>80</v>
      </c>
      <c r="AC5" s="23" t="s">
        <v>80</v>
      </c>
      <c r="AD5" s="23" t="s">
        <v>80</v>
      </c>
      <c r="AE5" s="23" t="s">
        <v>80</v>
      </c>
      <c r="AF5" s="23" t="s">
        <v>80</v>
      </c>
      <c r="AG5" s="23" t="s">
        <v>80</v>
      </c>
      <c r="AH5" s="23" t="s">
        <v>80</v>
      </c>
      <c r="AI5" s="23" t="s">
        <v>80</v>
      </c>
      <c r="AJ5" s="23" t="s">
        <v>405</v>
      </c>
      <c r="AK5" s="23" t="s">
        <v>405</v>
      </c>
      <c r="AL5" s="23" t="s">
        <v>405</v>
      </c>
      <c r="AM5" s="23" t="s">
        <v>405</v>
      </c>
      <c r="AN5" s="23" t="s">
        <v>405</v>
      </c>
      <c r="AO5" s="23" t="s">
        <v>405</v>
      </c>
      <c r="AP5" s="23" t="s">
        <v>405</v>
      </c>
      <c r="AQ5" s="23" t="s">
        <v>405</v>
      </c>
      <c r="AR5" s="23" t="s">
        <v>405</v>
      </c>
      <c r="AS5" s="23" t="s">
        <v>405</v>
      </c>
      <c r="AT5" s="23" t="s">
        <v>81</v>
      </c>
      <c r="AU5" s="23" t="s">
        <v>81</v>
      </c>
      <c r="AV5" s="23" t="s">
        <v>81</v>
      </c>
      <c r="AW5" s="23" t="s">
        <v>81</v>
      </c>
      <c r="AX5" s="23" t="s">
        <v>81</v>
      </c>
      <c r="AY5" s="23" t="s">
        <v>81</v>
      </c>
      <c r="AZ5" s="23" t="s">
        <v>81</v>
      </c>
      <c r="BA5" s="23" t="s">
        <v>81</v>
      </c>
      <c r="BB5" s="23" t="s">
        <v>81</v>
      </c>
      <c r="BC5" s="23" t="s">
        <v>81</v>
      </c>
      <c r="BD5" s="23" t="s">
        <v>82</v>
      </c>
      <c r="BE5" s="23" t="s">
        <v>82</v>
      </c>
      <c r="BF5" s="23" t="s">
        <v>82</v>
      </c>
      <c r="BG5" s="23" t="s">
        <v>82</v>
      </c>
      <c r="BH5" s="23" t="s">
        <v>82</v>
      </c>
      <c r="BI5" s="23" t="s">
        <v>82</v>
      </c>
      <c r="BJ5" s="23" t="s">
        <v>82</v>
      </c>
      <c r="BK5" s="23" t="s">
        <v>82</v>
      </c>
      <c r="BL5" s="23" t="s">
        <v>82</v>
      </c>
      <c r="BM5" s="23" t="s">
        <v>82</v>
      </c>
      <c r="BN5" s="23" t="s">
        <v>83</v>
      </c>
      <c r="BO5" s="23" t="s">
        <v>83</v>
      </c>
      <c r="BP5" s="23" t="s">
        <v>83</v>
      </c>
      <c r="BQ5" s="23" t="s">
        <v>83</v>
      </c>
      <c r="BR5" s="23" t="s">
        <v>83</v>
      </c>
      <c r="BS5" s="23" t="s">
        <v>83</v>
      </c>
      <c r="BT5" s="23" t="s">
        <v>83</v>
      </c>
      <c r="BU5" s="23" t="s">
        <v>83</v>
      </c>
      <c r="BV5" s="23" t="s">
        <v>83</v>
      </c>
      <c r="BW5" s="23" t="s">
        <v>83</v>
      </c>
      <c r="BX5" s="23" t="s">
        <v>84</v>
      </c>
      <c r="BY5" s="23" t="s">
        <v>84</v>
      </c>
      <c r="BZ5" s="23" t="s">
        <v>84</v>
      </c>
      <c r="CA5" s="23" t="s">
        <v>84</v>
      </c>
      <c r="CB5" s="23" t="s">
        <v>84</v>
      </c>
      <c r="CC5" s="23" t="s">
        <v>84</v>
      </c>
      <c r="CD5" s="23" t="s">
        <v>84</v>
      </c>
      <c r="CE5" s="23" t="s">
        <v>84</v>
      </c>
      <c r="CF5" s="23" t="s">
        <v>84</v>
      </c>
      <c r="CG5" s="23" t="s">
        <v>84</v>
      </c>
      <c r="CH5" s="23" t="s">
        <v>183</v>
      </c>
      <c r="CI5" s="23" t="s">
        <v>183</v>
      </c>
      <c r="CJ5" s="23" t="s">
        <v>183</v>
      </c>
      <c r="CK5" s="23" t="s">
        <v>183</v>
      </c>
      <c r="CL5" s="23" t="s">
        <v>183</v>
      </c>
      <c r="CM5" s="23" t="s">
        <v>183</v>
      </c>
      <c r="CN5" s="23" t="s">
        <v>183</v>
      </c>
      <c r="CO5" s="23" t="s">
        <v>183</v>
      </c>
      <c r="CP5" s="23" t="s">
        <v>183</v>
      </c>
      <c r="CQ5" s="23" t="s">
        <v>183</v>
      </c>
      <c r="CR5" s="23" t="s">
        <v>184</v>
      </c>
      <c r="CS5" s="23" t="s">
        <v>184</v>
      </c>
      <c r="CT5" s="23" t="s">
        <v>184</v>
      </c>
      <c r="CU5" s="23" t="s">
        <v>184</v>
      </c>
      <c r="CV5" s="23" t="s">
        <v>184</v>
      </c>
      <c r="CW5" s="23" t="s">
        <v>184</v>
      </c>
      <c r="CX5" s="23" t="s">
        <v>184</v>
      </c>
      <c r="CY5" s="23" t="s">
        <v>184</v>
      </c>
      <c r="CZ5" s="23" t="s">
        <v>184</v>
      </c>
      <c r="DA5" s="23" t="s">
        <v>184</v>
      </c>
      <c r="DB5" s="23" t="s">
        <v>185</v>
      </c>
      <c r="DC5" s="23" t="s">
        <v>185</v>
      </c>
      <c r="DD5" s="23" t="s">
        <v>185</v>
      </c>
      <c r="DE5" s="23" t="s">
        <v>185</v>
      </c>
      <c r="DF5" s="23" t="s">
        <v>185</v>
      </c>
      <c r="DG5" s="23" t="s">
        <v>185</v>
      </c>
      <c r="DH5" s="23" t="s">
        <v>185</v>
      </c>
      <c r="DI5" s="23" t="s">
        <v>185</v>
      </c>
      <c r="DJ5" s="23" t="s">
        <v>185</v>
      </c>
      <c r="DK5" s="23" t="s">
        <v>185</v>
      </c>
      <c r="DL5" s="23" t="s">
        <v>186</v>
      </c>
      <c r="DM5" s="23" t="s">
        <v>186</v>
      </c>
      <c r="DN5" s="23" t="s">
        <v>186</v>
      </c>
      <c r="DO5" s="23" t="s">
        <v>186</v>
      </c>
      <c r="DP5" s="23" t="s">
        <v>186</v>
      </c>
      <c r="DQ5" s="23" t="s">
        <v>186</v>
      </c>
      <c r="DR5" s="23" t="s">
        <v>186</v>
      </c>
      <c r="DS5" s="23" t="s">
        <v>186</v>
      </c>
      <c r="DT5" s="23" t="s">
        <v>186</v>
      </c>
      <c r="DU5" s="23" t="s">
        <v>186</v>
      </c>
      <c r="DV5" s="23" t="s">
        <v>187</v>
      </c>
      <c r="DW5" s="23" t="s">
        <v>187</v>
      </c>
      <c r="DX5" s="23" t="s">
        <v>187</v>
      </c>
      <c r="DY5" s="23" t="s">
        <v>187</v>
      </c>
      <c r="DZ5" s="23" t="s">
        <v>187</v>
      </c>
      <c r="EA5" s="23" t="s">
        <v>187</v>
      </c>
      <c r="EB5" s="23" t="s">
        <v>187</v>
      </c>
      <c r="EC5" s="23" t="s">
        <v>187</v>
      </c>
      <c r="ED5" s="23" t="s">
        <v>187</v>
      </c>
      <c r="EE5" s="23" t="s">
        <v>187</v>
      </c>
      <c r="EF5" s="23" t="s">
        <v>132</v>
      </c>
      <c r="EG5" s="23" t="s">
        <v>132</v>
      </c>
      <c r="EH5" s="23" t="s">
        <v>132</v>
      </c>
      <c r="EI5" s="23" t="s">
        <v>132</v>
      </c>
      <c r="EJ5" s="23" t="s">
        <v>132</v>
      </c>
      <c r="EK5" s="23" t="s">
        <v>132</v>
      </c>
      <c r="EL5" s="23" t="s">
        <v>132</v>
      </c>
      <c r="EM5" s="23" t="s">
        <v>132</v>
      </c>
      <c r="EN5" s="23" t="s">
        <v>132</v>
      </c>
      <c r="EO5" s="23" t="s">
        <v>132</v>
      </c>
      <c r="EP5" s="23" t="s">
        <v>85</v>
      </c>
      <c r="EQ5" s="23" t="s">
        <v>85</v>
      </c>
      <c r="ER5" s="23" t="s">
        <v>85</v>
      </c>
      <c r="ES5" s="23" t="s">
        <v>85</v>
      </c>
      <c r="ET5" s="23" t="s">
        <v>85</v>
      </c>
      <c r="EU5" s="23" t="s">
        <v>85</v>
      </c>
      <c r="EV5" s="23" t="s">
        <v>85</v>
      </c>
      <c r="EW5" s="23" t="s">
        <v>85</v>
      </c>
      <c r="EX5" s="23" t="s">
        <v>85</v>
      </c>
      <c r="EY5" s="23" t="s">
        <v>85</v>
      </c>
      <c r="EZ5" s="23" t="s">
        <v>178</v>
      </c>
      <c r="FA5" s="23" t="s">
        <v>178</v>
      </c>
      <c r="FB5" s="23" t="s">
        <v>178</v>
      </c>
      <c r="FC5" s="23" t="s">
        <v>178</v>
      </c>
      <c r="FD5" s="23" t="s">
        <v>178</v>
      </c>
      <c r="FE5" s="23" t="s">
        <v>178</v>
      </c>
      <c r="FF5" s="23" t="s">
        <v>178</v>
      </c>
      <c r="FG5" s="23" t="s">
        <v>178</v>
      </c>
      <c r="FH5" s="23" t="s">
        <v>178</v>
      </c>
      <c r="FI5" s="23" t="s">
        <v>178</v>
      </c>
      <c r="FJ5" s="23" t="s">
        <v>86</v>
      </c>
      <c r="FK5" s="23" t="s">
        <v>86</v>
      </c>
      <c r="FL5" s="23" t="s">
        <v>86</v>
      </c>
      <c r="FM5" s="23" t="s">
        <v>86</v>
      </c>
      <c r="FN5" s="23" t="s">
        <v>86</v>
      </c>
      <c r="FO5" s="23" t="s">
        <v>86</v>
      </c>
      <c r="FP5" s="23" t="s">
        <v>86</v>
      </c>
      <c r="FQ5" s="23" t="s">
        <v>86</v>
      </c>
      <c r="FR5" s="23" t="s">
        <v>86</v>
      </c>
      <c r="FS5" s="23" t="s">
        <v>86</v>
      </c>
    </row>
    <row r="6" spans="1:175" s="5" customFormat="1" ht="13.95" customHeight="1" x14ac:dyDescent="0.3">
      <c r="A6" s="45"/>
      <c r="B6" s="173"/>
      <c r="C6" s="174"/>
      <c r="D6" s="173"/>
      <c r="E6" s="46" t="s">
        <v>102</v>
      </c>
      <c r="F6" s="18" t="s">
        <v>133</v>
      </c>
      <c r="G6" s="18" t="s">
        <v>133</v>
      </c>
      <c r="H6" s="18" t="s">
        <v>133</v>
      </c>
      <c r="I6" s="18" t="s">
        <v>133</v>
      </c>
      <c r="J6" s="18" t="s">
        <v>133</v>
      </c>
      <c r="K6" s="18" t="s">
        <v>133</v>
      </c>
      <c r="L6" s="18" t="s">
        <v>133</v>
      </c>
      <c r="M6" s="17" t="s">
        <v>133</v>
      </c>
      <c r="N6" s="17" t="s">
        <v>133</v>
      </c>
      <c r="O6" s="18" t="s">
        <v>133</v>
      </c>
      <c r="P6" s="17" t="s">
        <v>316</v>
      </c>
      <c r="Q6" s="67" t="s">
        <v>321</v>
      </c>
      <c r="R6" s="17" t="s">
        <v>317</v>
      </c>
      <c r="S6" s="17" t="s">
        <v>284</v>
      </c>
      <c r="T6" s="67" t="s">
        <v>322</v>
      </c>
      <c r="U6" s="17" t="s">
        <v>318</v>
      </c>
      <c r="V6" s="67" t="s">
        <v>323</v>
      </c>
      <c r="W6" s="17" t="s">
        <v>319</v>
      </c>
      <c r="X6" s="67" t="s">
        <v>324</v>
      </c>
      <c r="Y6" s="17" t="s">
        <v>320</v>
      </c>
      <c r="Z6" s="17" t="s">
        <v>316</v>
      </c>
      <c r="AA6" s="67" t="s">
        <v>321</v>
      </c>
      <c r="AB6" s="17" t="s">
        <v>317</v>
      </c>
      <c r="AC6" s="17" t="s">
        <v>284</v>
      </c>
      <c r="AD6" s="67" t="s">
        <v>322</v>
      </c>
      <c r="AE6" s="17" t="s">
        <v>318</v>
      </c>
      <c r="AF6" s="67" t="s">
        <v>323</v>
      </c>
      <c r="AG6" s="17" t="s">
        <v>319</v>
      </c>
      <c r="AH6" s="67" t="s">
        <v>324</v>
      </c>
      <c r="AI6" s="17" t="s">
        <v>320</v>
      </c>
      <c r="AJ6" s="17" t="s">
        <v>316</v>
      </c>
      <c r="AK6" s="67" t="s">
        <v>321</v>
      </c>
      <c r="AL6" s="17" t="s">
        <v>317</v>
      </c>
      <c r="AM6" s="17" t="s">
        <v>284</v>
      </c>
      <c r="AN6" s="67" t="s">
        <v>322</v>
      </c>
      <c r="AO6" s="17" t="s">
        <v>318</v>
      </c>
      <c r="AP6" s="67" t="s">
        <v>323</v>
      </c>
      <c r="AQ6" s="17" t="s">
        <v>319</v>
      </c>
      <c r="AR6" s="67" t="s">
        <v>324</v>
      </c>
      <c r="AS6" s="17" t="s">
        <v>320</v>
      </c>
      <c r="AT6" s="17" t="s">
        <v>316</v>
      </c>
      <c r="AU6" s="67" t="s">
        <v>321</v>
      </c>
      <c r="AV6" s="17" t="s">
        <v>317</v>
      </c>
      <c r="AW6" s="17" t="s">
        <v>284</v>
      </c>
      <c r="AX6" s="67" t="s">
        <v>322</v>
      </c>
      <c r="AY6" s="17" t="s">
        <v>318</v>
      </c>
      <c r="AZ6" s="67" t="s">
        <v>323</v>
      </c>
      <c r="BA6" s="17" t="s">
        <v>319</v>
      </c>
      <c r="BB6" s="67" t="s">
        <v>324</v>
      </c>
      <c r="BC6" s="17" t="s">
        <v>320</v>
      </c>
      <c r="BD6" s="17" t="s">
        <v>316</v>
      </c>
      <c r="BE6" s="67" t="s">
        <v>321</v>
      </c>
      <c r="BF6" s="17" t="s">
        <v>317</v>
      </c>
      <c r="BG6" s="17" t="s">
        <v>284</v>
      </c>
      <c r="BH6" s="67" t="s">
        <v>322</v>
      </c>
      <c r="BI6" s="17" t="s">
        <v>318</v>
      </c>
      <c r="BJ6" s="67" t="s">
        <v>323</v>
      </c>
      <c r="BK6" s="17" t="s">
        <v>319</v>
      </c>
      <c r="BL6" s="67" t="s">
        <v>324</v>
      </c>
      <c r="BM6" s="17" t="s">
        <v>320</v>
      </c>
      <c r="BN6" s="17" t="s">
        <v>316</v>
      </c>
      <c r="BO6" s="67" t="s">
        <v>321</v>
      </c>
      <c r="BP6" s="17" t="s">
        <v>317</v>
      </c>
      <c r="BQ6" s="17" t="s">
        <v>284</v>
      </c>
      <c r="BR6" s="67" t="s">
        <v>322</v>
      </c>
      <c r="BS6" s="17" t="s">
        <v>318</v>
      </c>
      <c r="BT6" s="67" t="s">
        <v>323</v>
      </c>
      <c r="BU6" s="17" t="s">
        <v>319</v>
      </c>
      <c r="BV6" s="67" t="s">
        <v>324</v>
      </c>
      <c r="BW6" s="17" t="s">
        <v>320</v>
      </c>
      <c r="BX6" s="17" t="s">
        <v>316</v>
      </c>
      <c r="BY6" s="67" t="s">
        <v>321</v>
      </c>
      <c r="BZ6" s="17" t="s">
        <v>317</v>
      </c>
      <c r="CA6" s="17" t="s">
        <v>284</v>
      </c>
      <c r="CB6" s="67" t="s">
        <v>322</v>
      </c>
      <c r="CC6" s="17" t="s">
        <v>318</v>
      </c>
      <c r="CD6" s="67" t="s">
        <v>323</v>
      </c>
      <c r="CE6" s="17" t="s">
        <v>319</v>
      </c>
      <c r="CF6" s="67" t="s">
        <v>324</v>
      </c>
      <c r="CG6" s="17" t="s">
        <v>320</v>
      </c>
      <c r="CH6" s="17" t="s">
        <v>316</v>
      </c>
      <c r="CI6" s="67" t="s">
        <v>321</v>
      </c>
      <c r="CJ6" s="17" t="s">
        <v>317</v>
      </c>
      <c r="CK6" s="67" t="s">
        <v>284</v>
      </c>
      <c r="CL6" s="67" t="s">
        <v>322</v>
      </c>
      <c r="CM6" s="17" t="s">
        <v>318</v>
      </c>
      <c r="CN6" s="67" t="s">
        <v>323</v>
      </c>
      <c r="CO6" s="17" t="s">
        <v>319</v>
      </c>
      <c r="CP6" s="67" t="s">
        <v>324</v>
      </c>
      <c r="CQ6" s="17" t="s">
        <v>320</v>
      </c>
      <c r="CR6" s="17" t="s">
        <v>316</v>
      </c>
      <c r="CS6" s="67" t="s">
        <v>321</v>
      </c>
      <c r="CT6" s="17" t="s">
        <v>317</v>
      </c>
      <c r="CU6" s="17" t="s">
        <v>284</v>
      </c>
      <c r="CV6" s="67" t="s">
        <v>322</v>
      </c>
      <c r="CW6" s="17" t="s">
        <v>318</v>
      </c>
      <c r="CX6" s="67" t="s">
        <v>323</v>
      </c>
      <c r="CY6" s="17" t="s">
        <v>319</v>
      </c>
      <c r="CZ6" s="67" t="s">
        <v>324</v>
      </c>
      <c r="DA6" s="17" t="s">
        <v>320</v>
      </c>
      <c r="DB6" s="17" t="s">
        <v>316</v>
      </c>
      <c r="DC6" s="67" t="s">
        <v>321</v>
      </c>
      <c r="DD6" s="17" t="s">
        <v>317</v>
      </c>
      <c r="DE6" s="17" t="s">
        <v>284</v>
      </c>
      <c r="DF6" s="67" t="s">
        <v>322</v>
      </c>
      <c r="DG6" s="17" t="s">
        <v>318</v>
      </c>
      <c r="DH6" s="67" t="s">
        <v>323</v>
      </c>
      <c r="DI6" s="17" t="s">
        <v>319</v>
      </c>
      <c r="DJ6" s="67" t="s">
        <v>324</v>
      </c>
      <c r="DK6" s="17" t="s">
        <v>320</v>
      </c>
      <c r="DL6" s="17" t="s">
        <v>316</v>
      </c>
      <c r="DM6" s="67" t="s">
        <v>321</v>
      </c>
      <c r="DN6" s="17" t="s">
        <v>317</v>
      </c>
      <c r="DO6" s="17" t="s">
        <v>284</v>
      </c>
      <c r="DP6" s="67" t="s">
        <v>322</v>
      </c>
      <c r="DQ6" s="17" t="s">
        <v>318</v>
      </c>
      <c r="DR6" s="67" t="s">
        <v>323</v>
      </c>
      <c r="DS6" s="17" t="s">
        <v>319</v>
      </c>
      <c r="DT6" s="67" t="s">
        <v>324</v>
      </c>
      <c r="DU6" s="17" t="s">
        <v>320</v>
      </c>
      <c r="DV6" s="17" t="s">
        <v>316</v>
      </c>
      <c r="DW6" s="67" t="s">
        <v>321</v>
      </c>
      <c r="DX6" s="17" t="s">
        <v>317</v>
      </c>
      <c r="DY6" s="17" t="s">
        <v>284</v>
      </c>
      <c r="DZ6" s="67" t="s">
        <v>322</v>
      </c>
      <c r="EA6" s="17" t="s">
        <v>318</v>
      </c>
      <c r="EB6" s="67" t="s">
        <v>323</v>
      </c>
      <c r="EC6" s="17" t="s">
        <v>319</v>
      </c>
      <c r="ED6" s="67" t="s">
        <v>324</v>
      </c>
      <c r="EE6" s="17" t="s">
        <v>320</v>
      </c>
      <c r="EF6" s="17" t="s">
        <v>316</v>
      </c>
      <c r="EG6" s="67" t="s">
        <v>321</v>
      </c>
      <c r="EH6" s="17" t="s">
        <v>317</v>
      </c>
      <c r="EI6" s="17" t="s">
        <v>284</v>
      </c>
      <c r="EJ6" s="67" t="s">
        <v>322</v>
      </c>
      <c r="EK6" s="17" t="s">
        <v>318</v>
      </c>
      <c r="EL6" s="67" t="s">
        <v>323</v>
      </c>
      <c r="EM6" s="17" t="s">
        <v>319</v>
      </c>
      <c r="EN6" s="67" t="s">
        <v>324</v>
      </c>
      <c r="EO6" s="17" t="s">
        <v>320</v>
      </c>
      <c r="EP6" s="17" t="s">
        <v>316</v>
      </c>
      <c r="EQ6" s="67" t="s">
        <v>321</v>
      </c>
      <c r="ER6" s="17" t="s">
        <v>317</v>
      </c>
      <c r="ES6" s="17" t="s">
        <v>284</v>
      </c>
      <c r="ET6" s="67" t="s">
        <v>322</v>
      </c>
      <c r="EU6" s="17" t="s">
        <v>318</v>
      </c>
      <c r="EV6" s="67" t="s">
        <v>323</v>
      </c>
      <c r="EW6" s="17" t="s">
        <v>319</v>
      </c>
      <c r="EX6" s="67" t="s">
        <v>324</v>
      </c>
      <c r="EY6" s="17" t="s">
        <v>320</v>
      </c>
      <c r="EZ6" s="17" t="s">
        <v>316</v>
      </c>
      <c r="FA6" s="67" t="s">
        <v>321</v>
      </c>
      <c r="FB6" s="17" t="s">
        <v>317</v>
      </c>
      <c r="FC6" s="17" t="s">
        <v>284</v>
      </c>
      <c r="FD6" s="67" t="s">
        <v>322</v>
      </c>
      <c r="FE6" s="17" t="s">
        <v>318</v>
      </c>
      <c r="FF6" s="67" t="s">
        <v>323</v>
      </c>
      <c r="FG6" s="17" t="s">
        <v>319</v>
      </c>
      <c r="FH6" s="67" t="s">
        <v>324</v>
      </c>
      <c r="FI6" s="17" t="s">
        <v>320</v>
      </c>
      <c r="FJ6" s="17" t="s">
        <v>316</v>
      </c>
      <c r="FK6" s="67" t="s">
        <v>321</v>
      </c>
      <c r="FL6" s="17" t="s">
        <v>317</v>
      </c>
      <c r="FM6" s="17" t="s">
        <v>284</v>
      </c>
      <c r="FN6" s="67" t="s">
        <v>322</v>
      </c>
      <c r="FO6" s="17" t="s">
        <v>318</v>
      </c>
      <c r="FP6" s="67" t="s">
        <v>323</v>
      </c>
      <c r="FQ6" s="17" t="s">
        <v>319</v>
      </c>
      <c r="FR6" s="67" t="s">
        <v>324</v>
      </c>
      <c r="FS6" s="17" t="s">
        <v>320</v>
      </c>
    </row>
    <row r="7" spans="1:175" s="5" customFormat="1" ht="75" customHeight="1" x14ac:dyDescent="0.3">
      <c r="A7" s="45"/>
      <c r="B7" s="173"/>
      <c r="C7" s="174"/>
      <c r="D7" s="173"/>
      <c r="E7" s="46"/>
      <c r="F7" s="18" t="str">
        <f>F5&amp;F6</f>
        <v>Used (1 or 0)All</v>
      </c>
      <c r="G7" s="18" t="str">
        <f>G5&amp;G6</f>
        <v>Unit tagAll</v>
      </c>
      <c r="H7" s="18" t="str">
        <f t="shared" ref="H7:DH7" si="0">H5&amp;H6</f>
        <v>Yearly demand (kg fuel)All</v>
      </c>
      <c r="I7" s="18" t="str">
        <f t="shared" si="0"/>
        <v>Produced fromAll</v>
      </c>
      <c r="J7" s="18" t="str">
        <f t="shared" si="0"/>
        <v>El balanceAll</v>
      </c>
      <c r="K7" s="18" t="str">
        <f t="shared" si="0"/>
        <v>Heat balanceAll</v>
      </c>
      <c r="L7" s="18" t="str">
        <f t="shared" si="0"/>
        <v>Process heat balanceAll</v>
      </c>
      <c r="M7" s="18" t="str">
        <f t="shared" si="0"/>
        <v>H2 balanceAll</v>
      </c>
      <c r="N7" s="18" t="str">
        <f t="shared" si="0"/>
        <v>CSP balanceAll</v>
      </c>
      <c r="O7" s="18" t="str">
        <f t="shared" si="0"/>
        <v>Max CapacityAll</v>
      </c>
      <c r="P7" s="18" t="str">
        <f t="shared" si="0"/>
        <v>Fuel production rate (kg output/kg input)2025 worst</v>
      </c>
      <c r="Q7" s="18" t="str">
        <f t="shared" si="0"/>
        <v>Fuel production rate (kg output/kg input)2025 bench</v>
      </c>
      <c r="R7" s="18" t="str">
        <f t="shared" si="0"/>
        <v>Fuel production rate (kg output/kg input)2025 best</v>
      </c>
      <c r="S7" s="18" t="str">
        <f t="shared" si="0"/>
        <v>Fuel production rate (kg output/kg input)2030 worst</v>
      </c>
      <c r="T7" s="18" t="str">
        <f t="shared" si="0"/>
        <v>Fuel production rate (kg output/kg input)2030 bench</v>
      </c>
      <c r="U7" s="18" t="str">
        <f t="shared" si="0"/>
        <v>Fuel production rate (kg output/kg input)2030 best</v>
      </c>
      <c r="V7" s="18" t="str">
        <f t="shared" si="0"/>
        <v>Fuel production rate (kg output/kg input)2040 bench</v>
      </c>
      <c r="W7" s="18" t="str">
        <f t="shared" si="0"/>
        <v>Fuel production rate (kg output/kg input)2050 worst</v>
      </c>
      <c r="X7" s="18" t="str">
        <f t="shared" si="0"/>
        <v>Fuel production rate (kg output/kg input)2050 bench</v>
      </c>
      <c r="Y7" s="18" t="str">
        <f t="shared" si="0"/>
        <v>Fuel production rate (kg output/kg input)2050 best</v>
      </c>
      <c r="Z7" s="18" t="str">
        <f t="shared" si="0"/>
        <v>Heat generated (kWh/output)2025 worst</v>
      </c>
      <c r="AA7" s="18" t="str">
        <f t="shared" si="0"/>
        <v>Heat generated (kWh/output)2025 bench</v>
      </c>
      <c r="AB7" s="18" t="str">
        <f t="shared" si="0"/>
        <v>Heat generated (kWh/output)2025 best</v>
      </c>
      <c r="AC7" s="18" t="str">
        <f t="shared" si="0"/>
        <v>Heat generated (kWh/output)2030 worst</v>
      </c>
      <c r="AD7" s="18" t="str">
        <f t="shared" si="0"/>
        <v>Heat generated (kWh/output)2030 bench</v>
      </c>
      <c r="AE7" s="18" t="str">
        <f t="shared" si="0"/>
        <v>Heat generated (kWh/output)2030 best</v>
      </c>
      <c r="AF7" s="18" t="str">
        <f t="shared" si="0"/>
        <v>Heat generated (kWh/output)2040 bench</v>
      </c>
      <c r="AG7" s="18" t="str">
        <f t="shared" si="0"/>
        <v>Heat generated (kWh/output)2050 worst</v>
      </c>
      <c r="AH7" s="18" t="str">
        <f t="shared" si="0"/>
        <v>Heat generated (kWh/output)2050 bench</v>
      </c>
      <c r="AI7" s="18" t="str">
        <f t="shared" si="0"/>
        <v>Heat generated (kWh/output)2050 best</v>
      </c>
      <c r="AJ7" s="18" t="str">
        <f t="shared" si="0"/>
        <v>Process heat generated (kWh/output)2025 worst</v>
      </c>
      <c r="AK7" s="18" t="str">
        <f t="shared" si="0"/>
        <v>Process heat generated (kWh/output)2025 bench</v>
      </c>
      <c r="AL7" s="18" t="str">
        <f t="shared" si="0"/>
        <v>Process heat generated (kWh/output)2025 best</v>
      </c>
      <c r="AM7" s="18" t="str">
        <f t="shared" si="0"/>
        <v>Process heat generated (kWh/output)2030 worst</v>
      </c>
      <c r="AN7" s="18" t="str">
        <f t="shared" si="0"/>
        <v>Process heat generated (kWh/output)2030 bench</v>
      </c>
      <c r="AO7" s="18" t="str">
        <f t="shared" si="0"/>
        <v>Process heat generated (kWh/output)2030 best</v>
      </c>
      <c r="AP7" s="18" t="str">
        <f t="shared" si="0"/>
        <v>Process heat generated (kWh/output)2040 bench</v>
      </c>
      <c r="AQ7" s="18" t="str">
        <f t="shared" si="0"/>
        <v>Process heat generated (kWh/output)2050 worst</v>
      </c>
      <c r="AR7" s="18" t="str">
        <f t="shared" si="0"/>
        <v>Process heat generated (kWh/output)2050 bench</v>
      </c>
      <c r="AS7" s="18" t="str">
        <f t="shared" si="0"/>
        <v>Process heat generated (kWh/output)2050 best</v>
      </c>
      <c r="AT7" s="18" t="str">
        <f t="shared" si="0"/>
        <v>Load min (% of max capacity)2025 worst</v>
      </c>
      <c r="AU7" s="18" t="str">
        <f t="shared" si="0"/>
        <v>Load min (% of max capacity)2025 bench</v>
      </c>
      <c r="AV7" s="18" t="str">
        <f t="shared" si="0"/>
        <v>Load min (% of max capacity)2025 best</v>
      </c>
      <c r="AW7" s="18" t="str">
        <f t="shared" si="0"/>
        <v>Load min (% of max capacity)2030 worst</v>
      </c>
      <c r="AX7" s="18" t="str">
        <f t="shared" si="0"/>
        <v>Load min (% of max capacity)2030 bench</v>
      </c>
      <c r="AY7" s="18" t="str">
        <f t="shared" si="0"/>
        <v>Load min (% of max capacity)2030 best</v>
      </c>
      <c r="AZ7" s="18" t="str">
        <f t="shared" si="0"/>
        <v>Load min (% of max capacity)2040 bench</v>
      </c>
      <c r="BA7" s="18" t="str">
        <f t="shared" si="0"/>
        <v>Load min (% of max capacity)2050 worst</v>
      </c>
      <c r="BB7" s="18" t="str">
        <f t="shared" si="0"/>
        <v>Load min (% of max capacity)2050 bench</v>
      </c>
      <c r="BC7" s="18" t="str">
        <f t="shared" si="0"/>
        <v>Load min (% of max capacity)2050 best</v>
      </c>
      <c r="BD7" s="18" t="str">
        <f t="shared" si="0"/>
        <v>Ramp up (% of capacity /h)2025 worst</v>
      </c>
      <c r="BE7" s="18" t="str">
        <f t="shared" si="0"/>
        <v>Ramp up (% of capacity /h)2025 bench</v>
      </c>
      <c r="BF7" s="18" t="str">
        <f t="shared" si="0"/>
        <v>Ramp up (% of capacity /h)2025 best</v>
      </c>
      <c r="BG7" s="18" t="str">
        <f t="shared" si="0"/>
        <v>Ramp up (% of capacity /h)2030 worst</v>
      </c>
      <c r="BH7" s="18" t="str">
        <f t="shared" si="0"/>
        <v>Ramp up (% of capacity /h)2030 bench</v>
      </c>
      <c r="BI7" s="18" t="str">
        <f t="shared" si="0"/>
        <v>Ramp up (% of capacity /h)2030 best</v>
      </c>
      <c r="BJ7" s="18" t="str">
        <f t="shared" si="0"/>
        <v>Ramp up (% of capacity /h)2040 bench</v>
      </c>
      <c r="BK7" s="18" t="str">
        <f t="shared" si="0"/>
        <v>Ramp up (% of capacity /h)2050 worst</v>
      </c>
      <c r="BL7" s="18" t="str">
        <f t="shared" si="0"/>
        <v>Ramp up (% of capacity /h)2050 bench</v>
      </c>
      <c r="BM7" s="18" t="str">
        <f t="shared" si="0"/>
        <v>Ramp up (% of capacity /h)2050 best</v>
      </c>
      <c r="BN7" s="18" t="str">
        <f t="shared" si="0"/>
        <v>Ramp down (% of capacity /h)2025 worst</v>
      </c>
      <c r="BO7" s="18" t="str">
        <f t="shared" si="0"/>
        <v>Ramp down (% of capacity /h)2025 bench</v>
      </c>
      <c r="BP7" s="18" t="str">
        <f t="shared" si="0"/>
        <v>Ramp down (% of capacity /h)2025 best</v>
      </c>
      <c r="BQ7" s="18" t="str">
        <f t="shared" si="0"/>
        <v>Ramp down (% of capacity /h)2030 worst</v>
      </c>
      <c r="BR7" s="18" t="str">
        <f t="shared" si="0"/>
        <v>Ramp down (% of capacity /h)2030 bench</v>
      </c>
      <c r="BS7" s="18" t="str">
        <f t="shared" si="0"/>
        <v>Ramp down (% of capacity /h)2030 best</v>
      </c>
      <c r="BT7" s="18" t="str">
        <f t="shared" si="0"/>
        <v>Ramp down (% of capacity /h)2040 bench</v>
      </c>
      <c r="BU7" s="18" t="str">
        <f t="shared" si="0"/>
        <v>Ramp down (% of capacity /h)2050 worst</v>
      </c>
      <c r="BV7" s="18" t="str">
        <f t="shared" si="0"/>
        <v>Ramp down (% of capacity /h)2050 bench</v>
      </c>
      <c r="BW7" s="18" t="str">
        <f t="shared" si="0"/>
        <v>Ramp down (% of capacity /h)2050 best</v>
      </c>
      <c r="BX7" s="18" t="str">
        <f t="shared" si="0"/>
        <v>Electrical consumption (kWh/output)2025 worst</v>
      </c>
      <c r="BY7" s="18" t="str">
        <f t="shared" si="0"/>
        <v>Electrical consumption (kWh/output)2025 bench</v>
      </c>
      <c r="BZ7" s="18" t="str">
        <f t="shared" si="0"/>
        <v>Electrical consumption (kWh/output)2025 best</v>
      </c>
      <c r="CA7" s="18" t="str">
        <f t="shared" si="0"/>
        <v>Electrical consumption (kWh/output)2030 worst</v>
      </c>
      <c r="CB7" s="18" t="str">
        <f t="shared" si="0"/>
        <v>Electrical consumption (kWh/output)2030 bench</v>
      </c>
      <c r="CC7" s="18" t="str">
        <f t="shared" si="0"/>
        <v>Electrical consumption (kWh/output)2030 best</v>
      </c>
      <c r="CD7" s="18" t="str">
        <f t="shared" si="0"/>
        <v>Electrical consumption (kWh/output)2040 bench</v>
      </c>
      <c r="CE7" s="18" t="str">
        <f t="shared" si="0"/>
        <v>Electrical consumption (kWh/output)2050 worst</v>
      </c>
      <c r="CF7" s="18" t="str">
        <f t="shared" si="0"/>
        <v>Electrical consumption (kWh/output)2050 bench</v>
      </c>
      <c r="CG7" s="18" t="str">
        <f t="shared" si="0"/>
        <v>Electrical consumption (kWh/output)2050 best</v>
      </c>
      <c r="CH7" s="18" t="str">
        <f t="shared" si="0"/>
        <v>Investment (EUR/Capacity installed)2025 worst</v>
      </c>
      <c r="CI7" s="18" t="str">
        <f t="shared" si="0"/>
        <v>Investment (EUR/Capacity installed)2025 bench</v>
      </c>
      <c r="CJ7" s="18" t="str">
        <f t="shared" si="0"/>
        <v>Investment (EUR/Capacity installed)2025 best</v>
      </c>
      <c r="CK7" s="18" t="str">
        <f t="shared" si="0"/>
        <v>Investment (EUR/Capacity installed)2030 worst</v>
      </c>
      <c r="CL7" s="18" t="str">
        <f t="shared" si="0"/>
        <v>Investment (EUR/Capacity installed)2030 bench</v>
      </c>
      <c r="CM7" s="18" t="str">
        <f t="shared" si="0"/>
        <v>Investment (EUR/Capacity installed)2030 best</v>
      </c>
      <c r="CN7" s="18" t="str">
        <f t="shared" si="0"/>
        <v>Investment (EUR/Capacity installed)2040 bench</v>
      </c>
      <c r="CO7" s="18" t="str">
        <f t="shared" si="0"/>
        <v>Investment (EUR/Capacity installed)2050 worst</v>
      </c>
      <c r="CP7" s="18" t="str">
        <f t="shared" si="0"/>
        <v>Investment (EUR/Capacity installed)2050 bench</v>
      </c>
      <c r="CQ7" s="18" t="str">
        <f t="shared" si="0"/>
        <v>Investment (EUR/Capacity installed)2050 best</v>
      </c>
      <c r="CR7" s="18" t="str">
        <f t="shared" si="0"/>
        <v>Fixed cost (EUR/Capacity installed/y)2025 worst</v>
      </c>
      <c r="CS7" s="18" t="str">
        <f t="shared" si="0"/>
        <v>Fixed cost (EUR/Capacity installed/y)2025 bench</v>
      </c>
      <c r="CT7" s="18" t="str">
        <f t="shared" si="0"/>
        <v>Fixed cost (EUR/Capacity installed/y)2025 best</v>
      </c>
      <c r="CU7" s="18" t="str">
        <f t="shared" si="0"/>
        <v>Fixed cost (EUR/Capacity installed/y)2030 worst</v>
      </c>
      <c r="CV7" s="18" t="str">
        <f t="shared" si="0"/>
        <v>Fixed cost (EUR/Capacity installed/y)2030 bench</v>
      </c>
      <c r="CW7" s="18" t="str">
        <f t="shared" si="0"/>
        <v>Fixed cost (EUR/Capacity installed/y)2030 best</v>
      </c>
      <c r="CX7" s="18" t="str">
        <f t="shared" si="0"/>
        <v>Fixed cost (EUR/Capacity installed/y)2040 bench</v>
      </c>
      <c r="CY7" s="18" t="str">
        <f t="shared" si="0"/>
        <v>Fixed cost (EUR/Capacity installed/y)2050 worst</v>
      </c>
      <c r="CZ7" s="18" t="str">
        <f t="shared" si="0"/>
        <v>Fixed cost (EUR/Capacity installed/y)2050 bench</v>
      </c>
      <c r="DA7" s="18" t="str">
        <f t="shared" si="0"/>
        <v>Fixed cost (EUR/Capacity installed/y)2050 best</v>
      </c>
      <c r="DB7" s="18" t="str">
        <f t="shared" si="0"/>
        <v>Variable cost (EUR/Output)2025 worst</v>
      </c>
      <c r="DC7" s="18" t="str">
        <f t="shared" si="0"/>
        <v>Variable cost (EUR/Output)2025 bench</v>
      </c>
      <c r="DD7" s="18" t="str">
        <f t="shared" si="0"/>
        <v>Variable cost (EUR/Output)2025 best</v>
      </c>
      <c r="DE7" s="18" t="str">
        <f t="shared" si="0"/>
        <v>Variable cost (EUR/Output)2030 worst</v>
      </c>
      <c r="DF7" s="18" t="str">
        <f t="shared" si="0"/>
        <v>Variable cost (EUR/Output)2030 bench</v>
      </c>
      <c r="DG7" s="18" t="str">
        <f t="shared" si="0"/>
        <v>Variable cost (EUR/Output)2030 best</v>
      </c>
      <c r="DH7" s="18" t="str">
        <f t="shared" si="0"/>
        <v>Variable cost (EUR/Output)2040 bench</v>
      </c>
      <c r="DI7" s="18" t="str">
        <f t="shared" ref="DI7:FS7" si="1">DI5&amp;DI6</f>
        <v>Variable cost (EUR/Output)2050 worst</v>
      </c>
      <c r="DJ7" s="18" t="str">
        <f t="shared" si="1"/>
        <v>Variable cost (EUR/Output)2050 bench</v>
      </c>
      <c r="DK7" s="18" t="str">
        <f t="shared" si="1"/>
        <v>Variable cost (EUR/Output)2050 best</v>
      </c>
      <c r="DL7" s="18" t="str">
        <f t="shared" si="1"/>
        <v>Fuel selling price (EUR/output)2025 worst</v>
      </c>
      <c r="DM7" s="18" t="str">
        <f t="shared" si="1"/>
        <v>Fuel selling price (EUR/output)2025 bench</v>
      </c>
      <c r="DN7" s="18" t="str">
        <f t="shared" si="1"/>
        <v>Fuel selling price (EUR/output)2025 best</v>
      </c>
      <c r="DO7" s="18" t="str">
        <f t="shared" si="1"/>
        <v>Fuel selling price (EUR/output)2030 worst</v>
      </c>
      <c r="DP7" s="18" t="str">
        <f t="shared" si="1"/>
        <v>Fuel selling price (EUR/output)2030 bench</v>
      </c>
      <c r="DQ7" s="18" t="str">
        <f t="shared" si="1"/>
        <v>Fuel selling price (EUR/output)2030 best</v>
      </c>
      <c r="DR7" s="18" t="str">
        <f t="shared" si="1"/>
        <v>Fuel selling price (EUR/output)2040 bench</v>
      </c>
      <c r="DS7" s="18" t="str">
        <f t="shared" si="1"/>
        <v>Fuel selling price (EUR/output)2050 worst</v>
      </c>
      <c r="DT7" s="18" t="str">
        <f t="shared" si="1"/>
        <v>Fuel selling price (EUR/output)2050 bench</v>
      </c>
      <c r="DU7" s="18" t="str">
        <f t="shared" si="1"/>
        <v>Fuel selling price (EUR/output)2050 best</v>
      </c>
      <c r="DV7" s="18" t="str">
        <f t="shared" si="1"/>
        <v>Fuel buying price (EUR/output)2025 worst</v>
      </c>
      <c r="DW7" s="18" t="str">
        <f t="shared" si="1"/>
        <v>Fuel buying price (EUR/output)2025 bench</v>
      </c>
      <c r="DX7" s="18" t="str">
        <f t="shared" si="1"/>
        <v>Fuel buying price (EUR/output)2025 best</v>
      </c>
      <c r="DY7" s="18" t="str">
        <f t="shared" si="1"/>
        <v>Fuel buying price (EUR/output)2030 worst</v>
      </c>
      <c r="DZ7" s="18" t="str">
        <f t="shared" si="1"/>
        <v>Fuel buying price (EUR/output)2030 bench</v>
      </c>
      <c r="EA7" s="18" t="str">
        <f t="shared" si="1"/>
        <v>Fuel buying price (EUR/output)2030 best</v>
      </c>
      <c r="EB7" s="18" t="str">
        <f t="shared" si="1"/>
        <v>Fuel buying price (EUR/output)2040 bench</v>
      </c>
      <c r="EC7" s="18" t="str">
        <f t="shared" si="1"/>
        <v>Fuel buying price (EUR/output)2050 worst</v>
      </c>
      <c r="ED7" s="18" t="str">
        <f t="shared" si="1"/>
        <v>Fuel buying price (EUR/output)2050 bench</v>
      </c>
      <c r="EE7" s="18" t="str">
        <f t="shared" si="1"/>
        <v>Fuel buying price (EUR/output)2050 best</v>
      </c>
      <c r="EF7" s="18" t="str">
        <f t="shared" si="1"/>
        <v>CO2e infrastructure (kg CO2e/Capacity/y)2025 worst</v>
      </c>
      <c r="EG7" s="18" t="str">
        <f t="shared" si="1"/>
        <v>CO2e infrastructure (kg CO2e/Capacity/y)2025 bench</v>
      </c>
      <c r="EH7" s="18" t="str">
        <f t="shared" si="1"/>
        <v>CO2e infrastructure (kg CO2e/Capacity/y)2025 best</v>
      </c>
      <c r="EI7" s="18" t="str">
        <f t="shared" si="1"/>
        <v>CO2e infrastructure (kg CO2e/Capacity/y)2030 worst</v>
      </c>
      <c r="EJ7" s="18" t="str">
        <f t="shared" si="1"/>
        <v>CO2e infrastructure (kg CO2e/Capacity/y)2030 bench</v>
      </c>
      <c r="EK7" s="18" t="str">
        <f t="shared" si="1"/>
        <v>CO2e infrastructure (kg CO2e/Capacity/y)2030 best</v>
      </c>
      <c r="EL7" s="18" t="str">
        <f t="shared" si="1"/>
        <v>CO2e infrastructure (kg CO2e/Capacity/y)2040 bench</v>
      </c>
      <c r="EM7" s="18" t="str">
        <f t="shared" si="1"/>
        <v>CO2e infrastructure (kg CO2e/Capacity/y)2050 worst</v>
      </c>
      <c r="EN7" s="18" t="str">
        <f t="shared" si="1"/>
        <v>CO2e infrastructure (kg CO2e/Capacity/y)2050 bench</v>
      </c>
      <c r="EO7" s="18" t="str">
        <f t="shared" si="1"/>
        <v>CO2e infrastructure (kg CO2e/Capacity/y)2050 best</v>
      </c>
      <c r="EP7" s="18" t="str">
        <f t="shared" si="1"/>
        <v>CO2e process (kg CO2e/output)2025 worst</v>
      </c>
      <c r="EQ7" s="18" t="str">
        <f t="shared" si="1"/>
        <v>CO2e process (kg CO2e/output)2025 bench</v>
      </c>
      <c r="ER7" s="18" t="str">
        <f t="shared" si="1"/>
        <v>CO2e process (kg CO2e/output)2025 best</v>
      </c>
      <c r="ES7" s="18" t="str">
        <f t="shared" si="1"/>
        <v>CO2e process (kg CO2e/output)2030 worst</v>
      </c>
      <c r="ET7" s="18" t="str">
        <f t="shared" si="1"/>
        <v>CO2e process (kg CO2e/output)2030 bench</v>
      </c>
      <c r="EU7" s="18" t="str">
        <f t="shared" si="1"/>
        <v>CO2e process (kg CO2e/output)2030 best</v>
      </c>
      <c r="EV7" s="18" t="str">
        <f t="shared" si="1"/>
        <v>CO2e process (kg CO2e/output)2040 bench</v>
      </c>
      <c r="EW7" s="18" t="str">
        <f t="shared" si="1"/>
        <v>CO2e process (kg CO2e/output)2050 worst</v>
      </c>
      <c r="EX7" s="18" t="str">
        <f t="shared" si="1"/>
        <v>CO2e process (kg CO2e/output)2050 bench</v>
      </c>
      <c r="EY7" s="18" t="str">
        <f t="shared" si="1"/>
        <v>CO2e process (kg CO2e/output)2050 best</v>
      </c>
      <c r="EZ7" s="18" t="str">
        <f t="shared" si="1"/>
        <v>Land use (m2/Capacity)2025 worst</v>
      </c>
      <c r="FA7" s="18" t="str">
        <f t="shared" si="1"/>
        <v>Land use (m2/Capacity)2025 bench</v>
      </c>
      <c r="FB7" s="18" t="str">
        <f t="shared" si="1"/>
        <v>Land use (m2/Capacity)2025 best</v>
      </c>
      <c r="FC7" s="18" t="str">
        <f t="shared" si="1"/>
        <v>Land use (m2/Capacity)2030 worst</v>
      </c>
      <c r="FD7" s="18" t="str">
        <f t="shared" si="1"/>
        <v>Land use (m2/Capacity)2030 bench</v>
      </c>
      <c r="FE7" s="18" t="str">
        <f t="shared" si="1"/>
        <v>Land use (m2/Capacity)2030 best</v>
      </c>
      <c r="FF7" s="18" t="str">
        <f t="shared" si="1"/>
        <v>Land use (m2/Capacity)2040 bench</v>
      </c>
      <c r="FG7" s="18" t="str">
        <f t="shared" si="1"/>
        <v>Land use (m2/Capacity)2050 worst</v>
      </c>
      <c r="FH7" s="18" t="str">
        <f t="shared" si="1"/>
        <v>Land use (m2/Capacity)2050 bench</v>
      </c>
      <c r="FI7" s="18" t="str">
        <f t="shared" si="1"/>
        <v>Land use (m2/Capacity)2050 best</v>
      </c>
      <c r="FJ7" s="18" t="str">
        <f t="shared" si="1"/>
        <v>Annuity factor2025 worst</v>
      </c>
      <c r="FK7" s="18" t="str">
        <f t="shared" si="1"/>
        <v>Annuity factor2025 bench</v>
      </c>
      <c r="FL7" s="18" t="str">
        <f t="shared" si="1"/>
        <v>Annuity factor2025 best</v>
      </c>
      <c r="FM7" s="18" t="str">
        <f t="shared" si="1"/>
        <v>Annuity factor2030 worst</v>
      </c>
      <c r="FN7" s="18" t="str">
        <f t="shared" si="1"/>
        <v>Annuity factor2030 bench</v>
      </c>
      <c r="FO7" s="18" t="str">
        <f t="shared" si="1"/>
        <v>Annuity factor2030 best</v>
      </c>
      <c r="FP7" s="18" t="str">
        <f t="shared" si="1"/>
        <v>Annuity factor2040 bench</v>
      </c>
      <c r="FQ7" s="18" t="str">
        <f t="shared" si="1"/>
        <v>Annuity factor2050 worst</v>
      </c>
      <c r="FR7" s="18" t="str">
        <f t="shared" si="1"/>
        <v>Annuity factor2050 bench</v>
      </c>
      <c r="FS7" s="18" t="str">
        <f t="shared" si="1"/>
        <v>Annuity factor2050 best</v>
      </c>
    </row>
    <row r="8" spans="1:175" s="8" customFormat="1" ht="16.05" customHeight="1" x14ac:dyDescent="0.3">
      <c r="B8" s="173"/>
      <c r="C8" s="174"/>
      <c r="D8" s="173"/>
      <c r="E8" s="68" t="s">
        <v>10</v>
      </c>
      <c r="F8" s="8">
        <f t="shared" ref="F8:CB8" si="2">COLUMN(F5)-COLUMN($E$8)</f>
        <v>1</v>
      </c>
      <c r="G8" s="8">
        <f t="shared" si="2"/>
        <v>2</v>
      </c>
      <c r="H8" s="8">
        <f t="shared" si="2"/>
        <v>3</v>
      </c>
      <c r="I8" s="8">
        <f t="shared" si="2"/>
        <v>4</v>
      </c>
      <c r="J8" s="8">
        <f t="shared" si="2"/>
        <v>5</v>
      </c>
      <c r="K8" s="8">
        <f t="shared" si="2"/>
        <v>6</v>
      </c>
      <c r="L8" s="8">
        <f t="shared" si="2"/>
        <v>7</v>
      </c>
      <c r="M8" s="8">
        <f>COLUMN(M5)-COLUMN($E$8)</f>
        <v>8</v>
      </c>
      <c r="N8" s="8">
        <f>COLUMN(N5)-COLUMN($E$8)</f>
        <v>9</v>
      </c>
      <c r="O8" s="8">
        <f t="shared" si="2"/>
        <v>10</v>
      </c>
      <c r="P8" s="8">
        <f t="shared" si="2"/>
        <v>11</v>
      </c>
      <c r="Q8" s="8">
        <f t="shared" si="2"/>
        <v>12</v>
      </c>
      <c r="R8" s="8">
        <f t="shared" si="2"/>
        <v>13</v>
      </c>
      <c r="S8" s="8">
        <f t="shared" si="2"/>
        <v>14</v>
      </c>
      <c r="T8" s="8">
        <f t="shared" si="2"/>
        <v>15</v>
      </c>
      <c r="U8" s="8">
        <f t="shared" si="2"/>
        <v>16</v>
      </c>
      <c r="V8" s="8">
        <f t="shared" si="2"/>
        <v>17</v>
      </c>
      <c r="W8" s="8">
        <f t="shared" si="2"/>
        <v>18</v>
      </c>
      <c r="X8" s="8">
        <f t="shared" si="2"/>
        <v>19</v>
      </c>
      <c r="Y8" s="8">
        <f t="shared" si="2"/>
        <v>20</v>
      </c>
      <c r="Z8" s="8">
        <f t="shared" si="2"/>
        <v>21</v>
      </c>
      <c r="AA8" s="8">
        <f t="shared" si="2"/>
        <v>22</v>
      </c>
      <c r="AB8" s="8">
        <f t="shared" si="2"/>
        <v>23</v>
      </c>
      <c r="AC8" s="8">
        <f t="shared" si="2"/>
        <v>24</v>
      </c>
      <c r="AD8" s="8">
        <f t="shared" si="2"/>
        <v>25</v>
      </c>
      <c r="AE8" s="8">
        <f t="shared" si="2"/>
        <v>26</v>
      </c>
      <c r="AF8" s="8">
        <f t="shared" si="2"/>
        <v>27</v>
      </c>
      <c r="AG8" s="8">
        <f t="shared" si="2"/>
        <v>28</v>
      </c>
      <c r="AH8" s="8">
        <f t="shared" si="2"/>
        <v>29</v>
      </c>
      <c r="AI8" s="8">
        <f t="shared" si="2"/>
        <v>30</v>
      </c>
      <c r="AJ8" s="8">
        <f t="shared" si="2"/>
        <v>31</v>
      </c>
      <c r="AK8" s="8">
        <f t="shared" si="2"/>
        <v>32</v>
      </c>
      <c r="AL8" s="8">
        <f t="shared" si="2"/>
        <v>33</v>
      </c>
      <c r="AM8" s="8">
        <f t="shared" si="2"/>
        <v>34</v>
      </c>
      <c r="AN8" s="8">
        <f t="shared" si="2"/>
        <v>35</v>
      </c>
      <c r="AO8" s="8">
        <f t="shared" si="2"/>
        <v>36</v>
      </c>
      <c r="AP8" s="8">
        <f t="shared" si="2"/>
        <v>37</v>
      </c>
      <c r="AQ8" s="8">
        <f t="shared" si="2"/>
        <v>38</v>
      </c>
      <c r="AR8" s="8">
        <f t="shared" si="2"/>
        <v>39</v>
      </c>
      <c r="AS8" s="8">
        <f t="shared" si="2"/>
        <v>40</v>
      </c>
      <c r="AT8" s="8">
        <f t="shared" si="2"/>
        <v>41</v>
      </c>
      <c r="AU8" s="8">
        <f t="shared" si="2"/>
        <v>42</v>
      </c>
      <c r="AV8" s="8">
        <f t="shared" si="2"/>
        <v>43</v>
      </c>
      <c r="AW8" s="8">
        <f t="shared" si="2"/>
        <v>44</v>
      </c>
      <c r="AX8" s="8">
        <f t="shared" si="2"/>
        <v>45</v>
      </c>
      <c r="AY8" s="8">
        <f t="shared" si="2"/>
        <v>46</v>
      </c>
      <c r="AZ8" s="8">
        <f t="shared" si="2"/>
        <v>47</v>
      </c>
      <c r="BA8" s="8">
        <f t="shared" si="2"/>
        <v>48</v>
      </c>
      <c r="BB8" s="8">
        <f t="shared" si="2"/>
        <v>49</v>
      </c>
      <c r="BC8" s="8">
        <f t="shared" si="2"/>
        <v>50</v>
      </c>
      <c r="BD8" s="8">
        <f t="shared" si="2"/>
        <v>51</v>
      </c>
      <c r="BE8" s="8">
        <f t="shared" si="2"/>
        <v>52</v>
      </c>
      <c r="BF8" s="8">
        <f t="shared" si="2"/>
        <v>53</v>
      </c>
      <c r="BG8" s="8">
        <f t="shared" si="2"/>
        <v>54</v>
      </c>
      <c r="BH8" s="8">
        <f t="shared" si="2"/>
        <v>55</v>
      </c>
      <c r="BI8" s="8">
        <f t="shared" si="2"/>
        <v>56</v>
      </c>
      <c r="BJ8" s="8">
        <f t="shared" si="2"/>
        <v>57</v>
      </c>
      <c r="BK8" s="8">
        <f t="shared" si="2"/>
        <v>58</v>
      </c>
      <c r="BL8" s="8">
        <f t="shared" si="2"/>
        <v>59</v>
      </c>
      <c r="BM8" s="8">
        <f t="shared" si="2"/>
        <v>60</v>
      </c>
      <c r="BN8" s="8">
        <f t="shared" si="2"/>
        <v>61</v>
      </c>
      <c r="BO8" s="8">
        <f t="shared" si="2"/>
        <v>62</v>
      </c>
      <c r="BP8" s="8">
        <f t="shared" si="2"/>
        <v>63</v>
      </c>
      <c r="BQ8" s="8">
        <f t="shared" si="2"/>
        <v>64</v>
      </c>
      <c r="BR8" s="8">
        <f t="shared" si="2"/>
        <v>65</v>
      </c>
      <c r="BS8" s="8">
        <f t="shared" si="2"/>
        <v>66</v>
      </c>
      <c r="BT8" s="8">
        <f t="shared" si="2"/>
        <v>67</v>
      </c>
      <c r="BU8" s="8">
        <f t="shared" si="2"/>
        <v>68</v>
      </c>
      <c r="BV8" s="8">
        <f t="shared" si="2"/>
        <v>69</v>
      </c>
      <c r="BW8" s="8">
        <f t="shared" si="2"/>
        <v>70</v>
      </c>
      <c r="BX8" s="8">
        <f t="shared" si="2"/>
        <v>71</v>
      </c>
      <c r="BY8" s="8">
        <f t="shared" si="2"/>
        <v>72</v>
      </c>
      <c r="BZ8" s="8">
        <f t="shared" si="2"/>
        <v>73</v>
      </c>
      <c r="CA8" s="8">
        <f t="shared" si="2"/>
        <v>74</v>
      </c>
      <c r="CB8" s="8">
        <f t="shared" si="2"/>
        <v>75</v>
      </c>
      <c r="CC8" s="8">
        <f t="shared" ref="CC8:EN8" si="3">COLUMN(CC5)-COLUMN($E$8)</f>
        <v>76</v>
      </c>
      <c r="CD8" s="8">
        <f t="shared" si="3"/>
        <v>77</v>
      </c>
      <c r="CE8" s="8">
        <f t="shared" si="3"/>
        <v>78</v>
      </c>
      <c r="CF8" s="8">
        <f t="shared" si="3"/>
        <v>79</v>
      </c>
      <c r="CG8" s="8">
        <f t="shared" si="3"/>
        <v>80</v>
      </c>
      <c r="CH8" s="8">
        <f t="shared" si="3"/>
        <v>81</v>
      </c>
      <c r="CI8" s="8">
        <f t="shared" si="3"/>
        <v>82</v>
      </c>
      <c r="CJ8" s="8">
        <f t="shared" si="3"/>
        <v>83</v>
      </c>
      <c r="CK8" s="8">
        <f t="shared" si="3"/>
        <v>84</v>
      </c>
      <c r="CL8" s="8">
        <f t="shared" si="3"/>
        <v>85</v>
      </c>
      <c r="CM8" s="8">
        <f t="shared" si="3"/>
        <v>86</v>
      </c>
      <c r="CN8" s="8">
        <f t="shared" si="3"/>
        <v>87</v>
      </c>
      <c r="CO8" s="8">
        <f t="shared" si="3"/>
        <v>88</v>
      </c>
      <c r="CP8" s="8">
        <f t="shared" si="3"/>
        <v>89</v>
      </c>
      <c r="CQ8" s="8">
        <f t="shared" si="3"/>
        <v>90</v>
      </c>
      <c r="CR8" s="8">
        <f t="shared" si="3"/>
        <v>91</v>
      </c>
      <c r="CS8" s="8">
        <f t="shared" si="3"/>
        <v>92</v>
      </c>
      <c r="CT8" s="8">
        <f t="shared" si="3"/>
        <v>93</v>
      </c>
      <c r="CU8" s="8">
        <f t="shared" si="3"/>
        <v>94</v>
      </c>
      <c r="CV8" s="8">
        <f t="shared" si="3"/>
        <v>95</v>
      </c>
      <c r="CW8" s="8">
        <f t="shared" si="3"/>
        <v>96</v>
      </c>
      <c r="CX8" s="8">
        <f t="shared" si="3"/>
        <v>97</v>
      </c>
      <c r="CY8" s="8">
        <f t="shared" si="3"/>
        <v>98</v>
      </c>
      <c r="CZ8" s="8">
        <f t="shared" si="3"/>
        <v>99</v>
      </c>
      <c r="DA8" s="8">
        <f t="shared" si="3"/>
        <v>100</v>
      </c>
      <c r="DB8" s="8">
        <f t="shared" si="3"/>
        <v>101</v>
      </c>
      <c r="DC8" s="8">
        <f t="shared" si="3"/>
        <v>102</v>
      </c>
      <c r="DD8" s="8">
        <f t="shared" si="3"/>
        <v>103</v>
      </c>
      <c r="DE8" s="8">
        <f t="shared" si="3"/>
        <v>104</v>
      </c>
      <c r="DF8" s="8">
        <f t="shared" si="3"/>
        <v>105</v>
      </c>
      <c r="DG8" s="8">
        <f t="shared" si="3"/>
        <v>106</v>
      </c>
      <c r="DH8" s="8">
        <f t="shared" si="3"/>
        <v>107</v>
      </c>
      <c r="DI8" s="8">
        <f t="shared" si="3"/>
        <v>108</v>
      </c>
      <c r="DJ8" s="8">
        <f t="shared" si="3"/>
        <v>109</v>
      </c>
      <c r="DK8" s="8">
        <f t="shared" si="3"/>
        <v>110</v>
      </c>
      <c r="DL8" s="8">
        <f t="shared" si="3"/>
        <v>111</v>
      </c>
      <c r="DM8" s="8">
        <f t="shared" si="3"/>
        <v>112</v>
      </c>
      <c r="DN8" s="8">
        <f t="shared" si="3"/>
        <v>113</v>
      </c>
      <c r="DO8" s="8">
        <f t="shared" si="3"/>
        <v>114</v>
      </c>
      <c r="DP8" s="8">
        <f t="shared" si="3"/>
        <v>115</v>
      </c>
      <c r="DQ8" s="8">
        <f t="shared" si="3"/>
        <v>116</v>
      </c>
      <c r="DR8" s="8">
        <f t="shared" si="3"/>
        <v>117</v>
      </c>
      <c r="DS8" s="8">
        <f t="shared" si="3"/>
        <v>118</v>
      </c>
      <c r="DT8" s="8">
        <f t="shared" si="3"/>
        <v>119</v>
      </c>
      <c r="DU8" s="8">
        <f t="shared" si="3"/>
        <v>120</v>
      </c>
      <c r="DV8" s="8">
        <f t="shared" si="3"/>
        <v>121</v>
      </c>
      <c r="DW8" s="8">
        <f t="shared" si="3"/>
        <v>122</v>
      </c>
      <c r="DX8" s="8">
        <f t="shared" si="3"/>
        <v>123</v>
      </c>
      <c r="DY8" s="8">
        <f t="shared" si="3"/>
        <v>124</v>
      </c>
      <c r="DZ8" s="8">
        <f t="shared" si="3"/>
        <v>125</v>
      </c>
      <c r="EA8" s="8">
        <f t="shared" si="3"/>
        <v>126</v>
      </c>
      <c r="EB8" s="8">
        <f t="shared" si="3"/>
        <v>127</v>
      </c>
      <c r="EC8" s="8">
        <f t="shared" si="3"/>
        <v>128</v>
      </c>
      <c r="ED8" s="8">
        <f t="shared" si="3"/>
        <v>129</v>
      </c>
      <c r="EE8" s="8">
        <f t="shared" si="3"/>
        <v>130</v>
      </c>
      <c r="EF8" s="8">
        <f t="shared" si="3"/>
        <v>131</v>
      </c>
      <c r="EG8" s="8">
        <f t="shared" si="3"/>
        <v>132</v>
      </c>
      <c r="EH8" s="8">
        <f t="shared" si="3"/>
        <v>133</v>
      </c>
      <c r="EI8" s="8">
        <f t="shared" si="3"/>
        <v>134</v>
      </c>
      <c r="EJ8" s="8">
        <f t="shared" si="3"/>
        <v>135</v>
      </c>
      <c r="EK8" s="8">
        <f t="shared" si="3"/>
        <v>136</v>
      </c>
      <c r="EL8" s="8">
        <f t="shared" si="3"/>
        <v>137</v>
      </c>
      <c r="EM8" s="8">
        <f t="shared" si="3"/>
        <v>138</v>
      </c>
      <c r="EN8" s="8">
        <f t="shared" si="3"/>
        <v>139</v>
      </c>
      <c r="EO8" s="8">
        <f t="shared" ref="EO8:FS8" si="4">COLUMN(EO5)-COLUMN($E$8)</f>
        <v>140</v>
      </c>
      <c r="EP8" s="8">
        <f t="shared" si="4"/>
        <v>141</v>
      </c>
      <c r="EQ8" s="8">
        <f t="shared" si="4"/>
        <v>142</v>
      </c>
      <c r="ER8" s="8">
        <f t="shared" si="4"/>
        <v>143</v>
      </c>
      <c r="ES8" s="8">
        <f t="shared" si="4"/>
        <v>144</v>
      </c>
      <c r="ET8" s="8">
        <f t="shared" si="4"/>
        <v>145</v>
      </c>
      <c r="EU8" s="8">
        <f t="shared" si="4"/>
        <v>146</v>
      </c>
      <c r="EV8" s="8">
        <f t="shared" si="4"/>
        <v>147</v>
      </c>
      <c r="EW8" s="8">
        <f t="shared" si="4"/>
        <v>148</v>
      </c>
      <c r="EX8" s="8">
        <f t="shared" si="4"/>
        <v>149</v>
      </c>
      <c r="EY8" s="8">
        <f t="shared" si="4"/>
        <v>150</v>
      </c>
      <c r="EZ8" s="8">
        <f t="shared" si="4"/>
        <v>151</v>
      </c>
      <c r="FA8" s="8">
        <f t="shared" si="4"/>
        <v>152</v>
      </c>
      <c r="FB8" s="8">
        <f t="shared" si="4"/>
        <v>153</v>
      </c>
      <c r="FC8" s="8">
        <f t="shared" si="4"/>
        <v>154</v>
      </c>
      <c r="FD8" s="8">
        <f t="shared" si="4"/>
        <v>155</v>
      </c>
      <c r="FE8" s="8">
        <f t="shared" si="4"/>
        <v>156</v>
      </c>
      <c r="FF8" s="8">
        <f t="shared" si="4"/>
        <v>157</v>
      </c>
      <c r="FG8" s="8">
        <f t="shared" si="4"/>
        <v>158</v>
      </c>
      <c r="FH8" s="8">
        <f t="shared" si="4"/>
        <v>159</v>
      </c>
      <c r="FI8" s="8">
        <f t="shared" si="4"/>
        <v>160</v>
      </c>
      <c r="FJ8" s="8">
        <f t="shared" si="4"/>
        <v>161</v>
      </c>
      <c r="FK8" s="8">
        <f t="shared" si="4"/>
        <v>162</v>
      </c>
      <c r="FL8" s="8">
        <f t="shared" si="4"/>
        <v>163</v>
      </c>
      <c r="FM8" s="8">
        <f t="shared" si="4"/>
        <v>164</v>
      </c>
      <c r="FN8" s="8">
        <f t="shared" si="4"/>
        <v>165</v>
      </c>
      <c r="FO8" s="8">
        <f t="shared" si="4"/>
        <v>166</v>
      </c>
      <c r="FP8" s="8">
        <f t="shared" si="4"/>
        <v>167</v>
      </c>
      <c r="FQ8" s="8">
        <f t="shared" si="4"/>
        <v>168</v>
      </c>
      <c r="FR8" s="8">
        <f t="shared" si="4"/>
        <v>169</v>
      </c>
      <c r="FS8" s="8">
        <f t="shared" si="4"/>
        <v>170</v>
      </c>
    </row>
    <row r="9" spans="1:175" s="53" customFormat="1" ht="14.55" customHeight="1" x14ac:dyDescent="0.3">
      <c r="A9" s="171" t="s">
        <v>11</v>
      </c>
      <c r="B9" s="82" t="s">
        <v>135</v>
      </c>
      <c r="C9" s="81" t="s">
        <v>276</v>
      </c>
      <c r="D9" s="83" t="s">
        <v>77</v>
      </c>
      <c r="E9" s="79">
        <f t="shared" ref="E9:E69" si="5">ROW(D9)-ROW($E$8)</f>
        <v>1</v>
      </c>
      <c r="F9" s="79">
        <v>1</v>
      </c>
      <c r="G9" s="79" t="s">
        <v>88</v>
      </c>
      <c r="H9" s="53">
        <v>0</v>
      </c>
      <c r="I9" s="84" t="str">
        <f>B11</f>
        <v>Product/Reactant12</v>
      </c>
      <c r="J9" s="53">
        <v>0</v>
      </c>
      <c r="K9" s="53">
        <v>0</v>
      </c>
      <c r="L9" s="53">
        <v>0</v>
      </c>
      <c r="M9" s="53">
        <v>0</v>
      </c>
      <c r="N9" s="53">
        <v>0</v>
      </c>
      <c r="O9" s="53">
        <v>40000</v>
      </c>
      <c r="P9" s="53">
        <v>1.37</v>
      </c>
      <c r="Q9" s="53">
        <v>1.37</v>
      </c>
      <c r="R9" s="53">
        <v>1.37</v>
      </c>
      <c r="S9" s="53">
        <v>1.37</v>
      </c>
      <c r="T9" s="53">
        <v>1.37</v>
      </c>
      <c r="U9" s="53">
        <v>1.37</v>
      </c>
      <c r="V9" s="53">
        <v>1.37</v>
      </c>
      <c r="W9" s="53">
        <v>1.37</v>
      </c>
      <c r="X9" s="53">
        <v>1.37</v>
      </c>
      <c r="Y9" s="53">
        <v>1.37</v>
      </c>
      <c r="Z9" s="53">
        <v>0</v>
      </c>
      <c r="AA9" s="53">
        <v>0</v>
      </c>
      <c r="AB9" s="53">
        <v>0</v>
      </c>
      <c r="AC9" s="53">
        <v>0</v>
      </c>
      <c r="AD9" s="53">
        <v>0</v>
      </c>
      <c r="AE9" s="53">
        <v>0</v>
      </c>
      <c r="AF9" s="53">
        <v>0</v>
      </c>
      <c r="AG9" s="53">
        <v>0</v>
      </c>
      <c r="AH9" s="53">
        <v>0</v>
      </c>
      <c r="AI9" s="53">
        <v>0</v>
      </c>
      <c r="AJ9" s="53">
        <v>0</v>
      </c>
      <c r="AK9" s="53">
        <v>0</v>
      </c>
      <c r="AL9" s="53">
        <v>0</v>
      </c>
      <c r="AM9" s="53">
        <v>0</v>
      </c>
      <c r="AN9" s="53">
        <v>0</v>
      </c>
      <c r="AO9" s="53">
        <v>0</v>
      </c>
      <c r="AP9" s="53">
        <v>0</v>
      </c>
      <c r="AQ9" s="53">
        <v>0</v>
      </c>
      <c r="AR9" s="53">
        <v>0</v>
      </c>
      <c r="AS9" s="53">
        <v>0</v>
      </c>
      <c r="AT9" s="85">
        <v>0</v>
      </c>
      <c r="AU9" s="85">
        <v>0</v>
      </c>
      <c r="AV9" s="85">
        <v>0</v>
      </c>
      <c r="AW9" s="85">
        <v>0</v>
      </c>
      <c r="AX9" s="85">
        <v>0</v>
      </c>
      <c r="AY9" s="85">
        <v>0</v>
      </c>
      <c r="AZ9" s="85">
        <v>0</v>
      </c>
      <c r="BA9" s="85">
        <v>0</v>
      </c>
      <c r="BB9" s="85">
        <v>0</v>
      </c>
      <c r="BC9" s="85">
        <v>0</v>
      </c>
      <c r="BD9" s="85">
        <v>1</v>
      </c>
      <c r="BE9" s="85">
        <v>1</v>
      </c>
      <c r="BF9" s="85">
        <v>1</v>
      </c>
      <c r="BG9" s="85">
        <v>1</v>
      </c>
      <c r="BH9" s="85">
        <v>1</v>
      </c>
      <c r="BI9" s="85">
        <v>1</v>
      </c>
      <c r="BJ9" s="85">
        <v>1</v>
      </c>
      <c r="BK9" s="85">
        <v>1</v>
      </c>
      <c r="BL9" s="85">
        <v>1</v>
      </c>
      <c r="BM9" s="85">
        <v>1</v>
      </c>
      <c r="BN9" s="85">
        <v>1</v>
      </c>
      <c r="BO9" s="85">
        <v>1</v>
      </c>
      <c r="BP9" s="85">
        <v>1</v>
      </c>
      <c r="BQ9" s="85">
        <v>1</v>
      </c>
      <c r="BR9" s="85">
        <v>1</v>
      </c>
      <c r="BS9" s="85">
        <v>1</v>
      </c>
      <c r="BT9" s="85">
        <v>1</v>
      </c>
      <c r="BU9" s="85">
        <v>1</v>
      </c>
      <c r="BV9" s="85">
        <v>1</v>
      </c>
      <c r="BW9" s="85">
        <v>1</v>
      </c>
      <c r="BX9" s="86">
        <v>0.5</v>
      </c>
      <c r="BY9" s="86">
        <v>0.5</v>
      </c>
      <c r="BZ9" s="86">
        <v>0.2</v>
      </c>
      <c r="CA9" s="86">
        <v>0.47</v>
      </c>
      <c r="CB9" s="86">
        <v>0.47</v>
      </c>
      <c r="CC9" s="86">
        <v>0.47</v>
      </c>
      <c r="CD9" s="86">
        <v>0.44999999999999996</v>
      </c>
      <c r="CE9" s="86">
        <v>0.43000000000000005</v>
      </c>
      <c r="CF9" s="86">
        <v>0.43000000000000005</v>
      </c>
      <c r="CG9" s="86">
        <v>0.43000000000000005</v>
      </c>
      <c r="CH9" s="53">
        <v>7000</v>
      </c>
      <c r="CI9" s="53">
        <v>7000</v>
      </c>
      <c r="CJ9" s="53">
        <v>7000</v>
      </c>
      <c r="CK9" s="53">
        <v>6000</v>
      </c>
      <c r="CL9" s="53">
        <v>6000</v>
      </c>
      <c r="CM9" s="53">
        <v>6000</v>
      </c>
      <c r="CN9" s="53">
        <v>5000</v>
      </c>
      <c r="CO9" s="53">
        <v>4000</v>
      </c>
      <c r="CP9" s="53">
        <v>4000</v>
      </c>
      <c r="CQ9" s="53">
        <v>4000</v>
      </c>
      <c r="CR9" s="53">
        <v>350</v>
      </c>
      <c r="CS9" s="53">
        <v>350</v>
      </c>
      <c r="CT9" s="53">
        <v>350</v>
      </c>
      <c r="CU9" s="53">
        <v>0</v>
      </c>
      <c r="CV9" s="53">
        <v>300</v>
      </c>
      <c r="CW9" s="53">
        <v>0</v>
      </c>
      <c r="CX9" s="53">
        <v>250</v>
      </c>
      <c r="CY9" s="53">
        <v>0</v>
      </c>
      <c r="CZ9" s="53">
        <v>200</v>
      </c>
      <c r="DA9" s="53">
        <v>0</v>
      </c>
      <c r="DB9" s="53">
        <v>0</v>
      </c>
      <c r="DC9" s="53">
        <v>0</v>
      </c>
      <c r="DD9" s="53">
        <v>0</v>
      </c>
      <c r="DE9" s="53">
        <v>0</v>
      </c>
      <c r="DF9" s="53">
        <v>0</v>
      </c>
      <c r="DG9" s="53">
        <v>0</v>
      </c>
      <c r="DH9" s="53">
        <v>0</v>
      </c>
      <c r="DI9" s="53">
        <v>0</v>
      </c>
      <c r="DJ9" s="53">
        <v>0</v>
      </c>
      <c r="DK9" s="53">
        <v>0</v>
      </c>
      <c r="DL9" s="53">
        <v>0</v>
      </c>
      <c r="DM9" s="53">
        <v>0</v>
      </c>
      <c r="DN9" s="53">
        <v>0</v>
      </c>
      <c r="DO9" s="53">
        <v>0</v>
      </c>
      <c r="DP9" s="53">
        <v>0</v>
      </c>
      <c r="DQ9" s="53">
        <v>0</v>
      </c>
      <c r="DR9" s="53">
        <v>0</v>
      </c>
      <c r="DS9" s="53">
        <v>0</v>
      </c>
      <c r="DT9" s="53">
        <v>0</v>
      </c>
      <c r="DU9" s="53">
        <v>0</v>
      </c>
      <c r="DV9" s="53">
        <v>0</v>
      </c>
      <c r="DW9" s="53">
        <v>0</v>
      </c>
      <c r="DX9" s="53">
        <v>0</v>
      </c>
      <c r="DY9" s="53">
        <v>0</v>
      </c>
      <c r="DZ9" s="53">
        <v>0</v>
      </c>
      <c r="EA9" s="53">
        <v>0</v>
      </c>
      <c r="EB9" s="53">
        <v>0</v>
      </c>
      <c r="EC9" s="53">
        <v>0</v>
      </c>
      <c r="ED9" s="53">
        <v>0</v>
      </c>
      <c r="EE9" s="53">
        <v>0</v>
      </c>
      <c r="EF9" s="53">
        <v>0</v>
      </c>
      <c r="EG9" s="53">
        <v>0</v>
      </c>
      <c r="EH9" s="53">
        <v>0</v>
      </c>
      <c r="EI9" s="53">
        <v>0</v>
      </c>
      <c r="EJ9" s="53">
        <f t="shared" ref="EJ9:EJ29" si="6">$EG9*B$3</f>
        <v>0</v>
      </c>
      <c r="EK9" s="53">
        <v>0</v>
      </c>
      <c r="EL9" s="53">
        <f t="shared" ref="EL9:EL29" si="7">$EG9*C$3</f>
        <v>0</v>
      </c>
      <c r="EM9" s="53">
        <v>0</v>
      </c>
      <c r="EN9" s="53">
        <f t="shared" ref="EN9" si="8">$EG9*E$3</f>
        <v>0</v>
      </c>
      <c r="EO9" s="53">
        <v>0</v>
      </c>
      <c r="EP9" s="53">
        <v>5.6800000000000002E-3</v>
      </c>
      <c r="EQ9" s="53">
        <v>5.6800000000000002E-3</v>
      </c>
      <c r="ER9" s="53">
        <v>5.6800000000000002E-3</v>
      </c>
      <c r="ES9" s="53">
        <v>0</v>
      </c>
      <c r="ET9" s="53">
        <f t="shared" ref="ET9:ET29" si="9">$EQ9*B$3</f>
        <v>5.6800000000000002E-3</v>
      </c>
      <c r="EU9" s="53">
        <v>0</v>
      </c>
      <c r="EV9" s="53">
        <f t="shared" ref="EV9:EV29" si="10">$EQ9*C$3</f>
        <v>5.6800000000000002E-3</v>
      </c>
      <c r="EW9" s="53">
        <v>0</v>
      </c>
      <c r="EX9" s="53">
        <f t="shared" ref="EX9:EX29" si="11">$EQ9*D$3</f>
        <v>5.6800000000000002E-3</v>
      </c>
      <c r="EY9" s="53">
        <v>0</v>
      </c>
      <c r="EZ9" s="53">
        <v>0</v>
      </c>
      <c r="FA9" s="53">
        <v>0</v>
      </c>
      <c r="FB9" s="53">
        <v>0</v>
      </c>
      <c r="FC9" s="53">
        <v>0</v>
      </c>
      <c r="FD9" s="53">
        <v>0</v>
      </c>
      <c r="FE9" s="53">
        <v>0</v>
      </c>
      <c r="FF9" s="53">
        <v>0</v>
      </c>
      <c r="FG9" s="53">
        <v>0</v>
      </c>
      <c r="FH9" s="53">
        <v>0</v>
      </c>
      <c r="FI9" s="53">
        <v>0</v>
      </c>
      <c r="FJ9" s="53">
        <v>0.10185220882315059</v>
      </c>
      <c r="FK9" s="53">
        <v>0.10185220882315059</v>
      </c>
      <c r="FL9" s="53">
        <v>0.10185220882315059</v>
      </c>
      <c r="FM9" s="53">
        <v>0.10185220882315059</v>
      </c>
      <c r="FN9" s="53">
        <v>0.10185220882315059</v>
      </c>
      <c r="FO9" s="53">
        <v>0.10185220882315059</v>
      </c>
      <c r="FP9" s="53">
        <v>0.10185220882315059</v>
      </c>
      <c r="FQ9" s="53">
        <v>0.10185220882315059</v>
      </c>
      <c r="FR9" s="53">
        <v>0.10185220882315059</v>
      </c>
      <c r="FS9" s="53">
        <v>0.10185220882315059</v>
      </c>
    </row>
    <row r="10" spans="1:175" s="53" customFormat="1" x14ac:dyDescent="0.3">
      <c r="A10" s="171"/>
      <c r="B10" s="82" t="s">
        <v>135</v>
      </c>
      <c r="C10" s="81" t="s">
        <v>276</v>
      </c>
      <c r="D10" s="83" t="s">
        <v>96</v>
      </c>
      <c r="E10" s="79">
        <f t="shared" si="5"/>
        <v>2</v>
      </c>
      <c r="F10" s="79">
        <v>1</v>
      </c>
      <c r="G10" s="79" t="s">
        <v>89</v>
      </c>
      <c r="H10" s="53">
        <v>0</v>
      </c>
      <c r="I10" s="84" t="str">
        <f>B11</f>
        <v>Product/Reactant12</v>
      </c>
      <c r="J10" s="53">
        <v>0</v>
      </c>
      <c r="K10" s="53">
        <v>0</v>
      </c>
      <c r="L10" s="53">
        <v>0</v>
      </c>
      <c r="M10" s="53">
        <v>0</v>
      </c>
      <c r="N10" s="53">
        <v>0</v>
      </c>
      <c r="O10" s="53">
        <f>O9</f>
        <v>40000</v>
      </c>
      <c r="P10" s="53">
        <v>1.37</v>
      </c>
      <c r="Q10" s="53">
        <v>1.37</v>
      </c>
      <c r="R10" s="53">
        <v>1.37</v>
      </c>
      <c r="S10" s="53">
        <v>1.37</v>
      </c>
      <c r="T10" s="53">
        <v>1.37</v>
      </c>
      <c r="U10" s="53">
        <v>1.37</v>
      </c>
      <c r="V10" s="53">
        <v>1.37</v>
      </c>
      <c r="W10" s="53">
        <v>1.37</v>
      </c>
      <c r="X10" s="53">
        <v>1.37</v>
      </c>
      <c r="Y10" s="53">
        <v>1.37</v>
      </c>
      <c r="Z10" s="53">
        <v>0</v>
      </c>
      <c r="AA10" s="53">
        <v>0</v>
      </c>
      <c r="AB10" s="53">
        <v>0</v>
      </c>
      <c r="AC10" s="53">
        <v>0</v>
      </c>
      <c r="AD10" s="53">
        <v>0</v>
      </c>
      <c r="AE10" s="53">
        <v>0</v>
      </c>
      <c r="AF10" s="53">
        <v>0</v>
      </c>
      <c r="AG10" s="53">
        <v>0</v>
      </c>
      <c r="AH10" s="53">
        <v>0</v>
      </c>
      <c r="AI10" s="53">
        <v>0</v>
      </c>
      <c r="AJ10" s="53">
        <v>0</v>
      </c>
      <c r="AK10" s="53">
        <v>0</v>
      </c>
      <c r="AL10" s="53">
        <v>0</v>
      </c>
      <c r="AM10" s="53">
        <v>0</v>
      </c>
      <c r="AN10" s="53">
        <v>0</v>
      </c>
      <c r="AO10" s="53">
        <v>0</v>
      </c>
      <c r="AP10" s="53">
        <v>0</v>
      </c>
      <c r="AQ10" s="53">
        <v>0</v>
      </c>
      <c r="AR10" s="53">
        <v>0</v>
      </c>
      <c r="AS10" s="53">
        <v>0</v>
      </c>
      <c r="AT10" s="85">
        <v>0</v>
      </c>
      <c r="AU10" s="85">
        <v>0</v>
      </c>
      <c r="AV10" s="85">
        <v>0</v>
      </c>
      <c r="AW10" s="85">
        <v>0</v>
      </c>
      <c r="AX10" s="85">
        <v>0</v>
      </c>
      <c r="AY10" s="85">
        <v>0</v>
      </c>
      <c r="AZ10" s="85">
        <v>0</v>
      </c>
      <c r="BA10" s="85">
        <v>0</v>
      </c>
      <c r="BB10" s="85">
        <v>0</v>
      </c>
      <c r="BC10" s="85">
        <v>0</v>
      </c>
      <c r="BD10" s="85">
        <v>1</v>
      </c>
      <c r="BE10" s="85">
        <v>1</v>
      </c>
      <c r="BF10" s="85">
        <v>1</v>
      </c>
      <c r="BG10" s="85">
        <v>1</v>
      </c>
      <c r="BH10" s="85">
        <v>1</v>
      </c>
      <c r="BI10" s="85">
        <v>1</v>
      </c>
      <c r="BJ10" s="85">
        <v>1</v>
      </c>
      <c r="BK10" s="85">
        <v>1</v>
      </c>
      <c r="BL10" s="85">
        <v>1</v>
      </c>
      <c r="BM10" s="85">
        <v>1</v>
      </c>
      <c r="BN10" s="85">
        <v>1</v>
      </c>
      <c r="BO10" s="85">
        <v>1</v>
      </c>
      <c r="BP10" s="85">
        <v>1</v>
      </c>
      <c r="BQ10" s="85">
        <v>1</v>
      </c>
      <c r="BR10" s="85">
        <v>1</v>
      </c>
      <c r="BS10" s="85">
        <v>1</v>
      </c>
      <c r="BT10" s="85">
        <v>1</v>
      </c>
      <c r="BU10" s="85">
        <v>1</v>
      </c>
      <c r="BV10" s="85">
        <v>1</v>
      </c>
      <c r="BW10" s="85">
        <v>1</v>
      </c>
      <c r="BX10" s="87">
        <v>0</v>
      </c>
      <c r="BY10" s="87">
        <v>0</v>
      </c>
      <c r="BZ10" s="87">
        <v>0</v>
      </c>
      <c r="CA10" s="87">
        <v>0</v>
      </c>
      <c r="CB10" s="87">
        <v>0</v>
      </c>
      <c r="CC10" s="87">
        <v>0</v>
      </c>
      <c r="CD10" s="87">
        <v>0</v>
      </c>
      <c r="CE10" s="87">
        <v>0</v>
      </c>
      <c r="CF10" s="87">
        <v>0</v>
      </c>
      <c r="CG10" s="87">
        <v>0</v>
      </c>
      <c r="CH10" s="87">
        <v>0</v>
      </c>
      <c r="CI10" s="87">
        <v>0</v>
      </c>
      <c r="CJ10" s="87">
        <v>0</v>
      </c>
      <c r="CK10" s="87">
        <v>0</v>
      </c>
      <c r="CL10" s="87">
        <v>0</v>
      </c>
      <c r="CM10" s="87">
        <v>0</v>
      </c>
      <c r="CN10" s="87">
        <v>0</v>
      </c>
      <c r="CO10" s="87">
        <v>0</v>
      </c>
      <c r="CP10" s="87">
        <v>0</v>
      </c>
      <c r="CQ10" s="87">
        <v>0</v>
      </c>
      <c r="CR10" s="87">
        <v>0</v>
      </c>
      <c r="CS10" s="87">
        <v>0</v>
      </c>
      <c r="CT10" s="87">
        <v>0</v>
      </c>
      <c r="CU10" s="53">
        <v>0</v>
      </c>
      <c r="CV10" s="87">
        <v>0</v>
      </c>
      <c r="CW10" s="53">
        <v>0</v>
      </c>
      <c r="CX10" s="87">
        <v>0</v>
      </c>
      <c r="CY10" s="53">
        <v>0</v>
      </c>
      <c r="CZ10" s="87">
        <v>0</v>
      </c>
      <c r="DA10" s="53">
        <v>0</v>
      </c>
      <c r="DB10" s="87">
        <v>0</v>
      </c>
      <c r="DC10" s="87">
        <v>0</v>
      </c>
      <c r="DD10" s="87">
        <v>0</v>
      </c>
      <c r="DE10" s="53">
        <v>0</v>
      </c>
      <c r="DF10" s="87">
        <v>0</v>
      </c>
      <c r="DG10" s="53">
        <v>0</v>
      </c>
      <c r="DH10" s="87">
        <v>0</v>
      </c>
      <c r="DI10" s="53">
        <v>0</v>
      </c>
      <c r="DJ10" s="87">
        <v>0</v>
      </c>
      <c r="DK10" s="53">
        <v>0</v>
      </c>
      <c r="DL10" s="53">
        <v>0</v>
      </c>
      <c r="DM10" s="53">
        <v>0</v>
      </c>
      <c r="DN10" s="53">
        <v>0</v>
      </c>
      <c r="DO10" s="53">
        <v>0</v>
      </c>
      <c r="DP10" s="53">
        <v>0</v>
      </c>
      <c r="DQ10" s="53">
        <v>0</v>
      </c>
      <c r="DR10" s="53">
        <v>0</v>
      </c>
      <c r="DS10" s="53">
        <v>0</v>
      </c>
      <c r="DT10" s="53">
        <v>0</v>
      </c>
      <c r="DU10" s="53">
        <v>0</v>
      </c>
      <c r="DV10" s="53">
        <v>0.154</v>
      </c>
      <c r="DW10" s="53">
        <v>0.154</v>
      </c>
      <c r="DX10" s="53">
        <v>0.154</v>
      </c>
      <c r="DY10" s="53">
        <v>0.13100000000000001</v>
      </c>
      <c r="DZ10" s="53">
        <v>0.13100000000000001</v>
      </c>
      <c r="EA10" s="53">
        <v>0.13100000000000001</v>
      </c>
      <c r="EB10" s="53">
        <f>(DZ10+ED10)/2</f>
        <v>9.7500000000000003E-2</v>
      </c>
      <c r="EC10" s="53">
        <v>6.4000000000000001E-2</v>
      </c>
      <c r="ED10" s="53">
        <v>6.4000000000000001E-2</v>
      </c>
      <c r="EE10" s="53">
        <v>6.4000000000000001E-2</v>
      </c>
      <c r="EF10" s="53">
        <v>0</v>
      </c>
      <c r="EG10" s="53">
        <v>0</v>
      </c>
      <c r="EH10" s="53">
        <v>0</v>
      </c>
      <c r="EI10" s="53">
        <v>0</v>
      </c>
      <c r="EJ10" s="53">
        <f t="shared" si="6"/>
        <v>0</v>
      </c>
      <c r="EK10" s="53">
        <v>0</v>
      </c>
      <c r="EL10" s="53">
        <f t="shared" si="7"/>
        <v>0</v>
      </c>
      <c r="EM10" s="53">
        <v>0</v>
      </c>
      <c r="EN10" s="53">
        <f t="shared" ref="EN10:EN29" si="12">$EG10*D$3</f>
        <v>0</v>
      </c>
      <c r="EO10" s="53">
        <v>0</v>
      </c>
      <c r="EP10" s="88">
        <v>2.8400000000000002E-4</v>
      </c>
      <c r="EQ10" s="88">
        <v>2.8400000000000002E-4</v>
      </c>
      <c r="ER10" s="88">
        <v>2.8400000000000002E-4</v>
      </c>
      <c r="ES10" s="53">
        <v>0</v>
      </c>
      <c r="ET10" s="53">
        <f t="shared" si="9"/>
        <v>2.8400000000000002E-4</v>
      </c>
      <c r="EU10" s="53">
        <v>0</v>
      </c>
      <c r="EV10" s="53">
        <f t="shared" si="10"/>
        <v>2.8400000000000002E-4</v>
      </c>
      <c r="EW10" s="53">
        <v>0</v>
      </c>
      <c r="EX10" s="53">
        <f t="shared" si="11"/>
        <v>2.8400000000000002E-4</v>
      </c>
      <c r="EY10" s="53">
        <v>0</v>
      </c>
      <c r="EZ10" s="53">
        <v>0</v>
      </c>
      <c r="FA10" s="53">
        <v>0</v>
      </c>
      <c r="FB10" s="53">
        <v>0</v>
      </c>
      <c r="FC10" s="53">
        <v>0</v>
      </c>
      <c r="FD10" s="53">
        <v>0</v>
      </c>
      <c r="FE10" s="53">
        <v>0</v>
      </c>
      <c r="FF10" s="53">
        <v>0</v>
      </c>
      <c r="FG10" s="53">
        <v>0</v>
      </c>
      <c r="FH10" s="53">
        <v>0</v>
      </c>
      <c r="FI10" s="53">
        <v>0</v>
      </c>
      <c r="FJ10" s="53">
        <v>0</v>
      </c>
      <c r="FK10" s="53">
        <v>0</v>
      </c>
      <c r="FL10" s="53">
        <v>0</v>
      </c>
      <c r="FM10" s="53">
        <v>0</v>
      </c>
      <c r="FN10" s="53">
        <v>0</v>
      </c>
      <c r="FO10" s="53">
        <v>0</v>
      </c>
      <c r="FP10" s="53">
        <v>0</v>
      </c>
      <c r="FQ10" s="53">
        <v>0</v>
      </c>
      <c r="FR10" s="53">
        <v>0</v>
      </c>
      <c r="FS10" s="53">
        <v>0</v>
      </c>
    </row>
    <row r="11" spans="1:175" s="53" customFormat="1" x14ac:dyDescent="0.3">
      <c r="A11" s="171"/>
      <c r="B11" s="82" t="s">
        <v>429</v>
      </c>
      <c r="C11" s="89" t="s">
        <v>171</v>
      </c>
      <c r="D11" s="83" t="s">
        <v>229</v>
      </c>
      <c r="E11" s="79">
        <f t="shared" si="5"/>
        <v>3</v>
      </c>
      <c r="F11" s="79">
        <v>1</v>
      </c>
      <c r="G11" s="79" t="s">
        <v>526</v>
      </c>
      <c r="H11" s="90">
        <v>13300000</v>
      </c>
      <c r="I11" s="84" t="str">
        <f>B32</f>
        <v>Reactant2</v>
      </c>
      <c r="J11" s="53">
        <v>0</v>
      </c>
      <c r="K11" s="53">
        <v>1</v>
      </c>
      <c r="L11" s="53">
        <v>0</v>
      </c>
      <c r="M11" s="53">
        <v>0</v>
      </c>
      <c r="N11" s="53">
        <v>0</v>
      </c>
      <c r="O11" s="53">
        <v>20000</v>
      </c>
      <c r="P11" s="53">
        <v>5.26</v>
      </c>
      <c r="Q11" s="53">
        <v>5.26</v>
      </c>
      <c r="R11" s="53">
        <v>5.26</v>
      </c>
      <c r="S11" s="53">
        <v>5.26</v>
      </c>
      <c r="T11" s="53">
        <v>5.26</v>
      </c>
      <c r="U11" s="53">
        <v>5.26</v>
      </c>
      <c r="V11" s="53">
        <v>5.26</v>
      </c>
      <c r="W11" s="53">
        <v>5.26</v>
      </c>
      <c r="X11" s="53">
        <v>5.26</v>
      </c>
      <c r="Y11" s="53">
        <v>5.26</v>
      </c>
      <c r="Z11" s="53">
        <v>0.68</v>
      </c>
      <c r="AA11" s="53">
        <v>0.68</v>
      </c>
      <c r="AB11" s="53">
        <v>0.68</v>
      </c>
      <c r="AC11" s="53">
        <v>0.68</v>
      </c>
      <c r="AD11" s="53">
        <v>0.68</v>
      </c>
      <c r="AE11" s="53">
        <v>0.68</v>
      </c>
      <c r="AF11" s="53">
        <v>0.68</v>
      </c>
      <c r="AG11" s="53">
        <v>0.68</v>
      </c>
      <c r="AH11" s="53">
        <v>0.68</v>
      </c>
      <c r="AI11" s="53">
        <v>0.68</v>
      </c>
      <c r="AJ11" s="53">
        <v>0.68</v>
      </c>
      <c r="AK11" s="53">
        <v>0.68</v>
      </c>
      <c r="AL11" s="53">
        <v>0.68</v>
      </c>
      <c r="AM11" s="53">
        <v>0.68</v>
      </c>
      <c r="AN11" s="53">
        <v>0.68</v>
      </c>
      <c r="AO11" s="53">
        <v>0.68</v>
      </c>
      <c r="AP11" s="53">
        <v>0.68</v>
      </c>
      <c r="AQ11" s="53">
        <v>0.68</v>
      </c>
      <c r="AR11" s="53">
        <v>0.68</v>
      </c>
      <c r="AS11" s="53">
        <v>0.68</v>
      </c>
      <c r="AT11" s="85">
        <v>0.4</v>
      </c>
      <c r="AU11" s="85">
        <v>0.4</v>
      </c>
      <c r="AV11" s="85">
        <v>0.2</v>
      </c>
      <c r="AW11" s="85">
        <v>0.4</v>
      </c>
      <c r="AX11" s="85">
        <v>0.2</v>
      </c>
      <c r="AY11" s="85">
        <v>0.1</v>
      </c>
      <c r="AZ11" s="85">
        <v>0.1</v>
      </c>
      <c r="BA11" s="85">
        <v>0.1</v>
      </c>
      <c r="BB11" s="85">
        <v>0.1</v>
      </c>
      <c r="BC11" s="85">
        <v>0.1</v>
      </c>
      <c r="BD11" s="85">
        <v>0.2</v>
      </c>
      <c r="BE11" s="85">
        <v>0.2</v>
      </c>
      <c r="BF11" s="85">
        <v>0.2</v>
      </c>
      <c r="BG11" s="85">
        <v>0.6</v>
      </c>
      <c r="BH11" s="85">
        <v>1</v>
      </c>
      <c r="BI11" s="85">
        <v>1</v>
      </c>
      <c r="BJ11" s="85">
        <v>1</v>
      </c>
      <c r="BK11" s="85">
        <v>1</v>
      </c>
      <c r="BL11" s="85">
        <v>1</v>
      </c>
      <c r="BM11" s="85">
        <v>1</v>
      </c>
      <c r="BN11" s="85">
        <v>0.2</v>
      </c>
      <c r="BO11" s="85">
        <v>0.2</v>
      </c>
      <c r="BP11" s="85">
        <v>0.2</v>
      </c>
      <c r="BQ11" s="85">
        <v>0.6</v>
      </c>
      <c r="BR11" s="85">
        <v>1</v>
      </c>
      <c r="BS11" s="85">
        <v>1</v>
      </c>
      <c r="BT11" s="85">
        <v>1</v>
      </c>
      <c r="BU11" s="85">
        <v>1</v>
      </c>
      <c r="BV11" s="85">
        <v>1</v>
      </c>
      <c r="BW11" s="85">
        <v>1</v>
      </c>
      <c r="BX11" s="86">
        <v>1.7</v>
      </c>
      <c r="BY11" s="86">
        <v>1.7</v>
      </c>
      <c r="BZ11" s="86">
        <v>1.7</v>
      </c>
      <c r="CA11" s="86">
        <v>1.7</v>
      </c>
      <c r="CB11" s="86">
        <v>1.7</v>
      </c>
      <c r="CC11" s="86">
        <v>1.7</v>
      </c>
      <c r="CD11" s="86">
        <v>1.7</v>
      </c>
      <c r="CE11" s="86">
        <v>1.7</v>
      </c>
      <c r="CF11" s="86">
        <v>1.7</v>
      </c>
      <c r="CG11" s="86">
        <v>1.7</v>
      </c>
      <c r="CH11" s="53">
        <v>23668.2</v>
      </c>
      <c r="CI11" s="53">
        <v>23668.2</v>
      </c>
      <c r="CJ11" s="53">
        <v>23668.2</v>
      </c>
      <c r="CK11" s="90">
        <f>2000*(365.25*24)/1000</f>
        <v>17532</v>
      </c>
      <c r="CL11" s="90">
        <f>2000*(365.25*24)/1000</f>
        <v>17532</v>
      </c>
      <c r="CM11" s="90">
        <f>2000*(365.25*24)/1000</f>
        <v>17532</v>
      </c>
      <c r="CN11" s="53">
        <f>(CL11+CP11)/2</f>
        <v>12929.85</v>
      </c>
      <c r="CO11" s="90">
        <f>950*(365.25*24)/1000</f>
        <v>8327.7000000000007</v>
      </c>
      <c r="CP11" s="90">
        <f>950*(365.25*24)/1000</f>
        <v>8327.7000000000007</v>
      </c>
      <c r="CQ11" s="90">
        <f>950*(365.25*24)/1000</f>
        <v>8327.7000000000007</v>
      </c>
      <c r="CR11" s="53">
        <f t="shared" ref="CR11:DA11" si="13">CH11*4%</f>
        <v>946.72800000000007</v>
      </c>
      <c r="CS11" s="53">
        <f t="shared" si="13"/>
        <v>946.72800000000007</v>
      </c>
      <c r="CT11" s="53">
        <f t="shared" si="13"/>
        <v>946.72800000000007</v>
      </c>
      <c r="CU11" s="53">
        <f t="shared" si="13"/>
        <v>701.28</v>
      </c>
      <c r="CV11" s="53">
        <f t="shared" si="13"/>
        <v>701.28</v>
      </c>
      <c r="CW11" s="53">
        <f t="shared" si="13"/>
        <v>701.28</v>
      </c>
      <c r="CX11" s="53">
        <f t="shared" si="13"/>
        <v>517.19400000000007</v>
      </c>
      <c r="CY11" s="53">
        <f t="shared" si="13"/>
        <v>333.10800000000006</v>
      </c>
      <c r="CZ11" s="53">
        <f t="shared" si="13"/>
        <v>333.10800000000006</v>
      </c>
      <c r="DA11" s="53">
        <f t="shared" si="13"/>
        <v>333.10800000000006</v>
      </c>
      <c r="DB11" s="87">
        <v>0</v>
      </c>
      <c r="DC11" s="87">
        <v>0</v>
      </c>
      <c r="DD11" s="87">
        <v>0</v>
      </c>
      <c r="DE11" s="53">
        <v>0</v>
      </c>
      <c r="DF11" s="87">
        <v>0</v>
      </c>
      <c r="DG11" s="53">
        <v>0</v>
      </c>
      <c r="DH11" s="87">
        <v>0</v>
      </c>
      <c r="DI11" s="53">
        <v>0</v>
      </c>
      <c r="DJ11" s="87">
        <v>0</v>
      </c>
      <c r="DK11" s="53">
        <v>0</v>
      </c>
      <c r="DL11" s="53">
        <v>0</v>
      </c>
      <c r="DM11" s="53">
        <v>0</v>
      </c>
      <c r="DN11" s="53">
        <v>0</v>
      </c>
      <c r="DO11" s="53">
        <v>0</v>
      </c>
      <c r="DP11" s="53">
        <v>0</v>
      </c>
      <c r="DQ11" s="53">
        <v>0</v>
      </c>
      <c r="DR11" s="53">
        <v>0</v>
      </c>
      <c r="DS11" s="53">
        <v>0</v>
      </c>
      <c r="DT11" s="53">
        <v>0</v>
      </c>
      <c r="DU11" s="53">
        <v>0</v>
      </c>
      <c r="DV11" s="53">
        <v>0</v>
      </c>
      <c r="DW11" s="53">
        <v>0</v>
      </c>
      <c r="DX11" s="53">
        <v>0</v>
      </c>
      <c r="DY11" s="53">
        <v>0</v>
      </c>
      <c r="DZ11" s="53">
        <v>0</v>
      </c>
      <c r="EA11" s="53">
        <v>0</v>
      </c>
      <c r="EB11" s="53">
        <v>0</v>
      </c>
      <c r="EC11" s="53">
        <v>0</v>
      </c>
      <c r="ED11" s="53">
        <v>0</v>
      </c>
      <c r="EE11" s="53">
        <v>0</v>
      </c>
      <c r="EF11" s="53">
        <v>18.474666666666668</v>
      </c>
      <c r="EG11" s="53">
        <v>18.474666666666668</v>
      </c>
      <c r="EH11" s="53">
        <v>18.474666666666668</v>
      </c>
      <c r="EI11" s="53">
        <v>0</v>
      </c>
      <c r="EJ11" s="53">
        <f t="shared" si="6"/>
        <v>18.474666666666668</v>
      </c>
      <c r="EK11" s="53">
        <v>0</v>
      </c>
      <c r="EL11" s="53">
        <f t="shared" si="7"/>
        <v>18.474666666666668</v>
      </c>
      <c r="EM11" s="53">
        <v>0</v>
      </c>
      <c r="EN11" s="53">
        <f t="shared" si="12"/>
        <v>18.474666666666668</v>
      </c>
      <c r="EO11" s="53">
        <v>0</v>
      </c>
      <c r="EP11" s="53">
        <v>0</v>
      </c>
      <c r="EQ11" s="53">
        <v>0</v>
      </c>
      <c r="ER11" s="53">
        <v>0</v>
      </c>
      <c r="ES11" s="53">
        <v>0</v>
      </c>
      <c r="ET11" s="53">
        <f t="shared" si="9"/>
        <v>0</v>
      </c>
      <c r="EU11" s="53">
        <v>0</v>
      </c>
      <c r="EV11" s="53">
        <f t="shared" si="10"/>
        <v>0</v>
      </c>
      <c r="EW11" s="53">
        <v>0</v>
      </c>
      <c r="EX11" s="53">
        <f t="shared" si="11"/>
        <v>0</v>
      </c>
      <c r="EY11" s="53">
        <v>0</v>
      </c>
      <c r="EZ11" s="53">
        <v>0</v>
      </c>
      <c r="FA11" s="53">
        <v>0</v>
      </c>
      <c r="FB11" s="53">
        <v>0</v>
      </c>
      <c r="FC11" s="53">
        <v>0</v>
      </c>
      <c r="FD11" s="53">
        <v>0</v>
      </c>
      <c r="FE11" s="53">
        <v>0</v>
      </c>
      <c r="FF11" s="53">
        <v>0</v>
      </c>
      <c r="FG11" s="53">
        <v>0</v>
      </c>
      <c r="FH11" s="53">
        <v>0</v>
      </c>
      <c r="FI11" s="53">
        <v>0</v>
      </c>
      <c r="FJ11" s="53">
        <v>8.8495575221238937E-2</v>
      </c>
      <c r="FK11" s="53">
        <v>8.8495575221238937E-2</v>
      </c>
      <c r="FL11" s="53">
        <v>8.8495575221238937E-2</v>
      </c>
      <c r="FM11" s="53">
        <v>8.8495575221238937E-2</v>
      </c>
      <c r="FN11" s="53">
        <v>8.8495575221238937E-2</v>
      </c>
      <c r="FO11" s="53">
        <v>8.8495575221238937E-2</v>
      </c>
      <c r="FP11" s="53">
        <v>8.8495575221238937E-2</v>
      </c>
      <c r="FQ11" s="53">
        <v>8.8495575221238937E-2</v>
      </c>
      <c r="FR11" s="53">
        <v>8.8495575221238937E-2</v>
      </c>
      <c r="FS11" s="53">
        <v>8.8495575221238937E-2</v>
      </c>
    </row>
    <row r="12" spans="1:175" s="75" customFormat="1" x14ac:dyDescent="0.3">
      <c r="A12" s="171"/>
      <c r="B12" s="91" t="s">
        <v>440</v>
      </c>
      <c r="C12" s="92" t="s">
        <v>171</v>
      </c>
      <c r="D12" s="74" t="s">
        <v>536</v>
      </c>
      <c r="E12" s="73">
        <f t="shared" si="5"/>
        <v>4</v>
      </c>
      <c r="F12" s="73">
        <v>1</v>
      </c>
      <c r="G12" s="73" t="s">
        <v>442</v>
      </c>
      <c r="H12" s="93">
        <f>H13/P13</f>
        <v>29280000.000000004</v>
      </c>
      <c r="I12" s="94" t="str">
        <f>B32</f>
        <v>Reactant2</v>
      </c>
      <c r="J12" s="75">
        <v>0</v>
      </c>
      <c r="K12" s="75">
        <v>1</v>
      </c>
      <c r="L12" s="75">
        <v>0</v>
      </c>
      <c r="M12" s="75">
        <v>0</v>
      </c>
      <c r="N12" s="75">
        <v>0</v>
      </c>
      <c r="O12" s="75">
        <v>20000</v>
      </c>
      <c r="P12" s="95">
        <v>26.350782437758895</v>
      </c>
      <c r="Q12" s="95">
        <v>26.350782437758895</v>
      </c>
      <c r="R12" s="95">
        <v>26.350782437758895</v>
      </c>
      <c r="S12" s="95">
        <v>26.350782437758895</v>
      </c>
      <c r="T12" s="95">
        <v>26.350782437758895</v>
      </c>
      <c r="U12" s="95">
        <v>26.350782437758895</v>
      </c>
      <c r="V12" s="95">
        <v>26.350782437758895</v>
      </c>
      <c r="W12" s="95">
        <v>26.350782437758895</v>
      </c>
      <c r="X12" s="95">
        <v>26.350782437758895</v>
      </c>
      <c r="Y12" s="95">
        <v>26.350782437758895</v>
      </c>
      <c r="Z12" s="95">
        <v>0</v>
      </c>
      <c r="AA12" s="95">
        <v>0</v>
      </c>
      <c r="AB12" s="95">
        <v>0</v>
      </c>
      <c r="AC12" s="95">
        <v>0</v>
      </c>
      <c r="AD12" s="95">
        <v>0</v>
      </c>
      <c r="AE12" s="95">
        <v>0</v>
      </c>
      <c r="AF12" s="95">
        <v>0</v>
      </c>
      <c r="AG12" s="95">
        <v>0</v>
      </c>
      <c r="AH12" s="95">
        <v>0</v>
      </c>
      <c r="AI12" s="95">
        <v>0</v>
      </c>
      <c r="AJ12" s="95">
        <v>0</v>
      </c>
      <c r="AK12" s="95">
        <v>0</v>
      </c>
      <c r="AL12" s="95">
        <v>0</v>
      </c>
      <c r="AM12" s="95">
        <v>0</v>
      </c>
      <c r="AN12" s="95">
        <v>0</v>
      </c>
      <c r="AO12" s="95">
        <v>0</v>
      </c>
      <c r="AP12" s="95">
        <v>0</v>
      </c>
      <c r="AQ12" s="95">
        <v>0</v>
      </c>
      <c r="AR12" s="95">
        <v>0</v>
      </c>
      <c r="AS12" s="95">
        <v>0</v>
      </c>
      <c r="AT12" s="96">
        <v>0.4</v>
      </c>
      <c r="AU12" s="96">
        <v>0.4</v>
      </c>
      <c r="AV12" s="96">
        <v>0.2</v>
      </c>
      <c r="AW12" s="96">
        <v>0.4</v>
      </c>
      <c r="AX12" s="96">
        <v>0.2</v>
      </c>
      <c r="AY12" s="96">
        <v>0.1</v>
      </c>
      <c r="AZ12" s="96">
        <v>0.1</v>
      </c>
      <c r="BA12" s="96">
        <v>0.1</v>
      </c>
      <c r="BB12" s="96">
        <v>0.1</v>
      </c>
      <c r="BC12" s="96">
        <v>0.1</v>
      </c>
      <c r="BD12" s="96">
        <v>0.2</v>
      </c>
      <c r="BE12" s="96">
        <v>0.2</v>
      </c>
      <c r="BF12" s="96">
        <v>0.2</v>
      </c>
      <c r="BG12" s="96">
        <v>0.6</v>
      </c>
      <c r="BH12" s="96">
        <v>1</v>
      </c>
      <c r="BI12" s="96">
        <v>1</v>
      </c>
      <c r="BJ12" s="96">
        <v>1</v>
      </c>
      <c r="BK12" s="96">
        <v>1</v>
      </c>
      <c r="BL12" s="96">
        <v>1</v>
      </c>
      <c r="BM12" s="96">
        <v>1</v>
      </c>
      <c r="BN12" s="96">
        <v>0.2</v>
      </c>
      <c r="BO12" s="96">
        <v>0.2</v>
      </c>
      <c r="BP12" s="96">
        <v>0.2</v>
      </c>
      <c r="BQ12" s="96">
        <v>0.6</v>
      </c>
      <c r="BR12" s="96">
        <v>1</v>
      </c>
      <c r="BS12" s="96">
        <v>1</v>
      </c>
      <c r="BT12" s="96">
        <v>1</v>
      </c>
      <c r="BU12" s="96">
        <v>1</v>
      </c>
      <c r="BV12" s="96">
        <v>1</v>
      </c>
      <c r="BW12" s="96">
        <v>1</v>
      </c>
      <c r="BX12" s="97">
        <v>0</v>
      </c>
      <c r="BY12" s="97">
        <v>0</v>
      </c>
      <c r="BZ12" s="97">
        <v>0</v>
      </c>
      <c r="CA12" s="97">
        <v>0</v>
      </c>
      <c r="CB12" s="97">
        <v>0</v>
      </c>
      <c r="CC12" s="97">
        <v>0</v>
      </c>
      <c r="CD12" s="97">
        <v>0</v>
      </c>
      <c r="CE12" s="97">
        <v>0</v>
      </c>
      <c r="CF12" s="97">
        <v>0</v>
      </c>
      <c r="CG12" s="97">
        <v>0</v>
      </c>
      <c r="CH12" s="93">
        <v>15110.907103825137</v>
      </c>
      <c r="CI12" s="93">
        <v>15110.907103825137</v>
      </c>
      <c r="CJ12" s="93">
        <v>15110.907103825137</v>
      </c>
      <c r="CK12" s="93">
        <v>15110.907103825137</v>
      </c>
      <c r="CL12" s="93">
        <v>15110.907103825137</v>
      </c>
      <c r="CM12" s="93">
        <v>15110.907103825137</v>
      </c>
      <c r="CN12" s="93">
        <v>15110.907103825137</v>
      </c>
      <c r="CO12" s="93">
        <v>15110.907103825137</v>
      </c>
      <c r="CP12" s="93">
        <v>15110.907103825137</v>
      </c>
      <c r="CQ12" s="93">
        <v>15110.9071038251</v>
      </c>
      <c r="CR12" s="98">
        <v>655.73770491803282</v>
      </c>
      <c r="CS12" s="98">
        <v>655.73770491803282</v>
      </c>
      <c r="CT12" s="98">
        <v>655.73770491803282</v>
      </c>
      <c r="CU12" s="98">
        <v>655.73770491803282</v>
      </c>
      <c r="CV12" s="98">
        <v>655.73770491803282</v>
      </c>
      <c r="CW12" s="98">
        <v>655.73770491803282</v>
      </c>
      <c r="CX12" s="98">
        <v>655.73770491803282</v>
      </c>
      <c r="CY12" s="98">
        <v>655.73770491803282</v>
      </c>
      <c r="CZ12" s="98">
        <v>655.73770491803282</v>
      </c>
      <c r="DA12" s="98">
        <v>655.73770491803282</v>
      </c>
      <c r="DB12" s="99">
        <v>0</v>
      </c>
      <c r="DC12" s="99">
        <v>0</v>
      </c>
      <c r="DD12" s="99">
        <v>0</v>
      </c>
      <c r="DE12" s="75">
        <v>0</v>
      </c>
      <c r="DF12" s="99">
        <v>0</v>
      </c>
      <c r="DG12" s="75">
        <v>0</v>
      </c>
      <c r="DH12" s="99">
        <v>0</v>
      </c>
      <c r="DI12" s="75">
        <v>0</v>
      </c>
      <c r="DJ12" s="99">
        <v>0</v>
      </c>
      <c r="DK12" s="75">
        <v>0</v>
      </c>
      <c r="DL12" s="75">
        <v>0</v>
      </c>
      <c r="DM12" s="75">
        <v>0</v>
      </c>
      <c r="DN12" s="75">
        <v>0</v>
      </c>
      <c r="DO12" s="75">
        <v>0</v>
      </c>
      <c r="DP12" s="75">
        <v>0</v>
      </c>
      <c r="DQ12" s="75">
        <v>0</v>
      </c>
      <c r="DR12" s="75">
        <v>0</v>
      </c>
      <c r="DS12" s="75">
        <v>0</v>
      </c>
      <c r="DT12" s="75">
        <v>0</v>
      </c>
      <c r="DU12" s="75">
        <v>0</v>
      </c>
      <c r="DV12" s="75">
        <v>0</v>
      </c>
      <c r="DW12" s="75">
        <v>0</v>
      </c>
      <c r="DX12" s="75">
        <v>0</v>
      </c>
      <c r="DY12" s="75">
        <v>0</v>
      </c>
      <c r="DZ12" s="75">
        <v>0</v>
      </c>
      <c r="EA12" s="75">
        <v>0</v>
      </c>
      <c r="EB12" s="75">
        <v>0</v>
      </c>
      <c r="EC12" s="75">
        <v>0</v>
      </c>
      <c r="ED12" s="75">
        <v>0</v>
      </c>
      <c r="EE12" s="75">
        <v>0</v>
      </c>
      <c r="EF12" s="75">
        <v>0</v>
      </c>
      <c r="EG12" s="75">
        <v>0</v>
      </c>
      <c r="EH12" s="75">
        <v>0</v>
      </c>
      <c r="EI12" s="75">
        <v>0</v>
      </c>
      <c r="EJ12" s="75">
        <v>0</v>
      </c>
      <c r="EK12" s="75">
        <v>0</v>
      </c>
      <c r="EL12" s="75">
        <v>0</v>
      </c>
      <c r="EM12" s="75">
        <v>0</v>
      </c>
      <c r="EN12" s="75">
        <v>0</v>
      </c>
      <c r="EO12" s="75">
        <v>0</v>
      </c>
      <c r="EP12" s="75">
        <v>0</v>
      </c>
      <c r="EQ12" s="75">
        <v>0</v>
      </c>
      <c r="ER12" s="75">
        <v>0</v>
      </c>
      <c r="ES12" s="75">
        <v>0</v>
      </c>
      <c r="ET12" s="75">
        <v>0</v>
      </c>
      <c r="EU12" s="75">
        <v>0</v>
      </c>
      <c r="EV12" s="75">
        <v>0</v>
      </c>
      <c r="EW12" s="75">
        <v>0</v>
      </c>
      <c r="EX12" s="75">
        <v>0</v>
      </c>
      <c r="EY12" s="75">
        <v>0</v>
      </c>
      <c r="EZ12" s="75">
        <v>0</v>
      </c>
      <c r="FA12" s="75">
        <v>0</v>
      </c>
      <c r="FB12" s="75">
        <v>0</v>
      </c>
      <c r="FC12" s="75">
        <v>0</v>
      </c>
      <c r="FD12" s="75">
        <v>0</v>
      </c>
      <c r="FE12" s="75">
        <v>0</v>
      </c>
      <c r="FF12" s="75">
        <v>0</v>
      </c>
      <c r="FG12" s="75">
        <v>0</v>
      </c>
      <c r="FH12" s="75">
        <v>0</v>
      </c>
      <c r="FI12" s="75">
        <v>0</v>
      </c>
      <c r="FJ12" s="75">
        <v>8.8495575221238937E-2</v>
      </c>
      <c r="FK12" s="75">
        <v>8.8495575221238937E-2</v>
      </c>
      <c r="FL12" s="75">
        <v>8.8495575221238937E-2</v>
      </c>
      <c r="FM12" s="75">
        <v>8.8495575221238937E-2</v>
      </c>
      <c r="FN12" s="75">
        <v>8.8495575221238937E-2</v>
      </c>
      <c r="FO12" s="75">
        <v>8.8495575221238937E-2</v>
      </c>
      <c r="FP12" s="75">
        <v>8.8495575221238937E-2</v>
      </c>
      <c r="FQ12" s="75">
        <v>8.8495575221238937E-2</v>
      </c>
      <c r="FR12" s="75">
        <v>8.8495575221238937E-2</v>
      </c>
      <c r="FS12" s="75">
        <v>8.8495575221238937E-2</v>
      </c>
    </row>
    <row r="13" spans="1:175" s="75" customFormat="1" x14ac:dyDescent="0.3">
      <c r="A13" s="171"/>
      <c r="B13" s="91" t="s">
        <v>135</v>
      </c>
      <c r="C13" s="100" t="s">
        <v>276</v>
      </c>
      <c r="D13" s="74" t="s">
        <v>445</v>
      </c>
      <c r="E13" s="73">
        <f t="shared" si="5"/>
        <v>5</v>
      </c>
      <c r="F13" s="73">
        <v>1</v>
      </c>
      <c r="G13" s="73" t="s">
        <v>445</v>
      </c>
      <c r="H13" s="93">
        <v>36800000</v>
      </c>
      <c r="I13" s="94" t="str">
        <f>B12</f>
        <v>Product/Reactant13</v>
      </c>
      <c r="J13" s="75">
        <v>0</v>
      </c>
      <c r="K13" s="75">
        <v>0</v>
      </c>
      <c r="L13" s="75">
        <v>0</v>
      </c>
      <c r="M13" s="75">
        <v>0</v>
      </c>
      <c r="N13" s="75">
        <v>0</v>
      </c>
      <c r="O13" s="75">
        <v>40000</v>
      </c>
      <c r="P13" s="95">
        <v>1.256830601092896</v>
      </c>
      <c r="Q13" s="95">
        <v>1.256830601092896</v>
      </c>
      <c r="R13" s="95">
        <v>1.256830601092896</v>
      </c>
      <c r="S13" s="95">
        <v>1.256830601092896</v>
      </c>
      <c r="T13" s="95">
        <v>1.256830601092896</v>
      </c>
      <c r="U13" s="95">
        <v>1.256830601092896</v>
      </c>
      <c r="V13" s="95">
        <v>1.256830601092896</v>
      </c>
      <c r="W13" s="95">
        <v>1.256830601092896</v>
      </c>
      <c r="X13" s="95">
        <v>1.256830601092896</v>
      </c>
      <c r="Y13" s="95">
        <v>1.256830601092896</v>
      </c>
      <c r="Z13" s="95">
        <v>0</v>
      </c>
      <c r="AA13" s="95">
        <v>0</v>
      </c>
      <c r="AB13" s="95">
        <v>0</v>
      </c>
      <c r="AC13" s="95">
        <v>0</v>
      </c>
      <c r="AD13" s="95">
        <v>0</v>
      </c>
      <c r="AE13" s="95">
        <v>0</v>
      </c>
      <c r="AF13" s="95">
        <v>0</v>
      </c>
      <c r="AG13" s="95">
        <v>0</v>
      </c>
      <c r="AH13" s="95">
        <v>0</v>
      </c>
      <c r="AI13" s="95">
        <v>0</v>
      </c>
      <c r="AJ13" s="95">
        <v>0</v>
      </c>
      <c r="AK13" s="95">
        <v>0</v>
      </c>
      <c r="AL13" s="95">
        <v>0</v>
      </c>
      <c r="AM13" s="95">
        <v>0</v>
      </c>
      <c r="AN13" s="95">
        <v>0</v>
      </c>
      <c r="AO13" s="95">
        <v>0</v>
      </c>
      <c r="AP13" s="95">
        <v>0</v>
      </c>
      <c r="AQ13" s="95">
        <v>0</v>
      </c>
      <c r="AR13" s="95">
        <v>0</v>
      </c>
      <c r="AS13" s="95">
        <v>0</v>
      </c>
      <c r="AT13" s="96">
        <v>0</v>
      </c>
      <c r="AU13" s="96">
        <v>0</v>
      </c>
      <c r="AV13" s="96">
        <v>0</v>
      </c>
      <c r="AW13" s="96">
        <v>0</v>
      </c>
      <c r="AX13" s="96">
        <v>0</v>
      </c>
      <c r="AY13" s="96">
        <v>0</v>
      </c>
      <c r="AZ13" s="96">
        <v>0</v>
      </c>
      <c r="BA13" s="96">
        <v>0</v>
      </c>
      <c r="BB13" s="96">
        <v>0</v>
      </c>
      <c r="BC13" s="96">
        <v>0</v>
      </c>
      <c r="BD13" s="96">
        <v>1</v>
      </c>
      <c r="BE13" s="96">
        <v>1</v>
      </c>
      <c r="BF13" s="96">
        <v>1</v>
      </c>
      <c r="BG13" s="96">
        <v>1</v>
      </c>
      <c r="BH13" s="96">
        <v>1</v>
      </c>
      <c r="BI13" s="96">
        <v>1</v>
      </c>
      <c r="BJ13" s="96">
        <v>1</v>
      </c>
      <c r="BK13" s="96">
        <v>1</v>
      </c>
      <c r="BL13" s="96">
        <v>1</v>
      </c>
      <c r="BM13" s="96">
        <v>1</v>
      </c>
      <c r="BN13" s="96">
        <v>1</v>
      </c>
      <c r="BO13" s="96">
        <v>1</v>
      </c>
      <c r="BP13" s="96">
        <v>1</v>
      </c>
      <c r="BQ13" s="96">
        <v>1</v>
      </c>
      <c r="BR13" s="96">
        <v>1</v>
      </c>
      <c r="BS13" s="96">
        <v>1</v>
      </c>
      <c r="BT13" s="96">
        <v>1</v>
      </c>
      <c r="BU13" s="96">
        <v>1</v>
      </c>
      <c r="BV13" s="96">
        <v>1</v>
      </c>
      <c r="BW13" s="96">
        <v>1</v>
      </c>
      <c r="BX13" s="97">
        <v>0</v>
      </c>
      <c r="BY13" s="97">
        <v>0</v>
      </c>
      <c r="BZ13" s="97">
        <v>0</v>
      </c>
      <c r="CA13" s="97">
        <v>0</v>
      </c>
      <c r="CB13" s="97">
        <v>0</v>
      </c>
      <c r="CC13" s="97">
        <v>0</v>
      </c>
      <c r="CD13" s="97">
        <v>0</v>
      </c>
      <c r="CE13" s="97">
        <v>0</v>
      </c>
      <c r="CF13" s="97">
        <v>0</v>
      </c>
      <c r="CG13" s="97">
        <v>0</v>
      </c>
      <c r="CH13" s="97">
        <v>0</v>
      </c>
      <c r="CI13" s="97">
        <v>0</v>
      </c>
      <c r="CJ13" s="97">
        <v>0</v>
      </c>
      <c r="CK13" s="97">
        <v>0</v>
      </c>
      <c r="CL13" s="97">
        <v>0</v>
      </c>
      <c r="CM13" s="97">
        <v>0</v>
      </c>
      <c r="CN13" s="97">
        <v>0</v>
      </c>
      <c r="CO13" s="97">
        <v>0</v>
      </c>
      <c r="CP13" s="97">
        <v>0</v>
      </c>
      <c r="CQ13" s="97">
        <v>0</v>
      </c>
      <c r="CR13" s="97">
        <v>0</v>
      </c>
      <c r="CS13" s="97">
        <v>0</v>
      </c>
      <c r="CT13" s="97">
        <v>0</v>
      </c>
      <c r="CU13" s="97">
        <v>0</v>
      </c>
      <c r="CV13" s="97">
        <v>0</v>
      </c>
      <c r="CW13" s="97">
        <v>0</v>
      </c>
      <c r="CX13" s="97">
        <v>0</v>
      </c>
      <c r="CY13" s="97">
        <v>0</v>
      </c>
      <c r="CZ13" s="97">
        <v>0</v>
      </c>
      <c r="DA13" s="97">
        <v>0</v>
      </c>
      <c r="DB13" s="99">
        <v>0</v>
      </c>
      <c r="DC13" s="99">
        <v>0</v>
      </c>
      <c r="DD13" s="99">
        <v>0</v>
      </c>
      <c r="DE13" s="75">
        <v>0</v>
      </c>
      <c r="DF13" s="99">
        <v>0</v>
      </c>
      <c r="DG13" s="75">
        <v>0</v>
      </c>
      <c r="DH13" s="99">
        <v>0</v>
      </c>
      <c r="DI13" s="75">
        <v>0</v>
      </c>
      <c r="DJ13" s="99">
        <v>0</v>
      </c>
      <c r="DK13" s="75">
        <v>0</v>
      </c>
      <c r="DL13" s="75">
        <v>0</v>
      </c>
      <c r="DM13" s="75">
        <v>0</v>
      </c>
      <c r="DN13" s="75">
        <v>0</v>
      </c>
      <c r="DO13" s="75">
        <v>0</v>
      </c>
      <c r="DP13" s="75">
        <v>0</v>
      </c>
      <c r="DQ13" s="75">
        <v>0</v>
      </c>
      <c r="DR13" s="75">
        <v>0</v>
      </c>
      <c r="DS13" s="75">
        <v>0</v>
      </c>
      <c r="DT13" s="75">
        <v>0</v>
      </c>
      <c r="DU13" s="75">
        <v>0</v>
      </c>
      <c r="DV13" s="75">
        <v>0.503</v>
      </c>
      <c r="DW13" s="75">
        <v>0.35699999999999998</v>
      </c>
      <c r="DX13" s="75">
        <v>0.27700000000000002</v>
      </c>
      <c r="DY13" s="75">
        <v>0.503</v>
      </c>
      <c r="DZ13" s="75">
        <v>0.35699999999999998</v>
      </c>
      <c r="EA13" s="75">
        <v>0.27700000000000002</v>
      </c>
      <c r="EB13" s="75">
        <f>0.357+0.6465*(150-33)/1000</f>
        <v>0.43264049999999998</v>
      </c>
      <c r="EC13" s="75">
        <v>0.503</v>
      </c>
      <c r="ED13" s="75">
        <v>0.35699999999999998</v>
      </c>
      <c r="EE13" s="75">
        <v>0.27700000000000002</v>
      </c>
      <c r="EF13" s="75">
        <v>0</v>
      </c>
      <c r="EG13" s="75">
        <v>0</v>
      </c>
      <c r="EH13" s="75">
        <v>0</v>
      </c>
      <c r="EI13" s="75">
        <v>0</v>
      </c>
      <c r="EJ13" s="75">
        <v>0</v>
      </c>
      <c r="EK13" s="75">
        <v>0</v>
      </c>
      <c r="EL13" s="75">
        <v>0</v>
      </c>
      <c r="EM13" s="75">
        <v>0</v>
      </c>
      <c r="EN13" s="75">
        <v>0</v>
      </c>
      <c r="EO13" s="75">
        <v>0</v>
      </c>
      <c r="EP13" s="75">
        <v>0</v>
      </c>
      <c r="EQ13" s="75">
        <v>0</v>
      </c>
      <c r="ER13" s="75">
        <v>0</v>
      </c>
      <c r="ES13" s="75">
        <v>0</v>
      </c>
      <c r="ET13" s="75">
        <v>0</v>
      </c>
      <c r="EU13" s="75">
        <v>0</v>
      </c>
      <c r="EV13" s="75">
        <v>0</v>
      </c>
      <c r="EW13" s="75">
        <v>0</v>
      </c>
      <c r="EX13" s="75">
        <v>0</v>
      </c>
      <c r="EY13" s="75">
        <v>0</v>
      </c>
      <c r="EZ13" s="75">
        <v>0</v>
      </c>
      <c r="FA13" s="75">
        <v>0</v>
      </c>
      <c r="FB13" s="75">
        <v>0</v>
      </c>
      <c r="FC13" s="75">
        <v>0</v>
      </c>
      <c r="FD13" s="75">
        <v>0</v>
      </c>
      <c r="FE13" s="75">
        <v>0</v>
      </c>
      <c r="FF13" s="75">
        <v>0</v>
      </c>
      <c r="FG13" s="75">
        <v>0</v>
      </c>
      <c r="FH13" s="75">
        <v>0</v>
      </c>
      <c r="FI13" s="75">
        <v>0</v>
      </c>
      <c r="FJ13" s="75">
        <v>0</v>
      </c>
      <c r="FK13" s="75">
        <v>0</v>
      </c>
      <c r="FL13" s="75">
        <v>0</v>
      </c>
      <c r="FM13" s="75">
        <v>0</v>
      </c>
      <c r="FN13" s="75">
        <v>0</v>
      </c>
      <c r="FO13" s="75">
        <v>0</v>
      </c>
      <c r="FP13" s="75">
        <v>0</v>
      </c>
      <c r="FQ13" s="75">
        <v>0</v>
      </c>
      <c r="FR13" s="75">
        <v>0</v>
      </c>
      <c r="FS13" s="75">
        <v>0</v>
      </c>
    </row>
    <row r="14" spans="1:175" s="107" customFormat="1" x14ac:dyDescent="0.3">
      <c r="A14" s="171"/>
      <c r="B14" s="101" t="s">
        <v>135</v>
      </c>
      <c r="C14" s="102" t="s">
        <v>171</v>
      </c>
      <c r="D14" s="103" t="s">
        <v>537</v>
      </c>
      <c r="E14" s="104">
        <f>ROW(D14)-ROW($E$8)</f>
        <v>6</v>
      </c>
      <c r="F14" s="104">
        <v>1</v>
      </c>
      <c r="G14" s="104" t="s">
        <v>444</v>
      </c>
      <c r="H14" s="105">
        <f>H15/P15</f>
        <v>16019678.032611715</v>
      </c>
      <c r="I14" s="106" t="str">
        <f>B15</f>
        <v>Reactant14</v>
      </c>
      <c r="J14" s="107">
        <v>0</v>
      </c>
      <c r="K14" s="107">
        <v>1</v>
      </c>
      <c r="L14" s="107">
        <v>0</v>
      </c>
      <c r="M14" s="107">
        <v>0</v>
      </c>
      <c r="N14" s="107">
        <v>0</v>
      </c>
      <c r="O14" s="107">
        <v>20000</v>
      </c>
      <c r="P14" s="108">
        <v>0.43531733784270965</v>
      </c>
      <c r="Q14" s="108">
        <v>0.43531733784270965</v>
      </c>
      <c r="R14" s="108">
        <v>0.56999999999999995</v>
      </c>
      <c r="S14" s="108">
        <v>0.43531733784270965</v>
      </c>
      <c r="T14" s="108">
        <v>0.43531733784270965</v>
      </c>
      <c r="U14" s="108">
        <v>0.56999999999999995</v>
      </c>
      <c r="V14" s="108">
        <v>0.43531733784270965</v>
      </c>
      <c r="W14" s="108">
        <v>0.43531733784270965</v>
      </c>
      <c r="X14" s="108">
        <v>0.43531733784270965</v>
      </c>
      <c r="Y14" s="108">
        <v>0.56999999999999995</v>
      </c>
      <c r="Z14" s="109">
        <v>0.94348439947985208</v>
      </c>
      <c r="AA14" s="109">
        <v>0.94348439947985208</v>
      </c>
      <c r="AB14" s="109">
        <v>0.94348439947985208</v>
      </c>
      <c r="AC14" s="109">
        <v>0.94348439947985208</v>
      </c>
      <c r="AD14" s="109">
        <v>0.94348439947985208</v>
      </c>
      <c r="AE14" s="109">
        <v>0.94348439947985208</v>
      </c>
      <c r="AF14" s="109">
        <v>0.94348439947985208</v>
      </c>
      <c r="AG14" s="109">
        <v>0.94348439947985208</v>
      </c>
      <c r="AH14" s="109">
        <v>0.94348439947985208</v>
      </c>
      <c r="AI14" s="109">
        <v>0.94348439947985208</v>
      </c>
      <c r="AJ14" s="108">
        <v>0</v>
      </c>
      <c r="AK14" s="108">
        <v>0</v>
      </c>
      <c r="AL14" s="108">
        <v>0</v>
      </c>
      <c r="AM14" s="108">
        <v>0</v>
      </c>
      <c r="AN14" s="108">
        <v>0</v>
      </c>
      <c r="AO14" s="108">
        <v>0</v>
      </c>
      <c r="AP14" s="108">
        <v>0</v>
      </c>
      <c r="AQ14" s="108">
        <v>0</v>
      </c>
      <c r="AR14" s="108">
        <v>0</v>
      </c>
      <c r="AS14" s="108">
        <v>0</v>
      </c>
      <c r="AT14" s="110">
        <v>0.4</v>
      </c>
      <c r="AU14" s="110">
        <v>0.4</v>
      </c>
      <c r="AV14" s="110">
        <v>0.2</v>
      </c>
      <c r="AW14" s="110">
        <v>0.4</v>
      </c>
      <c r="AX14" s="110">
        <v>0.2</v>
      </c>
      <c r="AY14" s="110">
        <v>0.1</v>
      </c>
      <c r="AZ14" s="110">
        <v>0.1</v>
      </c>
      <c r="BA14" s="110">
        <v>0.1</v>
      </c>
      <c r="BB14" s="110">
        <v>0.1</v>
      </c>
      <c r="BC14" s="110">
        <v>0.1</v>
      </c>
      <c r="BD14" s="110">
        <v>0.2</v>
      </c>
      <c r="BE14" s="110">
        <v>0.2</v>
      </c>
      <c r="BF14" s="110">
        <v>0.2</v>
      </c>
      <c r="BG14" s="110">
        <v>0.6</v>
      </c>
      <c r="BH14" s="110">
        <v>1</v>
      </c>
      <c r="BI14" s="110">
        <v>1</v>
      </c>
      <c r="BJ14" s="110">
        <v>1</v>
      </c>
      <c r="BK14" s="110">
        <v>1</v>
      </c>
      <c r="BL14" s="110">
        <v>1</v>
      </c>
      <c r="BM14" s="110">
        <v>1</v>
      </c>
      <c r="BN14" s="110">
        <v>0.2</v>
      </c>
      <c r="BO14" s="110">
        <v>0.2</v>
      </c>
      <c r="BP14" s="110">
        <v>0.2</v>
      </c>
      <c r="BQ14" s="110">
        <v>0.6</v>
      </c>
      <c r="BR14" s="110">
        <v>1</v>
      </c>
      <c r="BS14" s="110">
        <v>1</v>
      </c>
      <c r="BT14" s="110">
        <v>1</v>
      </c>
      <c r="BU14" s="110">
        <v>1</v>
      </c>
      <c r="BV14" s="110">
        <v>1</v>
      </c>
      <c r="BW14" s="110">
        <v>1</v>
      </c>
      <c r="BX14" s="108">
        <v>-0.50749670990787743</v>
      </c>
      <c r="BY14" s="108">
        <v>-0.50749670990787743</v>
      </c>
      <c r="BZ14" s="108">
        <v>-0.50749670990787743</v>
      </c>
      <c r="CA14" s="108">
        <v>-0.50749670990787743</v>
      </c>
      <c r="CB14" s="108">
        <v>-0.50749670990787743</v>
      </c>
      <c r="CC14" s="108">
        <v>-0.50749670990787743</v>
      </c>
      <c r="CD14" s="108">
        <v>-0.50749670990787743</v>
      </c>
      <c r="CE14" s="108">
        <v>-0.50749670990787743</v>
      </c>
      <c r="CF14" s="108">
        <v>-0.50749670990787743</v>
      </c>
      <c r="CG14" s="108">
        <v>-0.50749670990787743</v>
      </c>
      <c r="CH14" s="105">
        <v>18309.859154929578</v>
      </c>
      <c r="CI14" s="105">
        <v>18309.859154929578</v>
      </c>
      <c r="CJ14" s="105">
        <v>18309.859154929578</v>
      </c>
      <c r="CK14" s="105">
        <v>18309.859154929578</v>
      </c>
      <c r="CL14" s="105">
        <v>18309.859154929578</v>
      </c>
      <c r="CM14" s="105">
        <v>18309.859154929578</v>
      </c>
      <c r="CN14" s="105">
        <v>18309.859154929578</v>
      </c>
      <c r="CO14" s="105">
        <v>18309.859154929578</v>
      </c>
      <c r="CP14" s="105">
        <v>18309.859154929578</v>
      </c>
      <c r="CQ14" s="105">
        <v>18309.859154929578</v>
      </c>
      <c r="CR14" s="111">
        <v>845.07042253521126</v>
      </c>
      <c r="CS14" s="111">
        <v>845.07042253521126</v>
      </c>
      <c r="CT14" s="111">
        <v>845.07042253521126</v>
      </c>
      <c r="CU14" s="111">
        <v>845.07042253521126</v>
      </c>
      <c r="CV14" s="111">
        <v>845.07042253521126</v>
      </c>
      <c r="CW14" s="111">
        <v>845.07042253521126</v>
      </c>
      <c r="CX14" s="111">
        <v>845.07042253521126</v>
      </c>
      <c r="CY14" s="111">
        <v>845.07042253521126</v>
      </c>
      <c r="CZ14" s="111">
        <v>845.07042253521126</v>
      </c>
      <c r="DA14" s="111">
        <v>845.07042253521126</v>
      </c>
      <c r="DB14" s="112">
        <v>0</v>
      </c>
      <c r="DC14" s="112">
        <v>0</v>
      </c>
      <c r="DD14" s="112">
        <v>0</v>
      </c>
      <c r="DE14" s="112">
        <v>0</v>
      </c>
      <c r="DF14" s="112">
        <v>0</v>
      </c>
      <c r="DG14" s="112">
        <v>0</v>
      </c>
      <c r="DH14" s="112">
        <v>0</v>
      </c>
      <c r="DI14" s="112">
        <v>0</v>
      </c>
      <c r="DJ14" s="112">
        <v>0</v>
      </c>
      <c r="DK14" s="112">
        <v>0</v>
      </c>
      <c r="DL14" s="112">
        <v>0</v>
      </c>
      <c r="DM14" s="112">
        <v>0</v>
      </c>
      <c r="DN14" s="112">
        <v>0</v>
      </c>
      <c r="DO14" s="112">
        <v>0</v>
      </c>
      <c r="DP14" s="112">
        <v>0</v>
      </c>
      <c r="DQ14" s="112">
        <v>0</v>
      </c>
      <c r="DR14" s="112">
        <v>0</v>
      </c>
      <c r="DS14" s="112">
        <v>0</v>
      </c>
      <c r="DT14" s="112">
        <v>0</v>
      </c>
      <c r="DU14" s="112">
        <v>0</v>
      </c>
      <c r="DV14" s="112">
        <v>0</v>
      </c>
      <c r="DW14" s="112">
        <v>0</v>
      </c>
      <c r="DX14" s="112">
        <v>0</v>
      </c>
      <c r="DY14" s="112">
        <v>0</v>
      </c>
      <c r="DZ14" s="112">
        <v>0</v>
      </c>
      <c r="EA14" s="112">
        <v>0</v>
      </c>
      <c r="EB14" s="112">
        <v>0</v>
      </c>
      <c r="EC14" s="112">
        <v>0</v>
      </c>
      <c r="ED14" s="112">
        <v>0</v>
      </c>
      <c r="EE14" s="112">
        <v>0</v>
      </c>
      <c r="EF14" s="107">
        <v>0</v>
      </c>
      <c r="EG14" s="107">
        <v>0</v>
      </c>
      <c r="EH14" s="107">
        <v>0</v>
      </c>
      <c r="EI14" s="107">
        <v>0</v>
      </c>
      <c r="EJ14" s="107">
        <v>0</v>
      </c>
      <c r="EK14" s="107">
        <v>0</v>
      </c>
      <c r="EL14" s="107">
        <v>0</v>
      </c>
      <c r="EM14" s="107">
        <v>0</v>
      </c>
      <c r="EN14" s="107">
        <v>0</v>
      </c>
      <c r="EO14" s="107">
        <v>0</v>
      </c>
      <c r="EP14" s="108">
        <v>0.27928510998307954</v>
      </c>
      <c r="EQ14" s="108">
        <v>0.27928510998307954</v>
      </c>
      <c r="ER14" s="108">
        <v>0.27928510998307954</v>
      </c>
      <c r="ES14" s="108">
        <v>0.27928510998307954</v>
      </c>
      <c r="ET14" s="108">
        <v>0.27928510998307954</v>
      </c>
      <c r="EU14" s="108">
        <v>0.27928510998307954</v>
      </c>
      <c r="EV14" s="108">
        <v>0.27928510998307954</v>
      </c>
      <c r="EW14" s="108">
        <v>0.27928510998307954</v>
      </c>
      <c r="EX14" s="108">
        <v>0.27928510998307954</v>
      </c>
      <c r="EY14" s="108">
        <v>0.27928510998307954</v>
      </c>
      <c r="EZ14" s="108">
        <v>0</v>
      </c>
      <c r="FA14" s="108">
        <v>0</v>
      </c>
      <c r="FB14" s="108">
        <v>0</v>
      </c>
      <c r="FC14" s="108">
        <v>0</v>
      </c>
      <c r="FD14" s="108">
        <v>0</v>
      </c>
      <c r="FE14" s="108">
        <v>0</v>
      </c>
      <c r="FF14" s="108">
        <v>0</v>
      </c>
      <c r="FG14" s="108">
        <v>0</v>
      </c>
      <c r="FH14" s="108">
        <v>0</v>
      </c>
      <c r="FI14" s="108">
        <v>0</v>
      </c>
      <c r="FJ14" s="107">
        <v>8.8495575221238937E-2</v>
      </c>
      <c r="FK14" s="107">
        <v>8.8495575221238937E-2</v>
      </c>
      <c r="FL14" s="107">
        <v>8.8495575221238937E-2</v>
      </c>
      <c r="FM14" s="107">
        <v>8.8495575221238937E-2</v>
      </c>
      <c r="FN14" s="107">
        <v>8.8495575221238937E-2</v>
      </c>
      <c r="FO14" s="107">
        <v>8.8495575221238937E-2</v>
      </c>
      <c r="FP14" s="107">
        <v>8.8495575221238937E-2</v>
      </c>
      <c r="FQ14" s="107">
        <v>8.8495575221238937E-2</v>
      </c>
      <c r="FR14" s="107">
        <v>8.8495575221238937E-2</v>
      </c>
      <c r="FS14" s="107">
        <v>8.8495575221238937E-2</v>
      </c>
    </row>
    <row r="15" spans="1:175" s="107" customFormat="1" x14ac:dyDescent="0.3">
      <c r="A15" s="171"/>
      <c r="B15" s="101" t="s">
        <v>446</v>
      </c>
      <c r="C15" s="104" t="s">
        <v>276</v>
      </c>
      <c r="D15" s="103" t="s">
        <v>447</v>
      </c>
      <c r="E15" s="104">
        <f t="shared" si="5"/>
        <v>7</v>
      </c>
      <c r="F15" s="104">
        <v>1</v>
      </c>
      <c r="G15" s="104" t="s">
        <v>447</v>
      </c>
      <c r="H15" s="105">
        <v>36800000</v>
      </c>
      <c r="I15" s="106" t="s">
        <v>12</v>
      </c>
      <c r="J15" s="107">
        <v>0</v>
      </c>
      <c r="K15" s="107">
        <v>0</v>
      </c>
      <c r="L15" s="107">
        <v>0</v>
      </c>
      <c r="M15" s="107">
        <v>0</v>
      </c>
      <c r="N15" s="107">
        <v>0</v>
      </c>
      <c r="O15" s="107">
        <v>40000</v>
      </c>
      <c r="P15" s="109">
        <f t="shared" ref="P15:Y15" si="14">1/P14</f>
        <v>2.2971747575129284</v>
      </c>
      <c r="Q15" s="109">
        <f t="shared" si="14"/>
        <v>2.2971747575129284</v>
      </c>
      <c r="R15" s="109">
        <f t="shared" si="14"/>
        <v>1.7543859649122808</v>
      </c>
      <c r="S15" s="109">
        <f t="shared" si="14"/>
        <v>2.2971747575129284</v>
      </c>
      <c r="T15" s="109">
        <f t="shared" si="14"/>
        <v>2.2971747575129284</v>
      </c>
      <c r="U15" s="109">
        <f t="shared" si="14"/>
        <v>1.7543859649122808</v>
      </c>
      <c r="V15" s="109">
        <f t="shared" si="14"/>
        <v>2.2971747575129284</v>
      </c>
      <c r="W15" s="109">
        <f t="shared" si="14"/>
        <v>2.2971747575129284</v>
      </c>
      <c r="X15" s="109">
        <f t="shared" si="14"/>
        <v>2.2971747575129284</v>
      </c>
      <c r="Y15" s="109">
        <f t="shared" si="14"/>
        <v>1.7543859649122808</v>
      </c>
      <c r="Z15" s="108">
        <v>0</v>
      </c>
      <c r="AA15" s="108">
        <v>0</v>
      </c>
      <c r="AB15" s="108">
        <v>0</v>
      </c>
      <c r="AC15" s="108">
        <v>0</v>
      </c>
      <c r="AD15" s="108">
        <v>0</v>
      </c>
      <c r="AE15" s="108">
        <v>0</v>
      </c>
      <c r="AF15" s="108">
        <v>0</v>
      </c>
      <c r="AG15" s="108">
        <v>0</v>
      </c>
      <c r="AH15" s="108">
        <v>0</v>
      </c>
      <c r="AI15" s="108">
        <v>0</v>
      </c>
      <c r="AJ15" s="108">
        <v>0</v>
      </c>
      <c r="AK15" s="108">
        <v>0</v>
      </c>
      <c r="AL15" s="108">
        <v>0</v>
      </c>
      <c r="AM15" s="108">
        <v>0</v>
      </c>
      <c r="AN15" s="108">
        <v>0</v>
      </c>
      <c r="AO15" s="108">
        <v>0</v>
      </c>
      <c r="AP15" s="108">
        <v>0</v>
      </c>
      <c r="AQ15" s="108">
        <v>0</v>
      </c>
      <c r="AR15" s="108">
        <v>0</v>
      </c>
      <c r="AS15" s="108">
        <v>0</v>
      </c>
      <c r="AT15" s="110">
        <v>0</v>
      </c>
      <c r="AU15" s="110">
        <v>0</v>
      </c>
      <c r="AV15" s="110">
        <v>0</v>
      </c>
      <c r="AW15" s="110">
        <v>0</v>
      </c>
      <c r="AX15" s="110">
        <v>0</v>
      </c>
      <c r="AY15" s="110">
        <v>0</v>
      </c>
      <c r="AZ15" s="110">
        <v>0</v>
      </c>
      <c r="BA15" s="110">
        <v>0</v>
      </c>
      <c r="BB15" s="110">
        <v>0</v>
      </c>
      <c r="BC15" s="110">
        <v>0</v>
      </c>
      <c r="BD15" s="110">
        <v>1</v>
      </c>
      <c r="BE15" s="110">
        <v>1</v>
      </c>
      <c r="BF15" s="110">
        <v>1</v>
      </c>
      <c r="BG15" s="110">
        <v>1</v>
      </c>
      <c r="BH15" s="110">
        <v>1</v>
      </c>
      <c r="BI15" s="110">
        <v>1</v>
      </c>
      <c r="BJ15" s="110">
        <v>1</v>
      </c>
      <c r="BK15" s="110">
        <v>1</v>
      </c>
      <c r="BL15" s="110">
        <v>1</v>
      </c>
      <c r="BM15" s="110">
        <v>1</v>
      </c>
      <c r="BN15" s="110">
        <v>1</v>
      </c>
      <c r="BO15" s="110">
        <v>1</v>
      </c>
      <c r="BP15" s="110">
        <v>1</v>
      </c>
      <c r="BQ15" s="110">
        <v>1</v>
      </c>
      <c r="BR15" s="110">
        <v>1</v>
      </c>
      <c r="BS15" s="110">
        <v>1</v>
      </c>
      <c r="BT15" s="110">
        <v>1</v>
      </c>
      <c r="BU15" s="110">
        <v>1</v>
      </c>
      <c r="BV15" s="110">
        <v>1</v>
      </c>
      <c r="BW15" s="110">
        <v>1</v>
      </c>
      <c r="BX15" s="113">
        <v>0</v>
      </c>
      <c r="BY15" s="113">
        <v>0</v>
      </c>
      <c r="BZ15" s="113">
        <v>0</v>
      </c>
      <c r="CA15" s="113">
        <v>0</v>
      </c>
      <c r="CB15" s="113">
        <v>0</v>
      </c>
      <c r="CC15" s="113">
        <v>0</v>
      </c>
      <c r="CD15" s="113">
        <v>0</v>
      </c>
      <c r="CE15" s="113">
        <v>0</v>
      </c>
      <c r="CF15" s="113">
        <v>0</v>
      </c>
      <c r="CG15" s="113">
        <v>0</v>
      </c>
      <c r="CH15" s="113">
        <v>0</v>
      </c>
      <c r="CI15" s="113">
        <v>0</v>
      </c>
      <c r="CJ15" s="113">
        <v>0</v>
      </c>
      <c r="CK15" s="113">
        <v>0</v>
      </c>
      <c r="CL15" s="113">
        <v>0</v>
      </c>
      <c r="CM15" s="113">
        <v>0</v>
      </c>
      <c r="CN15" s="113">
        <v>0</v>
      </c>
      <c r="CO15" s="113">
        <v>0</v>
      </c>
      <c r="CP15" s="113">
        <v>0</v>
      </c>
      <c r="CQ15" s="113">
        <v>0</v>
      </c>
      <c r="CR15" s="113">
        <v>0</v>
      </c>
      <c r="CS15" s="113">
        <v>0</v>
      </c>
      <c r="CT15" s="113">
        <v>0</v>
      </c>
      <c r="CU15" s="113">
        <v>0</v>
      </c>
      <c r="CV15" s="113">
        <v>0</v>
      </c>
      <c r="CW15" s="113">
        <v>0</v>
      </c>
      <c r="CX15" s="113">
        <v>0</v>
      </c>
      <c r="CY15" s="113">
        <v>0</v>
      </c>
      <c r="CZ15" s="113">
        <v>0</v>
      </c>
      <c r="DA15" s="113">
        <v>0</v>
      </c>
      <c r="DB15" s="112">
        <v>0</v>
      </c>
      <c r="DC15" s="112">
        <v>0</v>
      </c>
      <c r="DD15" s="112">
        <v>0</v>
      </c>
      <c r="DE15" s="107">
        <v>0</v>
      </c>
      <c r="DF15" s="112">
        <v>0</v>
      </c>
      <c r="DG15" s="107">
        <v>0</v>
      </c>
      <c r="DH15" s="112">
        <v>0</v>
      </c>
      <c r="DI15" s="107">
        <v>0</v>
      </c>
      <c r="DJ15" s="112">
        <v>0</v>
      </c>
      <c r="DK15" s="107">
        <v>0</v>
      </c>
      <c r="DL15" s="107">
        <v>0</v>
      </c>
      <c r="DM15" s="107">
        <v>0</v>
      </c>
      <c r="DN15" s="107">
        <v>0</v>
      </c>
      <c r="DO15" s="107">
        <v>0</v>
      </c>
      <c r="DP15" s="107">
        <v>0</v>
      </c>
      <c r="DQ15" s="107">
        <v>0</v>
      </c>
      <c r="DR15" s="107">
        <v>0</v>
      </c>
      <c r="DS15" s="107">
        <v>0</v>
      </c>
      <c r="DT15" s="107">
        <v>0</v>
      </c>
      <c r="DU15" s="107">
        <v>0</v>
      </c>
      <c r="DV15" s="107">
        <v>0.503</v>
      </c>
      <c r="DW15" s="107">
        <v>0.35699999999999998</v>
      </c>
      <c r="DX15" s="107">
        <v>0.27700000000000002</v>
      </c>
      <c r="DY15" s="107">
        <v>0.503</v>
      </c>
      <c r="DZ15" s="107">
        <v>0.35699999999999998</v>
      </c>
      <c r="EA15" s="107">
        <v>0.27700000000000002</v>
      </c>
      <c r="EB15" s="107">
        <v>0.35699999999999998</v>
      </c>
      <c r="EC15" s="107">
        <v>0.503</v>
      </c>
      <c r="ED15" s="107">
        <v>0.35699999999999998</v>
      </c>
      <c r="EE15" s="107">
        <v>0.27700000000000002</v>
      </c>
      <c r="EF15" s="107">
        <v>0</v>
      </c>
      <c r="EG15" s="107">
        <v>0</v>
      </c>
      <c r="EH15" s="107">
        <v>0</v>
      </c>
      <c r="EI15" s="107">
        <v>0</v>
      </c>
      <c r="EJ15" s="107">
        <v>0</v>
      </c>
      <c r="EK15" s="107">
        <v>0</v>
      </c>
      <c r="EL15" s="107">
        <v>0</v>
      </c>
      <c r="EM15" s="107">
        <v>0</v>
      </c>
      <c r="EN15" s="107">
        <v>0</v>
      </c>
      <c r="EO15" s="107">
        <v>0</v>
      </c>
      <c r="EP15" s="107">
        <v>0</v>
      </c>
      <c r="EQ15" s="107">
        <v>0</v>
      </c>
      <c r="ER15" s="107">
        <v>0</v>
      </c>
      <c r="ES15" s="107">
        <v>0</v>
      </c>
      <c r="ET15" s="107">
        <v>0</v>
      </c>
      <c r="EU15" s="107">
        <v>0</v>
      </c>
      <c r="EV15" s="107">
        <v>0</v>
      </c>
      <c r="EW15" s="107">
        <v>0</v>
      </c>
      <c r="EX15" s="107">
        <v>0</v>
      </c>
      <c r="EY15" s="107">
        <v>0</v>
      </c>
      <c r="EZ15" s="107">
        <v>0</v>
      </c>
      <c r="FA15" s="107">
        <v>0</v>
      </c>
      <c r="FB15" s="107">
        <v>0</v>
      </c>
      <c r="FC15" s="107">
        <v>0</v>
      </c>
      <c r="FD15" s="107">
        <v>0</v>
      </c>
      <c r="FE15" s="107">
        <v>0</v>
      </c>
      <c r="FF15" s="107">
        <v>0</v>
      </c>
      <c r="FG15" s="107">
        <v>0</v>
      </c>
      <c r="FH15" s="107">
        <v>0</v>
      </c>
      <c r="FI15" s="107">
        <v>0</v>
      </c>
      <c r="FJ15" s="107">
        <v>0</v>
      </c>
      <c r="FK15" s="107">
        <v>0</v>
      </c>
      <c r="FL15" s="107">
        <v>0</v>
      </c>
      <c r="FM15" s="107">
        <v>0</v>
      </c>
      <c r="FN15" s="107">
        <v>0</v>
      </c>
      <c r="FO15" s="107">
        <v>0</v>
      </c>
      <c r="FP15" s="107">
        <v>0</v>
      </c>
      <c r="FQ15" s="107">
        <v>0</v>
      </c>
      <c r="FR15" s="107">
        <v>0</v>
      </c>
      <c r="FS15" s="107">
        <v>0</v>
      </c>
    </row>
    <row r="16" spans="1:175" s="120" customFormat="1" x14ac:dyDescent="0.3">
      <c r="A16" s="171"/>
      <c r="B16" s="114" t="s">
        <v>515</v>
      </c>
      <c r="C16" s="115" t="s">
        <v>171</v>
      </c>
      <c r="D16" s="116" t="s">
        <v>538</v>
      </c>
      <c r="E16" s="117">
        <f t="shared" si="5"/>
        <v>8</v>
      </c>
      <c r="F16" s="117">
        <v>1</v>
      </c>
      <c r="G16" s="117" t="s">
        <v>513</v>
      </c>
      <c r="H16" s="118">
        <v>59860000</v>
      </c>
      <c r="I16" s="119" t="str">
        <f>B25</f>
        <v>Reactant11</v>
      </c>
      <c r="J16" s="120">
        <v>0</v>
      </c>
      <c r="K16" s="120">
        <v>1</v>
      </c>
      <c r="L16" s="120">
        <v>0</v>
      </c>
      <c r="M16" s="120">
        <v>0</v>
      </c>
      <c r="N16" s="120">
        <v>0</v>
      </c>
      <c r="O16" s="120">
        <v>20000</v>
      </c>
      <c r="P16" s="121">
        <f>0.96244</f>
        <v>0.96243999999999996</v>
      </c>
      <c r="Q16" s="121">
        <f t="shared" ref="Q16:Y16" si="15">0.96244</f>
        <v>0.96243999999999996</v>
      </c>
      <c r="R16" s="121">
        <f t="shared" si="15"/>
        <v>0.96243999999999996</v>
      </c>
      <c r="S16" s="121">
        <f t="shared" si="15"/>
        <v>0.96243999999999996</v>
      </c>
      <c r="T16" s="121">
        <f t="shared" si="15"/>
        <v>0.96243999999999996</v>
      </c>
      <c r="U16" s="121">
        <f t="shared" si="15"/>
        <v>0.96243999999999996</v>
      </c>
      <c r="V16" s="121">
        <f t="shared" si="15"/>
        <v>0.96243999999999996</v>
      </c>
      <c r="W16" s="121">
        <f t="shared" si="15"/>
        <v>0.96243999999999996</v>
      </c>
      <c r="X16" s="121">
        <f t="shared" si="15"/>
        <v>0.96243999999999996</v>
      </c>
      <c r="Y16" s="121">
        <f t="shared" si="15"/>
        <v>0.96243999999999996</v>
      </c>
      <c r="Z16" s="122">
        <v>1.390244</v>
      </c>
      <c r="AA16" s="122">
        <v>1.390244</v>
      </c>
      <c r="AB16" s="122">
        <v>1.390244</v>
      </c>
      <c r="AC16" s="122">
        <v>1.390244</v>
      </c>
      <c r="AD16" s="122">
        <v>1.390244</v>
      </c>
      <c r="AE16" s="122">
        <v>1.390244</v>
      </c>
      <c r="AF16" s="122">
        <v>1.390244</v>
      </c>
      <c r="AG16" s="122">
        <v>1.390244</v>
      </c>
      <c r="AH16" s="122">
        <v>1.390244</v>
      </c>
      <c r="AI16" s="122">
        <v>1.390244</v>
      </c>
      <c r="AJ16" s="122">
        <v>0</v>
      </c>
      <c r="AK16" s="122">
        <v>0</v>
      </c>
      <c r="AL16" s="122">
        <v>0</v>
      </c>
      <c r="AM16" s="122">
        <v>0</v>
      </c>
      <c r="AN16" s="122">
        <v>0</v>
      </c>
      <c r="AO16" s="122">
        <v>0</v>
      </c>
      <c r="AP16" s="122">
        <v>0</v>
      </c>
      <c r="AQ16" s="122">
        <v>0</v>
      </c>
      <c r="AR16" s="122">
        <v>0</v>
      </c>
      <c r="AS16" s="122">
        <v>0</v>
      </c>
      <c r="AT16" s="123">
        <v>0.4</v>
      </c>
      <c r="AU16" s="123">
        <v>0.4</v>
      </c>
      <c r="AV16" s="123">
        <v>0.2</v>
      </c>
      <c r="AW16" s="123">
        <v>0.4</v>
      </c>
      <c r="AX16" s="123">
        <v>0.2</v>
      </c>
      <c r="AY16" s="123">
        <v>0.1</v>
      </c>
      <c r="AZ16" s="123">
        <v>0.1</v>
      </c>
      <c r="BA16" s="123">
        <v>0.1</v>
      </c>
      <c r="BB16" s="123">
        <v>0.1</v>
      </c>
      <c r="BC16" s="123">
        <v>0.1</v>
      </c>
      <c r="BD16" s="123">
        <v>0.2</v>
      </c>
      <c r="BE16" s="123">
        <v>0.2</v>
      </c>
      <c r="BF16" s="123">
        <v>0.2</v>
      </c>
      <c r="BG16" s="123">
        <v>0.6</v>
      </c>
      <c r="BH16" s="123">
        <v>1</v>
      </c>
      <c r="BI16" s="123">
        <v>1</v>
      </c>
      <c r="BJ16" s="123">
        <v>1</v>
      </c>
      <c r="BK16" s="123">
        <v>1</v>
      </c>
      <c r="BL16" s="123">
        <v>1</v>
      </c>
      <c r="BM16" s="123">
        <v>1</v>
      </c>
      <c r="BN16" s="123">
        <v>0.2</v>
      </c>
      <c r="BO16" s="123">
        <v>0.2</v>
      </c>
      <c r="BP16" s="123">
        <v>0.2</v>
      </c>
      <c r="BQ16" s="123">
        <v>0.6</v>
      </c>
      <c r="BR16" s="123">
        <v>1</v>
      </c>
      <c r="BS16" s="123">
        <v>1</v>
      </c>
      <c r="BT16" s="123">
        <v>1</v>
      </c>
      <c r="BU16" s="123">
        <v>1</v>
      </c>
      <c r="BV16" s="123">
        <v>1</v>
      </c>
      <c r="BW16" s="123">
        <v>1</v>
      </c>
      <c r="BX16" s="124"/>
      <c r="BY16" s="124"/>
      <c r="BZ16" s="124"/>
      <c r="CA16" s="124"/>
      <c r="CB16" s="124">
        <v>4.0829269999999998</v>
      </c>
      <c r="CC16" s="124"/>
      <c r="CD16" s="124"/>
      <c r="CE16" s="124"/>
      <c r="CF16" s="124"/>
      <c r="CG16" s="124"/>
      <c r="CH16" s="118">
        <v>18309.859154929578</v>
      </c>
      <c r="CI16" s="118">
        <v>18309.859154929578</v>
      </c>
      <c r="CJ16" s="118">
        <v>18309.859154929578</v>
      </c>
      <c r="CK16" s="118">
        <v>18309.859154929578</v>
      </c>
      <c r="CL16" s="118">
        <v>18309.859154929578</v>
      </c>
      <c r="CM16" s="118">
        <v>18309.859154929578</v>
      </c>
      <c r="CN16" s="118">
        <v>18309.859154929578</v>
      </c>
      <c r="CO16" s="118">
        <v>18309.859154929578</v>
      </c>
      <c r="CP16" s="118">
        <v>18309.859154929578</v>
      </c>
      <c r="CQ16" s="118">
        <v>18309.859154929578</v>
      </c>
      <c r="CR16" s="125">
        <v>845.07042253521126</v>
      </c>
      <c r="CS16" s="125">
        <v>845.07042253521126</v>
      </c>
      <c r="CT16" s="125">
        <v>845.07042253521126</v>
      </c>
      <c r="CU16" s="125">
        <v>845.07042253521126</v>
      </c>
      <c r="CV16" s="125">
        <v>845.07042253521126</v>
      </c>
      <c r="CW16" s="125">
        <v>845.07042253521126</v>
      </c>
      <c r="CX16" s="125">
        <v>845.07042253521126</v>
      </c>
      <c r="CY16" s="125">
        <v>845.07042253521126</v>
      </c>
      <c r="CZ16" s="125">
        <v>845.07042253521126</v>
      </c>
      <c r="DA16" s="125">
        <v>845.07042253521126</v>
      </c>
      <c r="DB16" s="126">
        <v>0</v>
      </c>
      <c r="DC16" s="126">
        <v>0</v>
      </c>
      <c r="DD16" s="126">
        <v>0</v>
      </c>
      <c r="DE16" s="120">
        <v>0</v>
      </c>
      <c r="DF16" s="126">
        <v>0</v>
      </c>
      <c r="DG16" s="120">
        <v>0</v>
      </c>
      <c r="DH16" s="126">
        <v>0</v>
      </c>
      <c r="DI16" s="120">
        <v>0</v>
      </c>
      <c r="DJ16" s="126">
        <v>0</v>
      </c>
      <c r="DK16" s="120">
        <v>0</v>
      </c>
      <c r="DL16" s="120">
        <v>0</v>
      </c>
      <c r="DM16" s="120">
        <v>0</v>
      </c>
      <c r="DN16" s="120">
        <v>0</v>
      </c>
      <c r="DO16" s="120">
        <v>0</v>
      </c>
      <c r="DP16" s="120">
        <v>0</v>
      </c>
      <c r="DQ16" s="120">
        <v>0</v>
      </c>
      <c r="DR16" s="120">
        <v>0</v>
      </c>
      <c r="DS16" s="120">
        <v>0</v>
      </c>
      <c r="DT16" s="120">
        <v>0</v>
      </c>
      <c r="DU16" s="120">
        <v>0</v>
      </c>
      <c r="DV16" s="120">
        <v>0</v>
      </c>
      <c r="DW16" s="120">
        <v>0</v>
      </c>
      <c r="DX16" s="120">
        <v>0</v>
      </c>
      <c r="DY16" s="120">
        <v>0</v>
      </c>
      <c r="DZ16" s="120">
        <v>0</v>
      </c>
      <c r="EA16" s="120">
        <v>0</v>
      </c>
      <c r="EB16" s="120">
        <v>0</v>
      </c>
      <c r="EC16" s="120">
        <v>0</v>
      </c>
      <c r="ED16" s="120">
        <v>0</v>
      </c>
      <c r="EE16" s="120">
        <v>0</v>
      </c>
      <c r="EF16" s="120">
        <v>0</v>
      </c>
      <c r="EG16" s="120">
        <v>0</v>
      </c>
      <c r="EH16" s="120">
        <v>0</v>
      </c>
      <c r="EI16" s="120">
        <v>0</v>
      </c>
      <c r="EJ16" s="120">
        <v>0</v>
      </c>
      <c r="EK16" s="120">
        <v>0</v>
      </c>
      <c r="EL16" s="120">
        <v>0</v>
      </c>
      <c r="EM16" s="120">
        <v>0</v>
      </c>
      <c r="EN16" s="120">
        <v>0</v>
      </c>
      <c r="EO16" s="120">
        <v>0</v>
      </c>
      <c r="EP16" s="120">
        <v>0</v>
      </c>
      <c r="EQ16" s="120">
        <v>0</v>
      </c>
      <c r="ER16" s="120">
        <v>0</v>
      </c>
      <c r="ES16" s="120">
        <v>0</v>
      </c>
      <c r="ET16" s="120">
        <v>0</v>
      </c>
      <c r="EU16" s="120">
        <v>0</v>
      </c>
      <c r="EV16" s="120">
        <v>0</v>
      </c>
      <c r="EW16" s="120">
        <v>0</v>
      </c>
      <c r="EX16" s="120">
        <v>0</v>
      </c>
      <c r="EY16" s="120">
        <v>0</v>
      </c>
      <c r="EZ16" s="120">
        <v>0</v>
      </c>
      <c r="FA16" s="120">
        <v>0</v>
      </c>
      <c r="FB16" s="120">
        <v>0</v>
      </c>
      <c r="FC16" s="120">
        <v>0</v>
      </c>
      <c r="FD16" s="120">
        <v>0</v>
      </c>
      <c r="FE16" s="120">
        <v>0</v>
      </c>
      <c r="FF16" s="120">
        <v>0</v>
      </c>
      <c r="FG16" s="120">
        <v>0</v>
      </c>
      <c r="FH16" s="120">
        <v>0</v>
      </c>
      <c r="FI16" s="120">
        <v>0</v>
      </c>
      <c r="FJ16" s="120">
        <v>8.8495575221238937E-2</v>
      </c>
      <c r="FK16" s="120">
        <v>8.8495575221238937E-2</v>
      </c>
      <c r="FL16" s="120">
        <v>8.8495575221238937E-2</v>
      </c>
      <c r="FM16" s="120">
        <v>8.8495575221238937E-2</v>
      </c>
      <c r="FN16" s="120">
        <v>8.8495575221238937E-2</v>
      </c>
      <c r="FO16" s="120">
        <v>8.8495575221238937E-2</v>
      </c>
      <c r="FP16" s="120">
        <v>8.8495575221238937E-2</v>
      </c>
      <c r="FQ16" s="120">
        <v>8.8495575221238937E-2</v>
      </c>
      <c r="FR16" s="120">
        <v>8.8495575221238937E-2</v>
      </c>
      <c r="FS16" s="120">
        <v>8.8495575221238937E-2</v>
      </c>
    </row>
    <row r="17" spans="1:175" s="120" customFormat="1" x14ac:dyDescent="0.3">
      <c r="A17" s="171"/>
      <c r="B17" s="114" t="s">
        <v>135</v>
      </c>
      <c r="C17" s="117" t="s">
        <v>276</v>
      </c>
      <c r="D17" s="116" t="s">
        <v>514</v>
      </c>
      <c r="E17" s="117">
        <f t="shared" si="5"/>
        <v>9</v>
      </c>
      <c r="F17" s="117">
        <v>1</v>
      </c>
      <c r="G17" s="117" t="s">
        <v>514</v>
      </c>
      <c r="H17" s="118">
        <v>0</v>
      </c>
      <c r="I17" s="119" t="str">
        <f>B16</f>
        <v>Product/Reactant15</v>
      </c>
      <c r="J17" s="120">
        <v>0</v>
      </c>
      <c r="K17" s="120">
        <v>0</v>
      </c>
      <c r="L17" s="120">
        <v>0</v>
      </c>
      <c r="M17" s="120">
        <v>0</v>
      </c>
      <c r="N17" s="120">
        <v>0</v>
      </c>
      <c r="O17" s="120">
        <v>40000</v>
      </c>
      <c r="P17" s="121">
        <v>0.84146341258179658</v>
      </c>
      <c r="Q17" s="121">
        <v>0.84146341258179658</v>
      </c>
      <c r="R17" s="121">
        <v>0.84146341258179658</v>
      </c>
      <c r="S17" s="121">
        <v>0.84146341258179658</v>
      </c>
      <c r="T17" s="121">
        <v>0.84146341258179658</v>
      </c>
      <c r="U17" s="121">
        <v>0.84146341258179658</v>
      </c>
      <c r="V17" s="121">
        <v>0.84146341258179658</v>
      </c>
      <c r="W17" s="121">
        <v>0.84146341258179658</v>
      </c>
      <c r="X17" s="121">
        <v>0.84146341258179658</v>
      </c>
      <c r="Y17" s="121">
        <v>0.84146341258179658</v>
      </c>
      <c r="Z17" s="122">
        <v>0</v>
      </c>
      <c r="AA17" s="122">
        <v>0</v>
      </c>
      <c r="AB17" s="122">
        <v>0</v>
      </c>
      <c r="AC17" s="122">
        <v>0</v>
      </c>
      <c r="AD17" s="122">
        <v>0</v>
      </c>
      <c r="AE17" s="122">
        <v>0</v>
      </c>
      <c r="AF17" s="122">
        <v>0</v>
      </c>
      <c r="AG17" s="122">
        <v>0</v>
      </c>
      <c r="AH17" s="122">
        <v>0</v>
      </c>
      <c r="AI17" s="122">
        <v>0</v>
      </c>
      <c r="AJ17" s="122">
        <v>0</v>
      </c>
      <c r="AK17" s="122">
        <v>0</v>
      </c>
      <c r="AL17" s="122">
        <v>0</v>
      </c>
      <c r="AM17" s="122">
        <v>0</v>
      </c>
      <c r="AN17" s="122">
        <v>0</v>
      </c>
      <c r="AO17" s="122">
        <v>0</v>
      </c>
      <c r="AP17" s="122">
        <v>0</v>
      </c>
      <c r="AQ17" s="122">
        <v>0</v>
      </c>
      <c r="AR17" s="122">
        <v>0</v>
      </c>
      <c r="AS17" s="122">
        <v>0</v>
      </c>
      <c r="AT17" s="123">
        <v>0</v>
      </c>
      <c r="AU17" s="123">
        <v>0</v>
      </c>
      <c r="AV17" s="123">
        <v>0</v>
      </c>
      <c r="AW17" s="123">
        <v>0</v>
      </c>
      <c r="AX17" s="123">
        <v>0</v>
      </c>
      <c r="AY17" s="123">
        <v>0</v>
      </c>
      <c r="AZ17" s="123">
        <v>0</v>
      </c>
      <c r="BA17" s="123">
        <v>0</v>
      </c>
      <c r="BB17" s="123">
        <v>0</v>
      </c>
      <c r="BC17" s="123">
        <v>0</v>
      </c>
      <c r="BD17" s="123">
        <v>1</v>
      </c>
      <c r="BE17" s="123">
        <v>1</v>
      </c>
      <c r="BF17" s="123">
        <v>1</v>
      </c>
      <c r="BG17" s="123">
        <v>1</v>
      </c>
      <c r="BH17" s="123">
        <v>1</v>
      </c>
      <c r="BI17" s="123">
        <v>1</v>
      </c>
      <c r="BJ17" s="123">
        <v>1</v>
      </c>
      <c r="BK17" s="123">
        <v>1</v>
      </c>
      <c r="BL17" s="123">
        <v>1</v>
      </c>
      <c r="BM17" s="123">
        <v>1</v>
      </c>
      <c r="BN17" s="123">
        <v>1</v>
      </c>
      <c r="BO17" s="123">
        <v>1</v>
      </c>
      <c r="BP17" s="123">
        <v>1</v>
      </c>
      <c r="BQ17" s="123">
        <v>1</v>
      </c>
      <c r="BR17" s="123">
        <v>1</v>
      </c>
      <c r="BS17" s="123">
        <v>1</v>
      </c>
      <c r="BT17" s="123">
        <v>1</v>
      </c>
      <c r="BU17" s="123">
        <v>1</v>
      </c>
      <c r="BV17" s="123">
        <v>1</v>
      </c>
      <c r="BW17" s="123">
        <v>1</v>
      </c>
      <c r="BX17" s="124">
        <v>0</v>
      </c>
      <c r="BY17" s="124">
        <v>0</v>
      </c>
      <c r="BZ17" s="124">
        <v>0</v>
      </c>
      <c r="CA17" s="124">
        <v>0</v>
      </c>
      <c r="CB17" s="124">
        <v>0</v>
      </c>
      <c r="CC17" s="124">
        <v>0</v>
      </c>
      <c r="CD17" s="124">
        <v>0</v>
      </c>
      <c r="CE17" s="124">
        <v>0</v>
      </c>
      <c r="CF17" s="124">
        <v>0</v>
      </c>
      <c r="CG17" s="124">
        <v>0</v>
      </c>
      <c r="CH17" s="124">
        <v>0</v>
      </c>
      <c r="CI17" s="124">
        <v>0</v>
      </c>
      <c r="CJ17" s="124">
        <v>0</v>
      </c>
      <c r="CK17" s="124">
        <v>0</v>
      </c>
      <c r="CL17" s="124">
        <v>0</v>
      </c>
      <c r="CM17" s="124">
        <v>0</v>
      </c>
      <c r="CN17" s="124">
        <v>0</v>
      </c>
      <c r="CO17" s="124">
        <v>0</v>
      </c>
      <c r="CP17" s="124">
        <v>0</v>
      </c>
      <c r="CQ17" s="124">
        <v>0</v>
      </c>
      <c r="CR17" s="124">
        <v>0</v>
      </c>
      <c r="CS17" s="124">
        <v>0</v>
      </c>
      <c r="CT17" s="124">
        <v>0</v>
      </c>
      <c r="CU17" s="124">
        <v>0</v>
      </c>
      <c r="CV17" s="124">
        <v>0</v>
      </c>
      <c r="CW17" s="124">
        <v>0</v>
      </c>
      <c r="CX17" s="124">
        <v>0</v>
      </c>
      <c r="CY17" s="124">
        <v>0</v>
      </c>
      <c r="CZ17" s="124">
        <v>0</v>
      </c>
      <c r="DA17" s="124">
        <v>0</v>
      </c>
      <c r="DB17" s="126">
        <v>0</v>
      </c>
      <c r="DC17" s="126">
        <v>0</v>
      </c>
      <c r="DD17" s="126">
        <v>0</v>
      </c>
      <c r="DE17" s="120">
        <v>0</v>
      </c>
      <c r="DF17" s="126">
        <v>0</v>
      </c>
      <c r="DG17" s="120">
        <v>0</v>
      </c>
      <c r="DH17" s="126">
        <v>0</v>
      </c>
      <c r="DI17" s="120">
        <v>0</v>
      </c>
      <c r="DJ17" s="126">
        <v>0</v>
      </c>
      <c r="DK17" s="120">
        <v>0</v>
      </c>
      <c r="DL17" s="120">
        <v>0</v>
      </c>
      <c r="DM17" s="120">
        <v>0</v>
      </c>
      <c r="DN17" s="120">
        <v>0</v>
      </c>
      <c r="DO17" s="120">
        <v>0</v>
      </c>
      <c r="DP17" s="120">
        <v>0</v>
      </c>
      <c r="DQ17" s="120">
        <v>0</v>
      </c>
      <c r="DR17" s="120">
        <v>0</v>
      </c>
      <c r="DS17" s="120">
        <v>0</v>
      </c>
      <c r="DT17" s="120">
        <v>0</v>
      </c>
      <c r="DU17" s="120">
        <v>0</v>
      </c>
      <c r="DV17" s="120">
        <v>0.503</v>
      </c>
      <c r="DW17" s="120">
        <v>0.35699999999999998</v>
      </c>
      <c r="DX17" s="120">
        <v>0.27700000000000002</v>
      </c>
      <c r="DY17" s="120">
        <v>0.503</v>
      </c>
      <c r="DZ17" s="120">
        <v>0.35699999999999998</v>
      </c>
      <c r="EA17" s="120">
        <v>0.27700000000000002</v>
      </c>
      <c r="EB17" s="120">
        <v>0.35699999999999998</v>
      </c>
      <c r="EC17" s="120">
        <v>0.503</v>
      </c>
      <c r="ED17" s="120">
        <v>0.35699999999999998</v>
      </c>
      <c r="EE17" s="120">
        <v>0.27700000000000002</v>
      </c>
      <c r="EF17" s="120">
        <v>0</v>
      </c>
      <c r="EG17" s="120">
        <v>0</v>
      </c>
      <c r="EH17" s="120">
        <v>0</v>
      </c>
      <c r="EI17" s="120">
        <v>0</v>
      </c>
      <c r="EJ17" s="120">
        <v>0</v>
      </c>
      <c r="EK17" s="120">
        <v>0</v>
      </c>
      <c r="EL17" s="120">
        <v>0</v>
      </c>
      <c r="EM17" s="120">
        <v>0</v>
      </c>
      <c r="EN17" s="120">
        <v>0</v>
      </c>
      <c r="EO17" s="120">
        <v>0</v>
      </c>
      <c r="EP17" s="120">
        <v>0</v>
      </c>
      <c r="EQ17" s="120">
        <v>0</v>
      </c>
      <c r="ER17" s="120">
        <v>0</v>
      </c>
      <c r="ES17" s="120">
        <v>0</v>
      </c>
      <c r="ET17" s="120">
        <v>0</v>
      </c>
      <c r="EU17" s="120">
        <v>0</v>
      </c>
      <c r="EV17" s="120">
        <v>0</v>
      </c>
      <c r="EW17" s="120">
        <v>0</v>
      </c>
      <c r="EX17" s="120">
        <v>0</v>
      </c>
      <c r="EY17" s="120">
        <v>0</v>
      </c>
      <c r="EZ17" s="120">
        <v>0</v>
      </c>
      <c r="FA17" s="120">
        <v>0</v>
      </c>
      <c r="FB17" s="120">
        <v>0</v>
      </c>
      <c r="FC17" s="120">
        <v>0</v>
      </c>
      <c r="FD17" s="120">
        <v>0</v>
      </c>
      <c r="FE17" s="120">
        <v>0</v>
      </c>
      <c r="FF17" s="120">
        <v>0</v>
      </c>
      <c r="FG17" s="120">
        <v>0</v>
      </c>
      <c r="FH17" s="120">
        <v>0</v>
      </c>
      <c r="FI17" s="120">
        <v>0</v>
      </c>
      <c r="FJ17" s="120">
        <v>0</v>
      </c>
      <c r="FK17" s="120">
        <v>0</v>
      </c>
      <c r="FL17" s="120">
        <v>0</v>
      </c>
      <c r="FM17" s="120">
        <v>0</v>
      </c>
      <c r="FN17" s="120">
        <v>0</v>
      </c>
      <c r="FO17" s="120">
        <v>0</v>
      </c>
      <c r="FP17" s="120">
        <v>0</v>
      </c>
      <c r="FQ17" s="120">
        <v>0</v>
      </c>
      <c r="FR17" s="120">
        <v>0</v>
      </c>
      <c r="FS17" s="120">
        <v>0</v>
      </c>
    </row>
    <row r="18" spans="1:175" s="155" customFormat="1" x14ac:dyDescent="0.3">
      <c r="A18" s="171"/>
      <c r="B18" s="150" t="s">
        <v>524</v>
      </c>
      <c r="C18" s="151" t="s">
        <v>171</v>
      </c>
      <c r="D18" s="152" t="s">
        <v>539</v>
      </c>
      <c r="E18" s="151">
        <f t="shared" si="5"/>
        <v>10</v>
      </c>
      <c r="F18" s="151">
        <v>1</v>
      </c>
      <c r="G18" s="151" t="s">
        <v>525</v>
      </c>
      <c r="H18" s="153">
        <f>H19/P19</f>
        <v>38444252.376836643</v>
      </c>
      <c r="I18" s="154" t="str">
        <f>B32</f>
        <v>Reactant2</v>
      </c>
      <c r="J18" s="155">
        <v>0</v>
      </c>
      <c r="K18" s="155">
        <v>1</v>
      </c>
      <c r="L18" s="155">
        <v>1</v>
      </c>
      <c r="M18" s="155">
        <v>0</v>
      </c>
      <c r="N18" s="155">
        <v>0</v>
      </c>
      <c r="O18" s="155">
        <v>20000</v>
      </c>
      <c r="P18" s="156">
        <v>13.68</v>
      </c>
      <c r="Q18" s="156">
        <v>13.68</v>
      </c>
      <c r="R18" s="156">
        <v>13.68</v>
      </c>
      <c r="S18" s="156">
        <v>13.68</v>
      </c>
      <c r="T18" s="156">
        <v>13.68</v>
      </c>
      <c r="U18" s="156">
        <v>13.68</v>
      </c>
      <c r="V18" s="156">
        <v>13.68</v>
      </c>
      <c r="W18" s="156">
        <v>13.68</v>
      </c>
      <c r="X18" s="156">
        <v>13.68</v>
      </c>
      <c r="Y18" s="156">
        <v>13.68</v>
      </c>
      <c r="Z18" s="157">
        <v>0.84187420178799477</v>
      </c>
      <c r="AA18" s="157">
        <v>0.84187420178799477</v>
      </c>
      <c r="AB18" s="157">
        <v>0.84187420178799477</v>
      </c>
      <c r="AC18" s="157">
        <v>0.84187420178799477</v>
      </c>
      <c r="AD18" s="157">
        <v>0.84187420178799477</v>
      </c>
      <c r="AE18" s="157">
        <v>0.84187420178799477</v>
      </c>
      <c r="AF18" s="157">
        <v>0.84187420178799477</v>
      </c>
      <c r="AG18" s="157">
        <v>0.84187420178799477</v>
      </c>
      <c r="AH18" s="157">
        <v>0.84187420178799477</v>
      </c>
      <c r="AI18" s="157">
        <v>0.84187420178799477</v>
      </c>
      <c r="AJ18" s="157">
        <v>0</v>
      </c>
      <c r="AK18" s="157">
        <v>0</v>
      </c>
      <c r="AL18" s="157">
        <v>0</v>
      </c>
      <c r="AM18" s="157">
        <v>0</v>
      </c>
      <c r="AN18" s="157">
        <v>0</v>
      </c>
      <c r="AO18" s="157">
        <v>0</v>
      </c>
      <c r="AP18" s="157">
        <v>0</v>
      </c>
      <c r="AQ18" s="157">
        <v>0</v>
      </c>
      <c r="AR18" s="157">
        <v>0</v>
      </c>
      <c r="AS18" s="157">
        <v>0</v>
      </c>
      <c r="AT18" s="158">
        <v>0.4</v>
      </c>
      <c r="AU18" s="158">
        <v>0.4</v>
      </c>
      <c r="AV18" s="158">
        <v>0.2</v>
      </c>
      <c r="AW18" s="158">
        <v>0.4</v>
      </c>
      <c r="AX18" s="158">
        <v>0.2</v>
      </c>
      <c r="AY18" s="158">
        <v>0.1</v>
      </c>
      <c r="AZ18" s="158">
        <v>0.1</v>
      </c>
      <c r="BA18" s="158">
        <v>0.1</v>
      </c>
      <c r="BB18" s="158">
        <v>0.1</v>
      </c>
      <c r="BC18" s="158">
        <v>0.1</v>
      </c>
      <c r="BD18" s="158">
        <v>0.2</v>
      </c>
      <c r="BE18" s="158">
        <v>0.2</v>
      </c>
      <c r="BF18" s="158">
        <v>0.2</v>
      </c>
      <c r="BG18" s="158">
        <v>0.6</v>
      </c>
      <c r="BH18" s="158">
        <v>1</v>
      </c>
      <c r="BI18" s="158">
        <v>1</v>
      </c>
      <c r="BJ18" s="158">
        <v>1</v>
      </c>
      <c r="BK18" s="158">
        <v>1</v>
      </c>
      <c r="BL18" s="158">
        <v>1</v>
      </c>
      <c r="BM18" s="158">
        <v>1</v>
      </c>
      <c r="BN18" s="158">
        <v>0.2</v>
      </c>
      <c r="BO18" s="158">
        <v>0.2</v>
      </c>
      <c r="BP18" s="158">
        <v>0.2</v>
      </c>
      <c r="BQ18" s="158">
        <v>0.6</v>
      </c>
      <c r="BR18" s="158">
        <v>1</v>
      </c>
      <c r="BS18" s="158">
        <v>1</v>
      </c>
      <c r="BT18" s="158">
        <v>1</v>
      </c>
      <c r="BU18" s="158">
        <v>1</v>
      </c>
      <c r="BV18" s="158">
        <v>1</v>
      </c>
      <c r="BW18" s="158">
        <v>1</v>
      </c>
      <c r="BX18" s="161">
        <v>-0.12707499999999999</v>
      </c>
      <c r="BY18" s="161">
        <v>-0.12707499999999999</v>
      </c>
      <c r="BZ18" s="161">
        <v>-0.12707499999999999</v>
      </c>
      <c r="CA18" s="161">
        <v>-0.12707499999999999</v>
      </c>
      <c r="CB18" s="161">
        <v>-0.12707499999999999</v>
      </c>
      <c r="CC18" s="161">
        <v>-0.12707499999999999</v>
      </c>
      <c r="CD18" s="161">
        <v>-0.12707499999999999</v>
      </c>
      <c r="CE18" s="161">
        <v>-0.12707499999999999</v>
      </c>
      <c r="CF18" s="161">
        <v>-0.12707499999999999</v>
      </c>
      <c r="CG18" s="161">
        <v>-0.12707499999999999</v>
      </c>
      <c r="CH18" s="162">
        <f>CI18*1</f>
        <v>24313.644636015328</v>
      </c>
      <c r="CI18" s="162">
        <v>24313.644636015328</v>
      </c>
      <c r="CJ18" s="159">
        <f>CI18*0.5</f>
        <v>12156.822318007664</v>
      </c>
      <c r="CK18" s="159">
        <f>CL18*1.2</f>
        <v>16196.77011494253</v>
      </c>
      <c r="CL18" s="162">
        <v>13497.308429118775</v>
      </c>
      <c r="CM18" s="159">
        <f>CL18*0.8</f>
        <v>10797.84674329502</v>
      </c>
      <c r="CN18" s="159">
        <v>9799.4157088122611</v>
      </c>
      <c r="CO18" s="159">
        <f>CP18*1.2</f>
        <v>8098.3850574712651</v>
      </c>
      <c r="CP18" s="159">
        <v>6748.6542145593876</v>
      </c>
      <c r="CQ18" s="159">
        <f>CP18*0.8</f>
        <v>5398.9233716475101</v>
      </c>
      <c r="CR18" s="159">
        <f>CS18*1.1</f>
        <v>294.90694444444449</v>
      </c>
      <c r="CS18" s="159">
        <v>268.09722222222223</v>
      </c>
      <c r="CT18" s="159">
        <f>CS18*0.9</f>
        <v>241.28750000000002</v>
      </c>
      <c r="CU18" s="159">
        <f>CV18*1.1</f>
        <v>198.29949712643679</v>
      </c>
      <c r="CV18" s="159">
        <v>180.27227011494253</v>
      </c>
      <c r="CW18" s="159">
        <f>CV18*0.9</f>
        <v>162.24504310344827</v>
      </c>
      <c r="CX18" s="159">
        <v>175.64990421455937</v>
      </c>
      <c r="CY18" s="159">
        <f>CZ18*1.1</f>
        <v>198.29949712643679</v>
      </c>
      <c r="CZ18" s="159">
        <v>180.27227011494253</v>
      </c>
      <c r="DA18" s="159">
        <f>CZ18*0.9</f>
        <v>162.24504310344827</v>
      </c>
      <c r="DB18" s="163">
        <f>DC18*1.1</f>
        <v>0.10372589080459771</v>
      </c>
      <c r="DC18" s="163">
        <v>9.4296264367816088E-2</v>
      </c>
      <c r="DD18" s="163">
        <f>DC18*0.9</f>
        <v>8.486663793103448E-2</v>
      </c>
      <c r="DE18" s="156">
        <f>DF18*1.1</f>
        <v>6.9150593869731797E-2</v>
      </c>
      <c r="DF18" s="163">
        <v>6.2864176245210721E-2</v>
      </c>
      <c r="DG18" s="156">
        <f>DF18*0.9</f>
        <v>5.6577758620689651E-2</v>
      </c>
      <c r="DH18" s="163">
        <f>DF18</f>
        <v>6.2864176245210721E-2</v>
      </c>
      <c r="DI18" s="156">
        <f>DJ18*1.1</f>
        <v>6.9150593869731797E-2</v>
      </c>
      <c r="DJ18" s="163">
        <v>6.2864176245210721E-2</v>
      </c>
      <c r="DK18" s="156">
        <f>DJ18*0.9</f>
        <v>5.6577758620689651E-2</v>
      </c>
      <c r="DL18" s="155">
        <v>0</v>
      </c>
      <c r="DM18" s="155">
        <v>0</v>
      </c>
      <c r="DN18" s="155">
        <v>0</v>
      </c>
      <c r="DO18" s="155">
        <v>0</v>
      </c>
      <c r="DP18" s="155">
        <v>0</v>
      </c>
      <c r="DQ18" s="155">
        <v>0</v>
      </c>
      <c r="DR18" s="155">
        <v>0</v>
      </c>
      <c r="DS18" s="155">
        <v>0</v>
      </c>
      <c r="DT18" s="155">
        <v>0</v>
      </c>
      <c r="DU18" s="155">
        <v>0</v>
      </c>
      <c r="DV18" s="155">
        <v>0</v>
      </c>
      <c r="DW18" s="155">
        <v>0</v>
      </c>
      <c r="DX18" s="155">
        <v>0</v>
      </c>
      <c r="DY18" s="155">
        <v>0</v>
      </c>
      <c r="DZ18" s="155">
        <v>0</v>
      </c>
      <c r="EA18" s="155">
        <v>0</v>
      </c>
      <c r="EB18" s="155">
        <v>0</v>
      </c>
      <c r="EC18" s="155">
        <v>0</v>
      </c>
      <c r="ED18" s="155">
        <v>0</v>
      </c>
      <c r="EE18" s="155">
        <v>0</v>
      </c>
      <c r="EF18" s="155">
        <v>0</v>
      </c>
      <c r="EG18" s="155">
        <v>0</v>
      </c>
      <c r="EH18" s="155">
        <v>0</v>
      </c>
      <c r="EI18" s="155">
        <v>0</v>
      </c>
      <c r="EJ18" s="155">
        <v>0</v>
      </c>
      <c r="EK18" s="155">
        <v>0</v>
      </c>
      <c r="EL18" s="155">
        <v>0</v>
      </c>
      <c r="EM18" s="155">
        <v>0</v>
      </c>
      <c r="EN18" s="155">
        <v>0</v>
      </c>
      <c r="EO18" s="155">
        <v>0</v>
      </c>
      <c r="EP18" s="155">
        <v>0</v>
      </c>
      <c r="EQ18" s="155">
        <v>0</v>
      </c>
      <c r="ER18" s="155">
        <v>0</v>
      </c>
      <c r="ES18" s="155">
        <v>0</v>
      </c>
      <c r="ET18" s="155">
        <v>0</v>
      </c>
      <c r="EU18" s="155">
        <v>0</v>
      </c>
      <c r="EV18" s="155">
        <v>0</v>
      </c>
      <c r="EW18" s="155">
        <v>0</v>
      </c>
      <c r="EX18" s="155">
        <v>0</v>
      </c>
      <c r="EY18" s="155">
        <v>0</v>
      </c>
      <c r="EZ18" s="155">
        <v>0</v>
      </c>
      <c r="FA18" s="155">
        <v>0</v>
      </c>
      <c r="FB18" s="155">
        <v>0</v>
      </c>
      <c r="FC18" s="155">
        <v>0</v>
      </c>
      <c r="FD18" s="155">
        <v>0</v>
      </c>
      <c r="FE18" s="155">
        <v>0</v>
      </c>
      <c r="FF18" s="155">
        <v>0</v>
      </c>
      <c r="FG18" s="155">
        <v>0</v>
      </c>
      <c r="FH18" s="155">
        <v>0</v>
      </c>
      <c r="FI18" s="155">
        <v>0</v>
      </c>
      <c r="FJ18" s="155">
        <v>8.8495575221238937E-2</v>
      </c>
      <c r="FK18" s="155">
        <v>8.8495575221238937E-2</v>
      </c>
      <c r="FL18" s="155">
        <v>8.8495575221238937E-2</v>
      </c>
      <c r="FM18" s="155">
        <v>8.8495575221238937E-2</v>
      </c>
      <c r="FN18" s="155">
        <v>8.8495575221238937E-2</v>
      </c>
      <c r="FO18" s="155">
        <v>8.8495575221238937E-2</v>
      </c>
      <c r="FP18" s="155">
        <v>8.8495575221238937E-2</v>
      </c>
      <c r="FQ18" s="155">
        <v>8.8495575221238937E-2</v>
      </c>
      <c r="FR18" s="155">
        <v>8.8495575221238937E-2</v>
      </c>
      <c r="FS18" s="155">
        <v>8.8495575221238937E-2</v>
      </c>
    </row>
    <row r="19" spans="1:175" s="155" customFormat="1" x14ac:dyDescent="0.3">
      <c r="A19" s="171"/>
      <c r="B19" s="150" t="s">
        <v>135</v>
      </c>
      <c r="C19" s="151" t="s">
        <v>276</v>
      </c>
      <c r="D19" s="152" t="s">
        <v>527</v>
      </c>
      <c r="E19" s="151">
        <f t="shared" si="5"/>
        <v>11</v>
      </c>
      <c r="F19" s="151">
        <v>1</v>
      </c>
      <c r="G19" s="151" t="s">
        <v>527</v>
      </c>
      <c r="H19" s="153">
        <f>H20</f>
        <v>44480000</v>
      </c>
      <c r="I19" s="154" t="str">
        <f>B18</f>
        <v>Product/Reactant16</v>
      </c>
      <c r="J19" s="155">
        <v>0</v>
      </c>
      <c r="K19" s="155">
        <v>0</v>
      </c>
      <c r="L19" s="155">
        <v>0</v>
      </c>
      <c r="M19" s="155">
        <v>0</v>
      </c>
      <c r="N19" s="155">
        <v>0</v>
      </c>
      <c r="O19" s="155">
        <v>40000</v>
      </c>
      <c r="P19" s="156">
        <v>1.157</v>
      </c>
      <c r="Q19" s="156">
        <v>1.157</v>
      </c>
      <c r="R19" s="156">
        <v>1.157</v>
      </c>
      <c r="S19" s="156">
        <v>1.157</v>
      </c>
      <c r="T19" s="156">
        <v>1.157</v>
      </c>
      <c r="U19" s="156">
        <v>1.157</v>
      </c>
      <c r="V19" s="156">
        <v>1.157</v>
      </c>
      <c r="W19" s="156">
        <v>1.157</v>
      </c>
      <c r="X19" s="156">
        <v>1.157</v>
      </c>
      <c r="Y19" s="156">
        <v>1.157</v>
      </c>
      <c r="Z19" s="157">
        <v>0</v>
      </c>
      <c r="AA19" s="157">
        <v>0</v>
      </c>
      <c r="AB19" s="157">
        <v>0</v>
      </c>
      <c r="AC19" s="157">
        <v>0</v>
      </c>
      <c r="AD19" s="157">
        <v>0</v>
      </c>
      <c r="AE19" s="157">
        <v>0</v>
      </c>
      <c r="AF19" s="157">
        <v>0</v>
      </c>
      <c r="AG19" s="157">
        <v>0</v>
      </c>
      <c r="AH19" s="157">
        <v>0</v>
      </c>
      <c r="AI19" s="157">
        <v>0</v>
      </c>
      <c r="AJ19" s="157">
        <v>0</v>
      </c>
      <c r="AK19" s="157">
        <v>0</v>
      </c>
      <c r="AL19" s="157">
        <v>0</v>
      </c>
      <c r="AM19" s="157">
        <v>0</v>
      </c>
      <c r="AN19" s="157">
        <v>0</v>
      </c>
      <c r="AO19" s="157">
        <v>0</v>
      </c>
      <c r="AP19" s="157">
        <v>0</v>
      </c>
      <c r="AQ19" s="157">
        <v>0</v>
      </c>
      <c r="AR19" s="157">
        <v>0</v>
      </c>
      <c r="AS19" s="157">
        <v>0</v>
      </c>
      <c r="AT19" s="158">
        <v>0</v>
      </c>
      <c r="AU19" s="158">
        <v>0</v>
      </c>
      <c r="AV19" s="158">
        <v>0</v>
      </c>
      <c r="AW19" s="158">
        <v>0</v>
      </c>
      <c r="AX19" s="158">
        <v>0</v>
      </c>
      <c r="AY19" s="158">
        <v>0</v>
      </c>
      <c r="AZ19" s="158">
        <v>0</v>
      </c>
      <c r="BA19" s="158">
        <v>0</v>
      </c>
      <c r="BB19" s="158">
        <v>0</v>
      </c>
      <c r="BC19" s="158">
        <v>0</v>
      </c>
      <c r="BD19" s="158">
        <v>1</v>
      </c>
      <c r="BE19" s="158">
        <v>1</v>
      </c>
      <c r="BF19" s="158">
        <v>1</v>
      </c>
      <c r="BG19" s="158">
        <v>1</v>
      </c>
      <c r="BH19" s="158">
        <v>1</v>
      </c>
      <c r="BI19" s="158">
        <v>1</v>
      </c>
      <c r="BJ19" s="158">
        <v>1</v>
      </c>
      <c r="BK19" s="158">
        <v>1</v>
      </c>
      <c r="BL19" s="158">
        <v>1</v>
      </c>
      <c r="BM19" s="158">
        <v>1</v>
      </c>
      <c r="BN19" s="158">
        <v>1</v>
      </c>
      <c r="BO19" s="158">
        <v>1</v>
      </c>
      <c r="BP19" s="158">
        <v>1</v>
      </c>
      <c r="BQ19" s="158">
        <v>1</v>
      </c>
      <c r="BR19" s="158">
        <v>1</v>
      </c>
      <c r="BS19" s="158">
        <v>1</v>
      </c>
      <c r="BT19" s="158">
        <v>1</v>
      </c>
      <c r="BU19" s="158">
        <v>1</v>
      </c>
      <c r="BV19" s="158">
        <v>1</v>
      </c>
      <c r="BW19" s="158">
        <v>1</v>
      </c>
      <c r="BX19" s="159">
        <v>0</v>
      </c>
      <c r="BY19" s="159">
        <v>0</v>
      </c>
      <c r="BZ19" s="159">
        <v>0</v>
      </c>
      <c r="CA19" s="159">
        <v>0</v>
      </c>
      <c r="CB19" s="159">
        <v>0</v>
      </c>
      <c r="CC19" s="159">
        <v>0</v>
      </c>
      <c r="CD19" s="159">
        <v>0</v>
      </c>
      <c r="CE19" s="159">
        <v>0</v>
      </c>
      <c r="CF19" s="159">
        <v>0</v>
      </c>
      <c r="CG19" s="159">
        <v>0</v>
      </c>
      <c r="CH19" s="159">
        <v>0</v>
      </c>
      <c r="CI19" s="159">
        <v>0</v>
      </c>
      <c r="CJ19" s="159">
        <v>0</v>
      </c>
      <c r="CK19" s="159">
        <v>0</v>
      </c>
      <c r="CL19" s="159">
        <v>0</v>
      </c>
      <c r="CM19" s="159">
        <v>0</v>
      </c>
      <c r="CN19" s="159">
        <v>0</v>
      </c>
      <c r="CO19" s="159">
        <v>0</v>
      </c>
      <c r="CP19" s="159">
        <v>0</v>
      </c>
      <c r="CQ19" s="159">
        <v>0</v>
      </c>
      <c r="CR19" s="159">
        <v>0</v>
      </c>
      <c r="CS19" s="159">
        <v>0</v>
      </c>
      <c r="CT19" s="159">
        <v>0</v>
      </c>
      <c r="CU19" s="159">
        <v>0</v>
      </c>
      <c r="CV19" s="159">
        <v>0</v>
      </c>
      <c r="CW19" s="159">
        <v>0</v>
      </c>
      <c r="CX19" s="159">
        <v>0</v>
      </c>
      <c r="CY19" s="159">
        <v>0</v>
      </c>
      <c r="CZ19" s="159">
        <v>0</v>
      </c>
      <c r="DA19" s="159">
        <v>0</v>
      </c>
      <c r="DB19" s="160">
        <v>0</v>
      </c>
      <c r="DC19" s="160">
        <v>0</v>
      </c>
      <c r="DD19" s="160">
        <v>0</v>
      </c>
      <c r="DE19" s="155">
        <v>0</v>
      </c>
      <c r="DF19" s="160">
        <v>0</v>
      </c>
      <c r="DG19" s="155">
        <v>0</v>
      </c>
      <c r="DH19" s="160">
        <v>0</v>
      </c>
      <c r="DI19" s="155">
        <v>0</v>
      </c>
      <c r="DJ19" s="160">
        <v>0</v>
      </c>
      <c r="DK19" s="155">
        <v>0</v>
      </c>
      <c r="DL19" s="155">
        <v>0</v>
      </c>
      <c r="DM19" s="155">
        <v>0</v>
      </c>
      <c r="DN19" s="155">
        <v>0</v>
      </c>
      <c r="DO19" s="155">
        <v>0</v>
      </c>
      <c r="DP19" s="155">
        <v>0</v>
      </c>
      <c r="DQ19" s="155">
        <v>0</v>
      </c>
      <c r="DR19" s="155">
        <v>0</v>
      </c>
      <c r="DS19" s="155">
        <v>0</v>
      </c>
      <c r="DT19" s="155">
        <v>0</v>
      </c>
      <c r="DU19" s="155">
        <v>0</v>
      </c>
      <c r="DV19" s="156">
        <f>7.5/1000*14.7</f>
        <v>0.11024999999999999</v>
      </c>
      <c r="DW19" s="156">
        <f>6.8/1000*14.7</f>
        <v>9.9959999999999993E-2</v>
      </c>
      <c r="DX19" s="156">
        <f>5.9/1000*14.7</f>
        <v>8.6730000000000002E-2</v>
      </c>
      <c r="DY19" s="156">
        <f>8/1000*14.7</f>
        <v>0.1176</v>
      </c>
      <c r="DZ19" s="156">
        <f>7.1/1000*14.7</f>
        <v>0.10436999999999999</v>
      </c>
      <c r="EA19" s="156">
        <f>5.9/1000*14.7</f>
        <v>8.6730000000000002E-2</v>
      </c>
      <c r="EB19" s="156">
        <f>7.6/1000*14.7</f>
        <v>0.11172</v>
      </c>
      <c r="EC19" s="156">
        <f>10.2/1000*14.7</f>
        <v>0.14993999999999999</v>
      </c>
      <c r="ED19" s="156">
        <f>8.2/1000*14.7</f>
        <v>0.12053999999999998</v>
      </c>
      <c r="EE19" s="156">
        <f>5.9/1000*14.7</f>
        <v>8.6730000000000002E-2</v>
      </c>
      <c r="EF19" s="155">
        <v>0</v>
      </c>
      <c r="EG19" s="155">
        <v>0</v>
      </c>
      <c r="EH19" s="155">
        <v>0</v>
      </c>
      <c r="EI19" s="155">
        <v>0</v>
      </c>
      <c r="EJ19" s="155">
        <v>0</v>
      </c>
      <c r="EK19" s="155">
        <v>0</v>
      </c>
      <c r="EL19" s="155">
        <v>0</v>
      </c>
      <c r="EM19" s="155">
        <v>0</v>
      </c>
      <c r="EN19" s="155">
        <v>0</v>
      </c>
      <c r="EO19" s="155">
        <v>0</v>
      </c>
      <c r="EP19" s="155">
        <v>0</v>
      </c>
      <c r="EQ19" s="155">
        <v>0</v>
      </c>
      <c r="ER19" s="155">
        <v>0</v>
      </c>
      <c r="ES19" s="155">
        <v>0</v>
      </c>
      <c r="ET19" s="155">
        <v>0</v>
      </c>
      <c r="EU19" s="155">
        <v>0</v>
      </c>
      <c r="EV19" s="155">
        <v>0</v>
      </c>
      <c r="EW19" s="155">
        <v>0</v>
      </c>
      <c r="EX19" s="155">
        <v>0</v>
      </c>
      <c r="EY19" s="155">
        <v>0</v>
      </c>
      <c r="EZ19" s="155">
        <v>0</v>
      </c>
      <c r="FA19" s="155">
        <v>0</v>
      </c>
      <c r="FB19" s="155">
        <v>0</v>
      </c>
      <c r="FC19" s="155">
        <v>0</v>
      </c>
      <c r="FD19" s="155">
        <v>0</v>
      </c>
      <c r="FE19" s="155">
        <v>0</v>
      </c>
      <c r="FF19" s="155">
        <v>0</v>
      </c>
      <c r="FG19" s="155">
        <v>0</v>
      </c>
      <c r="FH19" s="155">
        <v>0</v>
      </c>
      <c r="FI19" s="155">
        <v>0</v>
      </c>
      <c r="FJ19" s="155">
        <v>0</v>
      </c>
      <c r="FK19" s="155">
        <v>0</v>
      </c>
      <c r="FL19" s="155">
        <v>0</v>
      </c>
      <c r="FM19" s="155">
        <v>0</v>
      </c>
      <c r="FN19" s="155">
        <v>0</v>
      </c>
      <c r="FO19" s="155">
        <v>0</v>
      </c>
      <c r="FP19" s="155">
        <v>0</v>
      </c>
      <c r="FQ19" s="155">
        <v>0</v>
      </c>
      <c r="FR19" s="155">
        <v>0</v>
      </c>
      <c r="FS19" s="155">
        <v>0</v>
      </c>
    </row>
    <row r="20" spans="1:175" s="131" customFormat="1" x14ac:dyDescent="0.3">
      <c r="A20" s="171"/>
      <c r="B20" s="127" t="s">
        <v>135</v>
      </c>
      <c r="C20" s="128" t="s">
        <v>276</v>
      </c>
      <c r="D20" s="129" t="s">
        <v>437</v>
      </c>
      <c r="E20" s="130">
        <f t="shared" ref="E20" si="16">ROW(D20)-ROW($E$8)</f>
        <v>12</v>
      </c>
      <c r="F20" s="130">
        <v>1</v>
      </c>
      <c r="G20" s="130" t="s">
        <v>437</v>
      </c>
      <c r="H20" s="131">
        <v>44480000</v>
      </c>
      <c r="I20" s="132" t="str">
        <f>B22</f>
        <v>Product/Reactant1</v>
      </c>
      <c r="J20" s="131">
        <v>0</v>
      </c>
      <c r="K20" s="131">
        <v>0</v>
      </c>
      <c r="L20" s="131">
        <v>0</v>
      </c>
      <c r="M20" s="131">
        <v>0</v>
      </c>
      <c r="N20" s="131">
        <v>0</v>
      </c>
      <c r="O20" s="131">
        <v>20000</v>
      </c>
      <c r="P20" s="131">
        <v>1.82</v>
      </c>
      <c r="Q20" s="131">
        <v>1.82</v>
      </c>
      <c r="R20" s="131">
        <v>1.82</v>
      </c>
      <c r="S20" s="131">
        <v>1.82</v>
      </c>
      <c r="T20" s="131">
        <v>1.82</v>
      </c>
      <c r="U20" s="131">
        <v>1.82</v>
      </c>
      <c r="V20" s="131">
        <v>1.82</v>
      </c>
      <c r="W20" s="131">
        <v>1.82</v>
      </c>
      <c r="X20" s="131">
        <v>1.82</v>
      </c>
      <c r="Y20" s="131">
        <v>1.82</v>
      </c>
      <c r="Z20" s="131">
        <v>0</v>
      </c>
      <c r="AA20" s="131">
        <v>0</v>
      </c>
      <c r="AB20" s="131">
        <v>0</v>
      </c>
      <c r="AC20" s="131">
        <v>0</v>
      </c>
      <c r="AD20" s="131">
        <v>0</v>
      </c>
      <c r="AE20" s="131">
        <v>0</v>
      </c>
      <c r="AF20" s="131">
        <v>0</v>
      </c>
      <c r="AG20" s="131">
        <v>0</v>
      </c>
      <c r="AH20" s="131">
        <v>0</v>
      </c>
      <c r="AI20" s="131">
        <v>0</v>
      </c>
      <c r="AJ20" s="131">
        <v>0</v>
      </c>
      <c r="AK20" s="131">
        <v>0</v>
      </c>
      <c r="AL20" s="131">
        <v>0</v>
      </c>
      <c r="AM20" s="131">
        <v>0</v>
      </c>
      <c r="AN20" s="131">
        <v>0</v>
      </c>
      <c r="AO20" s="131">
        <v>0</v>
      </c>
      <c r="AP20" s="131">
        <v>0</v>
      </c>
      <c r="AQ20" s="131">
        <v>0</v>
      </c>
      <c r="AR20" s="131">
        <v>0</v>
      </c>
      <c r="AS20" s="131">
        <v>0</v>
      </c>
      <c r="AT20" s="133">
        <v>0</v>
      </c>
      <c r="AU20" s="133">
        <v>0</v>
      </c>
      <c r="AV20" s="133">
        <v>0</v>
      </c>
      <c r="AW20" s="133">
        <v>0</v>
      </c>
      <c r="AX20" s="133">
        <v>0</v>
      </c>
      <c r="AY20" s="133">
        <v>0</v>
      </c>
      <c r="AZ20" s="133">
        <v>0</v>
      </c>
      <c r="BA20" s="133">
        <v>0</v>
      </c>
      <c r="BB20" s="133">
        <v>0</v>
      </c>
      <c r="BC20" s="133">
        <v>0</v>
      </c>
      <c r="BD20" s="133">
        <v>1</v>
      </c>
      <c r="BE20" s="133">
        <v>1</v>
      </c>
      <c r="BF20" s="133">
        <v>1</v>
      </c>
      <c r="BG20" s="133">
        <v>1</v>
      </c>
      <c r="BH20" s="133">
        <v>1</v>
      </c>
      <c r="BI20" s="133">
        <v>1</v>
      </c>
      <c r="BJ20" s="133">
        <v>1</v>
      </c>
      <c r="BK20" s="133">
        <v>1</v>
      </c>
      <c r="BL20" s="133">
        <v>1</v>
      </c>
      <c r="BM20" s="133">
        <v>1</v>
      </c>
      <c r="BN20" s="133">
        <v>1</v>
      </c>
      <c r="BO20" s="133">
        <v>1</v>
      </c>
      <c r="BP20" s="133">
        <v>1</v>
      </c>
      <c r="BQ20" s="133">
        <v>1</v>
      </c>
      <c r="BR20" s="133">
        <v>1</v>
      </c>
      <c r="BS20" s="133">
        <v>1</v>
      </c>
      <c r="BT20" s="133">
        <v>1</v>
      </c>
      <c r="BU20" s="133">
        <v>1</v>
      </c>
      <c r="BV20" s="133">
        <v>1</v>
      </c>
      <c r="BW20" s="133">
        <v>1</v>
      </c>
      <c r="BX20" s="134">
        <v>0</v>
      </c>
      <c r="BY20" s="134">
        <v>0</v>
      </c>
      <c r="BZ20" s="134">
        <v>0</v>
      </c>
      <c r="CA20" s="134">
        <v>0</v>
      </c>
      <c r="CB20" s="134">
        <v>0</v>
      </c>
      <c r="CC20" s="134">
        <v>0</v>
      </c>
      <c r="CD20" s="134">
        <v>0</v>
      </c>
      <c r="CE20" s="134">
        <v>0</v>
      </c>
      <c r="CF20" s="134">
        <v>0</v>
      </c>
      <c r="CG20" s="134">
        <v>0</v>
      </c>
      <c r="CH20" s="131">
        <v>0</v>
      </c>
      <c r="CI20" s="131">
        <v>0</v>
      </c>
      <c r="CJ20" s="131">
        <v>0</v>
      </c>
      <c r="CK20" s="131">
        <v>0</v>
      </c>
      <c r="CL20" s="131">
        <v>0</v>
      </c>
      <c r="CM20" s="131">
        <v>0</v>
      </c>
      <c r="CN20" s="131">
        <v>0</v>
      </c>
      <c r="CO20" s="131">
        <v>0</v>
      </c>
      <c r="CP20" s="131">
        <v>0</v>
      </c>
      <c r="CQ20" s="131">
        <v>0</v>
      </c>
      <c r="CR20" s="131">
        <v>0</v>
      </c>
      <c r="CS20" s="131">
        <v>0</v>
      </c>
      <c r="CT20" s="131">
        <v>0</v>
      </c>
      <c r="CU20" s="131">
        <v>0</v>
      </c>
      <c r="CV20" s="131">
        <v>0</v>
      </c>
      <c r="CW20" s="131">
        <v>0</v>
      </c>
      <c r="CX20" s="131">
        <v>0</v>
      </c>
      <c r="CY20" s="131">
        <v>0</v>
      </c>
      <c r="CZ20" s="131">
        <v>0</v>
      </c>
      <c r="DA20" s="131">
        <v>0</v>
      </c>
      <c r="DB20" s="131">
        <v>0</v>
      </c>
      <c r="DC20" s="131">
        <v>0</v>
      </c>
      <c r="DD20" s="131">
        <v>0</v>
      </c>
      <c r="DE20" s="131">
        <v>0</v>
      </c>
      <c r="DF20" s="131">
        <v>0</v>
      </c>
      <c r="DG20" s="131">
        <v>0</v>
      </c>
      <c r="DH20" s="131">
        <v>0</v>
      </c>
      <c r="DI20" s="131">
        <v>0</v>
      </c>
      <c r="DJ20" s="131">
        <v>0</v>
      </c>
      <c r="DK20" s="131">
        <v>0</v>
      </c>
      <c r="DL20" s="131">
        <v>0</v>
      </c>
      <c r="DM20" s="131">
        <v>0</v>
      </c>
      <c r="DN20" s="131">
        <v>0</v>
      </c>
      <c r="DO20" s="131">
        <v>0</v>
      </c>
      <c r="DP20" s="131">
        <v>0</v>
      </c>
      <c r="DQ20" s="131">
        <v>0</v>
      </c>
      <c r="DR20" s="131">
        <v>0</v>
      </c>
      <c r="DS20" s="131">
        <v>0</v>
      </c>
      <c r="DT20" s="131">
        <v>0</v>
      </c>
      <c r="DU20" s="131">
        <v>0</v>
      </c>
      <c r="DV20" s="131">
        <v>0.13195000000000001</v>
      </c>
      <c r="DW20" s="131">
        <v>9.2799999999999994E-2</v>
      </c>
      <c r="DX20" s="131">
        <v>7.2499999999999995E-2</v>
      </c>
      <c r="DY20" s="131">
        <v>0.13195000000000001</v>
      </c>
      <c r="DZ20" s="131">
        <v>9.2799999999999994E-2</v>
      </c>
      <c r="EA20" s="131">
        <v>7.2499999999999995E-2</v>
      </c>
      <c r="EB20" s="131">
        <v>9.2799999999999994E-2</v>
      </c>
      <c r="EC20" s="131">
        <v>0.13195000000000001</v>
      </c>
      <c r="ED20" s="131">
        <v>9.2799999999999994E-2</v>
      </c>
      <c r="EE20" s="131">
        <v>7.2499999999999995E-2</v>
      </c>
      <c r="EF20" s="131">
        <v>3.560584789265715</v>
      </c>
      <c r="EG20" s="131">
        <v>3.560584789265715</v>
      </c>
      <c r="EH20" s="131">
        <v>3.560584789265715</v>
      </c>
      <c r="EI20" s="131">
        <v>0</v>
      </c>
      <c r="EJ20" s="131">
        <f t="shared" ref="EJ20" si="17">$EG20*B$3</f>
        <v>3.560584789265715</v>
      </c>
      <c r="EK20" s="131">
        <v>0</v>
      </c>
      <c r="EL20" s="131">
        <f t="shared" ref="EL20" si="18">$EG20*C$3</f>
        <v>3.560584789265715</v>
      </c>
      <c r="EM20" s="131">
        <v>0</v>
      </c>
      <c r="EN20" s="131">
        <f t="shared" ref="EN20" si="19">$EG20*D$3</f>
        <v>3.560584789265715</v>
      </c>
      <c r="EO20" s="131">
        <v>0</v>
      </c>
      <c r="EP20" s="131">
        <v>0</v>
      </c>
      <c r="EQ20" s="131">
        <v>0</v>
      </c>
      <c r="ER20" s="131">
        <v>0</v>
      </c>
      <c r="ES20" s="131">
        <v>0</v>
      </c>
      <c r="ET20" s="131">
        <f t="shared" ref="ET20" si="20">$EQ20*B$3</f>
        <v>0</v>
      </c>
      <c r="EU20" s="131">
        <v>0</v>
      </c>
      <c r="EV20" s="131">
        <f t="shared" ref="EV20" si="21">$EQ20*C$3</f>
        <v>0</v>
      </c>
      <c r="EW20" s="131">
        <v>0</v>
      </c>
      <c r="EX20" s="131">
        <f t="shared" ref="EX20" si="22">$EQ20*D$3</f>
        <v>0</v>
      </c>
      <c r="EY20" s="131">
        <v>0</v>
      </c>
      <c r="EZ20" s="131">
        <v>0</v>
      </c>
      <c r="FA20" s="131">
        <v>0</v>
      </c>
      <c r="FB20" s="131">
        <v>0</v>
      </c>
      <c r="FC20" s="131">
        <v>0</v>
      </c>
      <c r="FD20" s="131">
        <v>0</v>
      </c>
      <c r="FE20" s="131">
        <v>0</v>
      </c>
      <c r="FF20" s="131">
        <v>0</v>
      </c>
      <c r="FG20" s="131">
        <v>0</v>
      </c>
      <c r="FH20" s="131">
        <v>0</v>
      </c>
      <c r="FI20" s="131">
        <v>0</v>
      </c>
      <c r="FJ20" s="131">
        <v>0</v>
      </c>
      <c r="FK20" s="131">
        <v>0</v>
      </c>
      <c r="FL20" s="131">
        <v>0</v>
      </c>
      <c r="FM20" s="131">
        <v>0</v>
      </c>
      <c r="FN20" s="131">
        <v>0</v>
      </c>
      <c r="FO20" s="131">
        <v>0</v>
      </c>
      <c r="FP20" s="131">
        <v>0</v>
      </c>
      <c r="FQ20" s="131">
        <v>0</v>
      </c>
      <c r="FR20" s="131">
        <v>0</v>
      </c>
      <c r="FS20" s="131">
        <v>0</v>
      </c>
    </row>
    <row r="21" spans="1:175" s="131" customFormat="1" x14ac:dyDescent="0.3">
      <c r="A21" s="171"/>
      <c r="B21" s="127" t="s">
        <v>135</v>
      </c>
      <c r="C21" s="135" t="s">
        <v>433</v>
      </c>
      <c r="D21" s="129" t="s">
        <v>427</v>
      </c>
      <c r="E21" s="130">
        <f t="shared" si="5"/>
        <v>13</v>
      </c>
      <c r="F21" s="130">
        <v>1</v>
      </c>
      <c r="G21" s="130" t="s">
        <v>428</v>
      </c>
      <c r="H21" s="131">
        <v>0</v>
      </c>
      <c r="I21" s="132" t="str">
        <f>B22</f>
        <v>Product/Reactant1</v>
      </c>
      <c r="J21" s="131">
        <v>0</v>
      </c>
      <c r="K21" s="131">
        <v>0</v>
      </c>
      <c r="L21" s="131">
        <v>0</v>
      </c>
      <c r="M21" s="131">
        <v>0</v>
      </c>
      <c r="N21" s="131">
        <v>0</v>
      </c>
      <c r="O21" s="131">
        <f>O10</f>
        <v>40000</v>
      </c>
      <c r="P21" s="131">
        <v>0.35</v>
      </c>
      <c r="Q21" s="131">
        <v>0.35</v>
      </c>
      <c r="R21" s="131">
        <v>0.35</v>
      </c>
      <c r="S21" s="131">
        <v>0.35</v>
      </c>
      <c r="T21" s="131">
        <v>0.35</v>
      </c>
      <c r="U21" s="131">
        <v>0.35</v>
      </c>
      <c r="V21" s="131">
        <v>0.35</v>
      </c>
      <c r="W21" s="131">
        <v>0.35</v>
      </c>
      <c r="X21" s="131">
        <v>0.35</v>
      </c>
      <c r="Y21" s="131">
        <v>0.35</v>
      </c>
      <c r="Z21" s="131">
        <v>0</v>
      </c>
      <c r="AA21" s="131">
        <v>0</v>
      </c>
      <c r="AB21" s="131">
        <v>0</v>
      </c>
      <c r="AC21" s="131">
        <v>0</v>
      </c>
      <c r="AD21" s="131">
        <v>0</v>
      </c>
      <c r="AE21" s="131">
        <v>0</v>
      </c>
      <c r="AF21" s="131">
        <v>0</v>
      </c>
      <c r="AG21" s="131">
        <v>0</v>
      </c>
      <c r="AH21" s="131">
        <v>0</v>
      </c>
      <c r="AI21" s="131">
        <v>0</v>
      </c>
      <c r="AJ21" s="131">
        <v>0</v>
      </c>
      <c r="AK21" s="131">
        <v>0</v>
      </c>
      <c r="AL21" s="131">
        <v>0</v>
      </c>
      <c r="AM21" s="131">
        <v>0</v>
      </c>
      <c r="AN21" s="131">
        <v>0</v>
      </c>
      <c r="AO21" s="131">
        <v>0</v>
      </c>
      <c r="AP21" s="131">
        <v>0</v>
      </c>
      <c r="AQ21" s="131">
        <v>0</v>
      </c>
      <c r="AR21" s="131">
        <v>0</v>
      </c>
      <c r="AS21" s="131">
        <v>0</v>
      </c>
      <c r="AT21" s="133">
        <v>0</v>
      </c>
      <c r="AU21" s="133">
        <v>0</v>
      </c>
      <c r="AV21" s="133">
        <v>0</v>
      </c>
      <c r="AW21" s="133">
        <v>0</v>
      </c>
      <c r="AX21" s="133">
        <v>0</v>
      </c>
      <c r="AY21" s="133">
        <v>0</v>
      </c>
      <c r="AZ21" s="133">
        <v>0</v>
      </c>
      <c r="BA21" s="133">
        <v>0</v>
      </c>
      <c r="BB21" s="133">
        <v>0</v>
      </c>
      <c r="BC21" s="133">
        <v>0</v>
      </c>
      <c r="BD21" s="133">
        <v>1</v>
      </c>
      <c r="BE21" s="133">
        <v>1</v>
      </c>
      <c r="BF21" s="133">
        <v>1</v>
      </c>
      <c r="BG21" s="133">
        <v>1</v>
      </c>
      <c r="BH21" s="133">
        <v>1</v>
      </c>
      <c r="BI21" s="133">
        <v>1</v>
      </c>
      <c r="BJ21" s="133">
        <v>1</v>
      </c>
      <c r="BK21" s="133">
        <v>1</v>
      </c>
      <c r="BL21" s="133">
        <v>1</v>
      </c>
      <c r="BM21" s="133">
        <v>1</v>
      </c>
      <c r="BN21" s="133">
        <v>1</v>
      </c>
      <c r="BO21" s="133">
        <v>1</v>
      </c>
      <c r="BP21" s="133">
        <v>1</v>
      </c>
      <c r="BQ21" s="133">
        <v>1</v>
      </c>
      <c r="BR21" s="133">
        <v>1</v>
      </c>
      <c r="BS21" s="133">
        <v>1</v>
      </c>
      <c r="BT21" s="133">
        <v>1</v>
      </c>
      <c r="BU21" s="133">
        <v>1</v>
      </c>
      <c r="BV21" s="133">
        <v>1</v>
      </c>
      <c r="BW21" s="133">
        <v>1</v>
      </c>
      <c r="BX21" s="134">
        <v>0</v>
      </c>
      <c r="BY21" s="134">
        <v>0</v>
      </c>
      <c r="BZ21" s="134">
        <v>0</v>
      </c>
      <c r="CA21" s="134">
        <v>0</v>
      </c>
      <c r="CB21" s="134">
        <v>0</v>
      </c>
      <c r="CC21" s="134">
        <v>0</v>
      </c>
      <c r="CD21" s="134">
        <v>0</v>
      </c>
      <c r="CE21" s="134">
        <v>0</v>
      </c>
      <c r="CF21" s="134">
        <v>0</v>
      </c>
      <c r="CG21" s="134">
        <v>0</v>
      </c>
      <c r="CH21" s="131">
        <v>0</v>
      </c>
      <c r="CI21" s="131">
        <v>0</v>
      </c>
      <c r="CJ21" s="131">
        <v>0</v>
      </c>
      <c r="CK21" s="131">
        <v>0</v>
      </c>
      <c r="CL21" s="131">
        <v>0</v>
      </c>
      <c r="CM21" s="131">
        <v>0</v>
      </c>
      <c r="CN21" s="131">
        <v>0</v>
      </c>
      <c r="CO21" s="131">
        <v>0</v>
      </c>
      <c r="CP21" s="131">
        <v>0</v>
      </c>
      <c r="CQ21" s="131">
        <v>0</v>
      </c>
      <c r="CR21" s="131">
        <v>0</v>
      </c>
      <c r="CS21" s="131">
        <v>0</v>
      </c>
      <c r="CT21" s="131">
        <v>0</v>
      </c>
      <c r="CU21" s="131">
        <v>0</v>
      </c>
      <c r="CV21" s="131">
        <v>0</v>
      </c>
      <c r="CW21" s="131">
        <v>0</v>
      </c>
      <c r="CX21" s="131">
        <v>0</v>
      </c>
      <c r="CY21" s="131">
        <v>0</v>
      </c>
      <c r="CZ21" s="131">
        <v>0</v>
      </c>
      <c r="DA21" s="131">
        <v>0</v>
      </c>
      <c r="DB21" s="131">
        <v>0</v>
      </c>
      <c r="DC21" s="131">
        <v>0</v>
      </c>
      <c r="DD21" s="131">
        <v>0</v>
      </c>
      <c r="DE21" s="131">
        <v>0</v>
      </c>
      <c r="DF21" s="131">
        <v>0</v>
      </c>
      <c r="DG21" s="131">
        <v>0</v>
      </c>
      <c r="DH21" s="131">
        <v>0</v>
      </c>
      <c r="DI21" s="131">
        <v>0</v>
      </c>
      <c r="DJ21" s="131">
        <v>0</v>
      </c>
      <c r="DK21" s="131">
        <v>0</v>
      </c>
      <c r="DL21" s="131">
        <v>0</v>
      </c>
      <c r="DM21" s="131">
        <v>0.11849999999999999</v>
      </c>
      <c r="DN21" s="131">
        <v>0.16</v>
      </c>
      <c r="DO21" s="131">
        <v>0</v>
      </c>
      <c r="DP21" s="131">
        <v>0.11849999999999999</v>
      </c>
      <c r="DQ21" s="131">
        <v>0.16</v>
      </c>
      <c r="DR21" s="131">
        <v>0.11849999999999999</v>
      </c>
      <c r="DS21" s="131">
        <v>0</v>
      </c>
      <c r="DT21" s="131">
        <v>0.11849999999999999</v>
      </c>
      <c r="DU21" s="131">
        <v>0.16</v>
      </c>
      <c r="DV21" s="131">
        <v>0</v>
      </c>
      <c r="DW21" s="131">
        <v>0</v>
      </c>
      <c r="DX21" s="131">
        <v>0</v>
      </c>
      <c r="DY21" s="131">
        <v>0</v>
      </c>
      <c r="DZ21" s="131">
        <v>0</v>
      </c>
      <c r="EA21" s="131">
        <v>0</v>
      </c>
      <c r="EB21" s="131">
        <v>0</v>
      </c>
      <c r="EC21" s="131">
        <v>0</v>
      </c>
      <c r="ED21" s="131">
        <v>0</v>
      </c>
      <c r="EE21" s="131">
        <v>0</v>
      </c>
      <c r="EF21" s="131">
        <v>0</v>
      </c>
      <c r="EG21" s="131">
        <v>0</v>
      </c>
      <c r="EH21" s="131">
        <v>0</v>
      </c>
      <c r="EI21" s="131">
        <v>0</v>
      </c>
      <c r="EJ21" s="131">
        <v>0</v>
      </c>
      <c r="EK21" s="131">
        <v>0</v>
      </c>
      <c r="EL21" s="131">
        <v>0</v>
      </c>
      <c r="EM21" s="131">
        <v>0</v>
      </c>
      <c r="EN21" s="131">
        <v>0</v>
      </c>
      <c r="EO21" s="131">
        <v>0</v>
      </c>
      <c r="EP21" s="131">
        <v>0</v>
      </c>
      <c r="EQ21" s="131">
        <v>0</v>
      </c>
      <c r="ER21" s="131">
        <v>0</v>
      </c>
      <c r="ES21" s="131">
        <v>0</v>
      </c>
      <c r="ET21" s="131">
        <v>0</v>
      </c>
      <c r="EU21" s="131">
        <v>0</v>
      </c>
      <c r="EV21" s="131">
        <v>0</v>
      </c>
      <c r="EW21" s="131">
        <v>0</v>
      </c>
      <c r="EX21" s="131">
        <v>0</v>
      </c>
      <c r="EY21" s="131">
        <v>0</v>
      </c>
      <c r="EZ21" s="131">
        <v>0</v>
      </c>
      <c r="FA21" s="131">
        <v>0</v>
      </c>
      <c r="FB21" s="131">
        <v>0</v>
      </c>
      <c r="FC21" s="131">
        <v>0</v>
      </c>
      <c r="FD21" s="131">
        <v>0</v>
      </c>
      <c r="FE21" s="131">
        <v>0</v>
      </c>
      <c r="FF21" s="131">
        <v>0</v>
      </c>
      <c r="FG21" s="131">
        <v>0</v>
      </c>
      <c r="FH21" s="131">
        <v>0</v>
      </c>
      <c r="FI21" s="131">
        <v>0</v>
      </c>
      <c r="FJ21" s="131">
        <v>0</v>
      </c>
      <c r="FK21" s="131">
        <v>0</v>
      </c>
      <c r="FL21" s="131">
        <v>0</v>
      </c>
      <c r="FM21" s="131">
        <v>0</v>
      </c>
      <c r="FN21" s="131">
        <v>0</v>
      </c>
      <c r="FO21" s="131">
        <v>0</v>
      </c>
      <c r="FP21" s="131">
        <v>0</v>
      </c>
      <c r="FQ21" s="131">
        <v>0</v>
      </c>
      <c r="FR21" s="131">
        <v>0</v>
      </c>
      <c r="FS21" s="131">
        <v>0</v>
      </c>
    </row>
    <row r="22" spans="1:175" s="131" customFormat="1" x14ac:dyDescent="0.3">
      <c r="A22" s="171"/>
      <c r="B22" s="127" t="s">
        <v>134</v>
      </c>
      <c r="C22" s="135" t="s">
        <v>171</v>
      </c>
      <c r="D22" s="129" t="s">
        <v>403</v>
      </c>
      <c r="E22" s="130">
        <f t="shared" si="5"/>
        <v>14</v>
      </c>
      <c r="F22" s="130">
        <v>1</v>
      </c>
      <c r="G22" s="130" t="s">
        <v>419</v>
      </c>
      <c r="H22" s="136">
        <f>H20/P20</f>
        <v>24439560.439560439</v>
      </c>
      <c r="I22" s="132" t="str">
        <f>B33</f>
        <v>Reactant7</v>
      </c>
      <c r="J22" s="131">
        <v>0</v>
      </c>
      <c r="K22" s="131">
        <v>1</v>
      </c>
      <c r="L22" s="131">
        <v>1</v>
      </c>
      <c r="M22" s="131">
        <v>0</v>
      </c>
      <c r="N22" s="131">
        <v>0</v>
      </c>
      <c r="O22" s="131">
        <v>20000</v>
      </c>
      <c r="P22" s="131">
        <v>6.57</v>
      </c>
      <c r="Q22" s="131">
        <v>6.57</v>
      </c>
      <c r="R22" s="131">
        <v>6.57</v>
      </c>
      <c r="S22" s="131">
        <v>6.57</v>
      </c>
      <c r="T22" s="131">
        <v>6.57</v>
      </c>
      <c r="U22" s="131">
        <v>6.57</v>
      </c>
      <c r="V22" s="131">
        <v>6.57</v>
      </c>
      <c r="W22" s="131">
        <v>6.57</v>
      </c>
      <c r="X22" s="131">
        <v>6.57</v>
      </c>
      <c r="Y22" s="131">
        <v>6.57</v>
      </c>
      <c r="Z22" s="131">
        <v>1.66</v>
      </c>
      <c r="AA22" s="131">
        <v>1.66</v>
      </c>
      <c r="AB22" s="131">
        <v>1.66</v>
      </c>
      <c r="AC22" s="131">
        <v>1.66</v>
      </c>
      <c r="AD22" s="131">
        <v>1.66</v>
      </c>
      <c r="AE22" s="131">
        <v>1.66</v>
      </c>
      <c r="AF22" s="131">
        <v>1.66</v>
      </c>
      <c r="AG22" s="131">
        <v>1.66</v>
      </c>
      <c r="AH22" s="131">
        <v>1.66</v>
      </c>
      <c r="AI22" s="131">
        <v>1.66</v>
      </c>
      <c r="AJ22" s="131">
        <v>1.1000000000000001</v>
      </c>
      <c r="AK22" s="131">
        <v>1.1000000000000001</v>
      </c>
      <c r="AL22" s="131">
        <v>1.1000000000000001</v>
      </c>
      <c r="AM22" s="131">
        <v>1.1000000000000001</v>
      </c>
      <c r="AN22" s="131">
        <v>1.1000000000000001</v>
      </c>
      <c r="AO22" s="131">
        <v>1.1000000000000001</v>
      </c>
      <c r="AP22" s="131">
        <v>1.1000000000000001</v>
      </c>
      <c r="AQ22" s="131">
        <v>1.1000000000000001</v>
      </c>
      <c r="AR22" s="131">
        <v>1.1000000000000001</v>
      </c>
      <c r="AS22" s="131">
        <v>1.1000000000000001</v>
      </c>
      <c r="AT22" s="133">
        <v>0.5</v>
      </c>
      <c r="AU22" s="133">
        <v>0.5</v>
      </c>
      <c r="AV22" s="133">
        <v>0.5</v>
      </c>
      <c r="AW22" s="133">
        <v>0.5</v>
      </c>
      <c r="AX22" s="133">
        <v>0.5</v>
      </c>
      <c r="AY22" s="133">
        <v>0.5</v>
      </c>
      <c r="AZ22" s="133">
        <v>0.5</v>
      </c>
      <c r="BA22" s="133">
        <v>0.5</v>
      </c>
      <c r="BB22" s="133">
        <v>0.5</v>
      </c>
      <c r="BC22" s="133">
        <v>0.5</v>
      </c>
      <c r="BD22" s="133">
        <v>1</v>
      </c>
      <c r="BE22" s="133">
        <v>1</v>
      </c>
      <c r="BF22" s="133">
        <v>1</v>
      </c>
      <c r="BG22" s="133">
        <v>1</v>
      </c>
      <c r="BH22" s="133">
        <v>1</v>
      </c>
      <c r="BI22" s="133">
        <v>1</v>
      </c>
      <c r="BJ22" s="133">
        <v>1</v>
      </c>
      <c r="BK22" s="133">
        <v>1</v>
      </c>
      <c r="BL22" s="133">
        <v>1</v>
      </c>
      <c r="BM22" s="133">
        <v>1</v>
      </c>
      <c r="BN22" s="133">
        <v>1</v>
      </c>
      <c r="BO22" s="133">
        <v>1</v>
      </c>
      <c r="BP22" s="133">
        <v>1</v>
      </c>
      <c r="BQ22" s="133">
        <v>1</v>
      </c>
      <c r="BR22" s="133">
        <v>1</v>
      </c>
      <c r="BS22" s="133">
        <v>1</v>
      </c>
      <c r="BT22" s="133">
        <v>1</v>
      </c>
      <c r="BU22" s="133">
        <v>1</v>
      </c>
      <c r="BV22" s="133">
        <v>1</v>
      </c>
      <c r="BW22" s="133">
        <v>1</v>
      </c>
      <c r="BX22" s="134">
        <v>0.64</v>
      </c>
      <c r="BY22" s="134">
        <v>0.64</v>
      </c>
      <c r="BZ22" s="134">
        <v>0.64</v>
      </c>
      <c r="CA22" s="134">
        <v>0.64</v>
      </c>
      <c r="CB22" s="134">
        <v>0.64</v>
      </c>
      <c r="CC22" s="134">
        <v>0.64</v>
      </c>
      <c r="CD22" s="134">
        <v>0.64</v>
      </c>
      <c r="CE22" s="134">
        <v>0.64</v>
      </c>
      <c r="CF22" s="134">
        <v>0.64</v>
      </c>
      <c r="CG22" s="134">
        <v>0.64</v>
      </c>
      <c r="CH22" s="131">
        <v>15142.26</v>
      </c>
      <c r="CI22" s="131">
        <v>12113.81</v>
      </c>
      <c r="CJ22" s="131">
        <v>9085.35</v>
      </c>
      <c r="CK22" s="131">
        <v>15142.26</v>
      </c>
      <c r="CL22" s="131">
        <v>12113.81</v>
      </c>
      <c r="CM22" s="131">
        <v>9085.35</v>
      </c>
      <c r="CN22" s="131">
        <v>12113.81</v>
      </c>
      <c r="CO22" s="131">
        <v>15142.26</v>
      </c>
      <c r="CP22" s="131">
        <v>12113.81</v>
      </c>
      <c r="CQ22" s="131">
        <v>9085.35</v>
      </c>
      <c r="CR22" s="131">
        <v>1348.76</v>
      </c>
      <c r="CS22" s="131">
        <v>1167.05</v>
      </c>
      <c r="CT22" s="131">
        <v>985.35</v>
      </c>
      <c r="CU22" s="131">
        <v>1348.76</v>
      </c>
      <c r="CV22" s="131">
        <v>1167.05</v>
      </c>
      <c r="CW22" s="131">
        <v>985.35</v>
      </c>
      <c r="CX22" s="131">
        <v>1167.05</v>
      </c>
      <c r="CY22" s="131">
        <v>1348.76</v>
      </c>
      <c r="CZ22" s="131">
        <v>1167.05</v>
      </c>
      <c r="DA22" s="131">
        <v>985.35</v>
      </c>
      <c r="DB22" s="131">
        <f>4.04937222588/1000</f>
        <v>4.0493722258800003E-3</v>
      </c>
      <c r="DC22" s="131">
        <f t="shared" ref="DC22:DK22" si="23">4.04937222588/1000</f>
        <v>4.0493722258800003E-3</v>
      </c>
      <c r="DD22" s="131">
        <f t="shared" si="23"/>
        <v>4.0493722258800003E-3</v>
      </c>
      <c r="DE22" s="131">
        <f t="shared" si="23"/>
        <v>4.0493722258800003E-3</v>
      </c>
      <c r="DF22" s="131">
        <f t="shared" si="23"/>
        <v>4.0493722258800003E-3</v>
      </c>
      <c r="DG22" s="131">
        <f t="shared" si="23"/>
        <v>4.0493722258800003E-3</v>
      </c>
      <c r="DH22" s="131">
        <f t="shared" si="23"/>
        <v>4.0493722258800003E-3</v>
      </c>
      <c r="DI22" s="131">
        <f t="shared" si="23"/>
        <v>4.0493722258800003E-3</v>
      </c>
      <c r="DJ22" s="131">
        <f t="shared" si="23"/>
        <v>4.0493722258800003E-3</v>
      </c>
      <c r="DK22" s="131">
        <f t="shared" si="23"/>
        <v>4.0493722258800003E-3</v>
      </c>
      <c r="DL22" s="131">
        <v>0</v>
      </c>
      <c r="DM22" s="131">
        <v>0</v>
      </c>
      <c r="DN22" s="131">
        <v>0</v>
      </c>
      <c r="DO22" s="131">
        <v>0</v>
      </c>
      <c r="DP22" s="131">
        <v>0</v>
      </c>
      <c r="DQ22" s="131">
        <v>0</v>
      </c>
      <c r="DR22" s="131">
        <v>0</v>
      </c>
      <c r="DS22" s="131">
        <v>0</v>
      </c>
      <c r="DT22" s="131">
        <v>0</v>
      </c>
      <c r="DU22" s="131">
        <v>0</v>
      </c>
      <c r="DV22" s="131">
        <v>0</v>
      </c>
      <c r="DW22" s="131">
        <v>0</v>
      </c>
      <c r="DX22" s="131">
        <v>0</v>
      </c>
      <c r="DY22" s="131">
        <v>0</v>
      </c>
      <c r="DZ22" s="131">
        <v>0</v>
      </c>
      <c r="EA22" s="131">
        <v>0</v>
      </c>
      <c r="EB22" s="131">
        <v>0</v>
      </c>
      <c r="EC22" s="131">
        <v>0</v>
      </c>
      <c r="ED22" s="131">
        <v>0</v>
      </c>
      <c r="EE22" s="131">
        <v>0</v>
      </c>
      <c r="EF22" s="131">
        <v>18.474666666666668</v>
      </c>
      <c r="EG22" s="131">
        <v>18.474666666666668</v>
      </c>
      <c r="EH22" s="131">
        <v>18.474666666666668</v>
      </c>
      <c r="EI22" s="131">
        <v>18.474666666666668</v>
      </c>
      <c r="EJ22" s="131">
        <v>18.474666666666668</v>
      </c>
      <c r="EK22" s="131">
        <v>18.474666666666668</v>
      </c>
      <c r="EL22" s="131">
        <v>18.474666666666668</v>
      </c>
      <c r="EM22" s="131">
        <v>18.474666666666668</v>
      </c>
      <c r="EN22" s="131">
        <v>18.474666666666668</v>
      </c>
      <c r="EO22" s="131">
        <v>18.474666666666668</v>
      </c>
      <c r="EP22" s="131">
        <v>0</v>
      </c>
      <c r="EQ22" s="131">
        <v>0</v>
      </c>
      <c r="ER22" s="131">
        <v>0</v>
      </c>
      <c r="ES22" s="131">
        <v>0</v>
      </c>
      <c r="ET22" s="131">
        <v>0</v>
      </c>
      <c r="EU22" s="131">
        <v>0</v>
      </c>
      <c r="EV22" s="131">
        <v>0</v>
      </c>
      <c r="EW22" s="131">
        <v>0</v>
      </c>
      <c r="EX22" s="131">
        <v>0</v>
      </c>
      <c r="EY22" s="131">
        <v>0</v>
      </c>
      <c r="EZ22" s="131">
        <v>0</v>
      </c>
      <c r="FA22" s="131">
        <v>0</v>
      </c>
      <c r="FB22" s="131">
        <v>0</v>
      </c>
      <c r="FC22" s="131">
        <v>0</v>
      </c>
      <c r="FD22" s="131">
        <v>0</v>
      </c>
      <c r="FE22" s="131">
        <v>0</v>
      </c>
      <c r="FF22" s="131">
        <v>0</v>
      </c>
      <c r="FG22" s="131">
        <v>0</v>
      </c>
      <c r="FH22" s="131">
        <v>0</v>
      </c>
      <c r="FI22" s="131">
        <v>0</v>
      </c>
      <c r="FJ22" s="131">
        <v>9.3678779051968114E-2</v>
      </c>
      <c r="FK22" s="131">
        <v>9.3678779051968114E-2</v>
      </c>
      <c r="FL22" s="131">
        <v>9.3678779051968114E-2</v>
      </c>
      <c r="FM22" s="131">
        <v>9.3678779051968114E-2</v>
      </c>
      <c r="FN22" s="131">
        <v>9.3678779051968114E-2</v>
      </c>
      <c r="FO22" s="131">
        <v>9.3678779051968114E-2</v>
      </c>
      <c r="FP22" s="131">
        <v>9.3678779051968114E-2</v>
      </c>
      <c r="FQ22" s="131">
        <v>9.3678779051968114E-2</v>
      </c>
      <c r="FR22" s="131">
        <v>9.3678779051968114E-2</v>
      </c>
      <c r="FS22" s="131">
        <v>9.3678779051968114E-2</v>
      </c>
    </row>
    <row r="23" spans="1:175" x14ac:dyDescent="0.3">
      <c r="A23" s="171"/>
      <c r="B23" s="3" t="s">
        <v>135</v>
      </c>
      <c r="C23" s="4" t="s">
        <v>171</v>
      </c>
      <c r="D23" s="2" t="s">
        <v>250</v>
      </c>
      <c r="E23" s="9">
        <f>ROW(D23)-ROW($E$8)</f>
        <v>15</v>
      </c>
      <c r="F23" s="13">
        <v>1</v>
      </c>
      <c r="G23" s="13" t="s">
        <v>251</v>
      </c>
      <c r="H23" s="15">
        <f>(2.2/(120/3.6))*10^9</f>
        <v>66000000</v>
      </c>
      <c r="I23" s="24" t="str">
        <f>B34</f>
        <v>Reactant10</v>
      </c>
      <c r="J23">
        <v>0</v>
      </c>
      <c r="K23">
        <v>1</v>
      </c>
      <c r="L23">
        <v>0</v>
      </c>
      <c r="M23">
        <v>0</v>
      </c>
      <c r="N23">
        <v>0</v>
      </c>
      <c r="O23">
        <v>20000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 s="60">
        <v>0</v>
      </c>
      <c r="AU23" s="60">
        <v>0</v>
      </c>
      <c r="AV23" s="60">
        <v>0</v>
      </c>
      <c r="AW23" s="60">
        <v>0</v>
      </c>
      <c r="AX23" s="60">
        <v>0</v>
      </c>
      <c r="AY23" s="60">
        <v>0</v>
      </c>
      <c r="AZ23" s="60">
        <v>0</v>
      </c>
      <c r="BA23" s="60">
        <v>0</v>
      </c>
      <c r="BB23" s="60">
        <v>0</v>
      </c>
      <c r="BC23" s="60">
        <v>0</v>
      </c>
      <c r="BD23" s="60">
        <v>0</v>
      </c>
      <c r="BE23" s="60">
        <v>1</v>
      </c>
      <c r="BF23" s="60">
        <v>1</v>
      </c>
      <c r="BG23" s="60">
        <v>1</v>
      </c>
      <c r="BH23" s="60">
        <v>1</v>
      </c>
      <c r="BI23" s="60">
        <v>1</v>
      </c>
      <c r="BJ23" s="60">
        <v>1</v>
      </c>
      <c r="BK23" s="60">
        <v>1</v>
      </c>
      <c r="BL23" s="60">
        <v>1</v>
      </c>
      <c r="BM23" s="60">
        <v>1</v>
      </c>
      <c r="BN23" s="60">
        <v>1</v>
      </c>
      <c r="BO23" s="60">
        <v>1</v>
      </c>
      <c r="BP23" s="60">
        <v>1</v>
      </c>
      <c r="BQ23" s="60">
        <v>1</v>
      </c>
      <c r="BR23" s="60">
        <v>1</v>
      </c>
      <c r="BS23" s="60">
        <v>1</v>
      </c>
      <c r="BT23" s="60">
        <v>1</v>
      </c>
      <c r="BU23" s="60">
        <v>1</v>
      </c>
      <c r="BV23" s="60">
        <v>1</v>
      </c>
      <c r="BW23" s="60">
        <v>1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</row>
    <row r="24" spans="1:175" x14ac:dyDescent="0.3">
      <c r="A24" s="171"/>
      <c r="B24" s="25" t="s">
        <v>424</v>
      </c>
      <c r="C24" s="11" t="s">
        <v>276</v>
      </c>
      <c r="D24" s="2" t="s">
        <v>35</v>
      </c>
      <c r="E24" s="9">
        <f t="shared" si="5"/>
        <v>16</v>
      </c>
      <c r="F24" s="13">
        <v>1</v>
      </c>
      <c r="G24" s="13" t="s">
        <v>227</v>
      </c>
      <c r="H24">
        <v>0</v>
      </c>
      <c r="I24" s="13" t="s">
        <v>12</v>
      </c>
      <c r="J24">
        <v>0</v>
      </c>
      <c r="K24">
        <v>0</v>
      </c>
      <c r="L24">
        <v>0</v>
      </c>
      <c r="M24">
        <v>0</v>
      </c>
      <c r="N24">
        <v>0</v>
      </c>
      <c r="O24">
        <v>400000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 s="14">
        <v>0</v>
      </c>
      <c r="AU24" s="14">
        <v>0</v>
      </c>
      <c r="AV24" s="14">
        <v>0</v>
      </c>
      <c r="AW24" s="14">
        <v>0</v>
      </c>
      <c r="AX24" s="14">
        <v>0</v>
      </c>
      <c r="AY24" s="14">
        <v>0</v>
      </c>
      <c r="AZ24" s="14">
        <v>0</v>
      </c>
      <c r="BA24" s="14">
        <v>0</v>
      </c>
      <c r="BB24" s="14">
        <v>0</v>
      </c>
      <c r="BC24" s="14">
        <v>0</v>
      </c>
      <c r="BD24" s="14">
        <v>1</v>
      </c>
      <c r="BE24" s="14">
        <v>1</v>
      </c>
      <c r="BF24" s="14">
        <v>1</v>
      </c>
      <c r="BG24" s="14">
        <v>1</v>
      </c>
      <c r="BH24" s="14">
        <v>1</v>
      </c>
      <c r="BI24" s="14">
        <v>1</v>
      </c>
      <c r="BJ24" s="14">
        <v>1</v>
      </c>
      <c r="BK24" s="14">
        <v>1</v>
      </c>
      <c r="BL24" s="14">
        <v>1</v>
      </c>
      <c r="BM24" s="14">
        <v>1</v>
      </c>
      <c r="BN24" s="14">
        <v>1</v>
      </c>
      <c r="BO24" s="14">
        <v>1</v>
      </c>
      <c r="BP24" s="14">
        <v>1</v>
      </c>
      <c r="BQ24" s="14">
        <v>1</v>
      </c>
      <c r="BR24" s="14">
        <v>1</v>
      </c>
      <c r="BS24" s="14">
        <v>1</v>
      </c>
      <c r="BT24" s="14">
        <v>1</v>
      </c>
      <c r="BU24" s="14">
        <v>1</v>
      </c>
      <c r="BV24" s="14">
        <v>1</v>
      </c>
      <c r="BW24" s="14">
        <v>1</v>
      </c>
      <c r="BX24">
        <v>8.9999999999999993E-3</v>
      </c>
      <c r="BY24">
        <v>6.7499999999999991E-3</v>
      </c>
      <c r="BZ24">
        <v>4.4999999999999997E-3</v>
      </c>
      <c r="CA24">
        <v>8.9999999999999993E-3</v>
      </c>
      <c r="CB24">
        <v>6.7499999999999991E-3</v>
      </c>
      <c r="CC24">
        <v>4.4999999999999997E-3</v>
      </c>
      <c r="CD24">
        <v>4.4999999999999997E-3</v>
      </c>
      <c r="CE24">
        <v>4.4999999999999997E-3</v>
      </c>
      <c r="CF24">
        <v>4.4999999999999997E-3</v>
      </c>
      <c r="CG24">
        <v>4.4999999999999997E-3</v>
      </c>
      <c r="CH24">
        <v>161.32079999999999</v>
      </c>
      <c r="CI24">
        <v>147.87739999999999</v>
      </c>
      <c r="CJ24">
        <v>134.434</v>
      </c>
      <c r="CK24">
        <v>147.87739999999999</v>
      </c>
      <c r="CL24">
        <v>134.434</v>
      </c>
      <c r="CM24">
        <v>134.434</v>
      </c>
      <c r="CN24">
        <v>134.434</v>
      </c>
      <c r="CO24">
        <v>134.434</v>
      </c>
      <c r="CP24">
        <v>134.434</v>
      </c>
      <c r="CQ24">
        <v>134.434</v>
      </c>
      <c r="CR24">
        <f t="shared" ref="CR24:DA26" si="24">CH24*0.03</f>
        <v>4.8396239999999997</v>
      </c>
      <c r="CS24">
        <f t="shared" si="24"/>
        <v>4.4363219999999997</v>
      </c>
      <c r="CT24">
        <f t="shared" si="24"/>
        <v>4.0330199999999996</v>
      </c>
      <c r="CU24">
        <f t="shared" si="24"/>
        <v>4.4363219999999997</v>
      </c>
      <c r="CV24">
        <f t="shared" si="24"/>
        <v>4.0330199999999996</v>
      </c>
      <c r="CW24">
        <f t="shared" si="24"/>
        <v>4.0330199999999996</v>
      </c>
      <c r="CX24">
        <f t="shared" si="24"/>
        <v>4.0330199999999996</v>
      </c>
      <c r="CY24">
        <f t="shared" si="24"/>
        <v>4.0330199999999996</v>
      </c>
      <c r="CZ24">
        <f t="shared" si="24"/>
        <v>4.0330199999999996</v>
      </c>
      <c r="DA24">
        <f t="shared" si="24"/>
        <v>4.0330199999999996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 s="15">
        <v>0</v>
      </c>
      <c r="EG24" s="15">
        <v>0</v>
      </c>
      <c r="EH24" s="15">
        <v>0</v>
      </c>
      <c r="EI24">
        <v>0</v>
      </c>
      <c r="EJ24">
        <f t="shared" si="6"/>
        <v>0</v>
      </c>
      <c r="EK24">
        <v>0</v>
      </c>
      <c r="EL24">
        <f t="shared" si="7"/>
        <v>0</v>
      </c>
      <c r="EM24">
        <v>0</v>
      </c>
      <c r="EN24">
        <f t="shared" si="12"/>
        <v>0</v>
      </c>
      <c r="EO24">
        <v>0</v>
      </c>
      <c r="EP24" s="15">
        <v>0</v>
      </c>
      <c r="EQ24" s="15">
        <v>0</v>
      </c>
      <c r="ER24" s="15">
        <v>0</v>
      </c>
      <c r="ES24">
        <v>0</v>
      </c>
      <c r="ET24">
        <f t="shared" si="9"/>
        <v>0</v>
      </c>
      <c r="EU24">
        <v>0</v>
      </c>
      <c r="EV24">
        <f t="shared" si="10"/>
        <v>0</v>
      </c>
      <c r="EW24">
        <v>0</v>
      </c>
      <c r="EX24">
        <f t="shared" si="11"/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0.11682954493601999</v>
      </c>
      <c r="FK24">
        <v>0.11682954493601999</v>
      </c>
      <c r="FL24">
        <v>0.11682954493601999</v>
      </c>
      <c r="FM24">
        <v>0.11682954493601999</v>
      </c>
      <c r="FN24">
        <v>0.11682954493601999</v>
      </c>
      <c r="FO24">
        <v>0.11682954493601999</v>
      </c>
      <c r="FP24">
        <v>0.10185220882315059</v>
      </c>
      <c r="FQ24">
        <v>0.10185220882315059</v>
      </c>
      <c r="FR24">
        <v>0.10185220882315059</v>
      </c>
      <c r="FS24">
        <v>0.10185220882315059</v>
      </c>
    </row>
    <row r="25" spans="1:175" x14ac:dyDescent="0.3">
      <c r="A25" s="171"/>
      <c r="B25" s="25" t="str">
        <f>B24</f>
        <v>Reactant11</v>
      </c>
      <c r="C25" s="11" t="s">
        <v>276</v>
      </c>
      <c r="D25" s="2" t="s">
        <v>224</v>
      </c>
      <c r="E25" s="9">
        <f t="shared" si="5"/>
        <v>17</v>
      </c>
      <c r="F25" s="13">
        <v>1</v>
      </c>
      <c r="G25" s="13" t="s">
        <v>226</v>
      </c>
      <c r="H25">
        <v>0</v>
      </c>
      <c r="I25" s="13" t="s">
        <v>12</v>
      </c>
      <c r="J25">
        <v>0</v>
      </c>
      <c r="K25">
        <v>0</v>
      </c>
      <c r="L25">
        <v>0</v>
      </c>
      <c r="M25">
        <v>0</v>
      </c>
      <c r="N25">
        <v>0</v>
      </c>
      <c r="O25">
        <v>400000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 s="14">
        <v>0</v>
      </c>
      <c r="AU25" s="14">
        <v>0</v>
      </c>
      <c r="AV25" s="14">
        <v>0</v>
      </c>
      <c r="AW25" s="14">
        <v>0</v>
      </c>
      <c r="AX25" s="14">
        <v>0</v>
      </c>
      <c r="AY25" s="14">
        <v>0</v>
      </c>
      <c r="AZ25" s="14">
        <v>0</v>
      </c>
      <c r="BA25" s="14">
        <v>0</v>
      </c>
      <c r="BB25" s="14">
        <v>0</v>
      </c>
      <c r="BC25" s="14">
        <v>0</v>
      </c>
      <c r="BD25" s="14">
        <v>1</v>
      </c>
      <c r="BE25" s="14">
        <v>1</v>
      </c>
      <c r="BF25" s="14">
        <v>1</v>
      </c>
      <c r="BG25" s="14">
        <v>1</v>
      </c>
      <c r="BH25" s="14">
        <v>1</v>
      </c>
      <c r="BI25" s="14">
        <v>1</v>
      </c>
      <c r="BJ25" s="14">
        <v>1</v>
      </c>
      <c r="BK25" s="14">
        <v>1</v>
      </c>
      <c r="BL25" s="14">
        <v>1</v>
      </c>
      <c r="BM25" s="14">
        <v>1</v>
      </c>
      <c r="BN25" s="14">
        <v>1</v>
      </c>
      <c r="BO25" s="14">
        <v>1</v>
      </c>
      <c r="BP25" s="14">
        <v>1</v>
      </c>
      <c r="BQ25" s="14">
        <v>1</v>
      </c>
      <c r="BR25" s="14">
        <v>1</v>
      </c>
      <c r="BS25" s="14">
        <v>1</v>
      </c>
      <c r="BT25" s="14">
        <v>1</v>
      </c>
      <c r="BU25" s="14">
        <v>1</v>
      </c>
      <c r="BV25" s="14">
        <v>1</v>
      </c>
      <c r="BW25" s="14">
        <v>1</v>
      </c>
      <c r="BX25" s="10">
        <v>4.0000000000000001E-3</v>
      </c>
      <c r="BY25" s="10">
        <v>2.5000000000000001E-3</v>
      </c>
      <c r="BZ25" s="10">
        <v>1E-3</v>
      </c>
      <c r="CA25" s="10">
        <v>4.0000000000000001E-3</v>
      </c>
      <c r="CB25">
        <v>2.5000000000000001E-3</v>
      </c>
      <c r="CC25" s="10">
        <v>1E-3</v>
      </c>
      <c r="CD25">
        <v>1E-3</v>
      </c>
      <c r="CE25">
        <v>1E-3</v>
      </c>
      <c r="CF25">
        <v>1E-3</v>
      </c>
      <c r="CG25">
        <v>1E-3</v>
      </c>
      <c r="CH25">
        <v>134.434</v>
      </c>
      <c r="CI25">
        <v>120.99315999999999</v>
      </c>
      <c r="CJ25">
        <v>107.55231999999999</v>
      </c>
      <c r="CK25">
        <v>120.99315999999999</v>
      </c>
      <c r="CL25">
        <v>107.55231999999999</v>
      </c>
      <c r="CM25">
        <v>107.55231999999999</v>
      </c>
      <c r="CN25">
        <v>107.55231999999999</v>
      </c>
      <c r="CO25">
        <v>107.55231999999999</v>
      </c>
      <c r="CP25">
        <v>107.55231999999999</v>
      </c>
      <c r="CQ25">
        <v>107.55231999999999</v>
      </c>
      <c r="CR25">
        <f t="shared" si="24"/>
        <v>4.0330199999999996</v>
      </c>
      <c r="CS25">
        <f t="shared" si="24"/>
        <v>3.6297947999999995</v>
      </c>
      <c r="CT25">
        <f t="shared" si="24"/>
        <v>3.2265695999999999</v>
      </c>
      <c r="CU25">
        <f t="shared" si="24"/>
        <v>3.6297947999999995</v>
      </c>
      <c r="CV25">
        <f t="shared" si="24"/>
        <v>3.2265695999999999</v>
      </c>
      <c r="CW25">
        <f t="shared" si="24"/>
        <v>3.2265695999999999</v>
      </c>
      <c r="CX25">
        <f t="shared" si="24"/>
        <v>3.2265695999999999</v>
      </c>
      <c r="CY25">
        <f t="shared" si="24"/>
        <v>3.2265695999999999</v>
      </c>
      <c r="CZ25">
        <f t="shared" si="24"/>
        <v>3.2265695999999999</v>
      </c>
      <c r="DA25">
        <f t="shared" si="24"/>
        <v>3.2265695999999999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1.3000000000000002E-4</v>
      </c>
      <c r="DW25">
        <v>6.5000000000000008E-5</v>
      </c>
      <c r="DX25">
        <v>0</v>
      </c>
      <c r="DY25">
        <v>1.3000000000000002E-4</v>
      </c>
      <c r="DZ25">
        <v>6.5000000000000008E-5</v>
      </c>
      <c r="EA25">
        <v>0</v>
      </c>
      <c r="EB25">
        <v>0</v>
      </c>
      <c r="EC25">
        <v>1.3000000000000002E-4</v>
      </c>
      <c r="ED25">
        <v>6.5000000000000008E-5</v>
      </c>
      <c r="EE25">
        <v>0</v>
      </c>
      <c r="EF25" s="15">
        <v>0</v>
      </c>
      <c r="EG25" s="15">
        <v>0</v>
      </c>
      <c r="EH25" s="15">
        <v>0</v>
      </c>
      <c r="EI25">
        <v>0</v>
      </c>
      <c r="EJ25">
        <f t="shared" si="6"/>
        <v>0</v>
      </c>
      <c r="EK25">
        <v>0</v>
      </c>
      <c r="EL25">
        <f t="shared" si="7"/>
        <v>0</v>
      </c>
      <c r="EM25">
        <v>0</v>
      </c>
      <c r="EN25">
        <f t="shared" si="12"/>
        <v>0</v>
      </c>
      <c r="EO25">
        <v>0</v>
      </c>
      <c r="EP25" s="15">
        <v>0</v>
      </c>
      <c r="EQ25" s="15">
        <v>0</v>
      </c>
      <c r="ER25" s="15">
        <v>0</v>
      </c>
      <c r="ES25">
        <v>0</v>
      </c>
      <c r="ET25">
        <f t="shared" si="9"/>
        <v>0</v>
      </c>
      <c r="EU25">
        <v>0</v>
      </c>
      <c r="EV25">
        <f t="shared" si="10"/>
        <v>0</v>
      </c>
      <c r="EW25">
        <v>0</v>
      </c>
      <c r="EX25">
        <f t="shared" si="11"/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0.11682954493601999</v>
      </c>
      <c r="FK25">
        <v>0.11682954493601999</v>
      </c>
      <c r="FL25">
        <v>0.11682954493601999</v>
      </c>
      <c r="FM25">
        <v>0.11682954493601999</v>
      </c>
      <c r="FN25">
        <v>0.11682954493601999</v>
      </c>
      <c r="FO25">
        <v>0.11682954493601999</v>
      </c>
      <c r="FP25">
        <v>0.10185220882315059</v>
      </c>
      <c r="FQ25">
        <v>0.10185220882315059</v>
      </c>
      <c r="FR25">
        <v>0.10185220882315059</v>
      </c>
      <c r="FS25">
        <v>0.10185220882315059</v>
      </c>
    </row>
    <row r="26" spans="1:175" x14ac:dyDescent="0.3">
      <c r="A26" s="171"/>
      <c r="B26" s="25" t="str">
        <f>B24</f>
        <v>Reactant11</v>
      </c>
      <c r="C26" s="11" t="s">
        <v>276</v>
      </c>
      <c r="D26" s="2" t="s">
        <v>225</v>
      </c>
      <c r="E26" s="9">
        <f t="shared" si="5"/>
        <v>18</v>
      </c>
      <c r="F26" s="13">
        <v>1</v>
      </c>
      <c r="G26" s="13" t="s">
        <v>228</v>
      </c>
      <c r="H26">
        <v>0</v>
      </c>
      <c r="I26" s="13" t="s">
        <v>12</v>
      </c>
      <c r="J26">
        <v>0</v>
      </c>
      <c r="K26">
        <v>0</v>
      </c>
      <c r="L26">
        <v>0</v>
      </c>
      <c r="M26">
        <v>0</v>
      </c>
      <c r="N26">
        <v>0</v>
      </c>
      <c r="O26">
        <v>400000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 s="14">
        <v>0</v>
      </c>
      <c r="AU26" s="14">
        <v>0</v>
      </c>
      <c r="AV26" s="14">
        <v>0</v>
      </c>
      <c r="AW26" s="14">
        <v>0</v>
      </c>
      <c r="AX26" s="14">
        <v>0</v>
      </c>
      <c r="AY26" s="14">
        <v>0</v>
      </c>
      <c r="AZ26" s="14">
        <v>0</v>
      </c>
      <c r="BA26" s="14">
        <v>0</v>
      </c>
      <c r="BB26" s="14">
        <v>0</v>
      </c>
      <c r="BC26" s="14">
        <v>0</v>
      </c>
      <c r="BD26" s="14">
        <v>1</v>
      </c>
      <c r="BE26" s="14">
        <v>1</v>
      </c>
      <c r="BF26" s="14">
        <v>1</v>
      </c>
      <c r="BG26" s="14">
        <v>1</v>
      </c>
      <c r="BH26" s="14">
        <v>1</v>
      </c>
      <c r="BI26" s="14">
        <v>1</v>
      </c>
      <c r="BJ26" s="14">
        <v>1</v>
      </c>
      <c r="BK26" s="14">
        <v>1</v>
      </c>
      <c r="BL26" s="14">
        <v>1</v>
      </c>
      <c r="BM26" s="14">
        <v>1</v>
      </c>
      <c r="BN26" s="14">
        <v>1</v>
      </c>
      <c r="BO26" s="14">
        <v>1</v>
      </c>
      <c r="BP26" s="14">
        <v>1</v>
      </c>
      <c r="BQ26" s="14">
        <v>1</v>
      </c>
      <c r="BR26" s="14">
        <v>1</v>
      </c>
      <c r="BS26" s="14">
        <v>1</v>
      </c>
      <c r="BT26" s="14">
        <v>1</v>
      </c>
      <c r="BU26" s="14">
        <v>1</v>
      </c>
      <c r="BV26" s="14">
        <v>1</v>
      </c>
      <c r="BW26" s="14">
        <v>1</v>
      </c>
      <c r="BX26">
        <f>4.5/1000</f>
        <v>4.4999999999999997E-3</v>
      </c>
      <c r="BY26">
        <f>(BZ26+BX26)/2</f>
        <v>2.7499999999999998E-3</v>
      </c>
      <c r="BZ26">
        <f>1/1000</f>
        <v>1E-3</v>
      </c>
      <c r="CA26">
        <f>4.5/1000</f>
        <v>4.4999999999999997E-3</v>
      </c>
      <c r="CB26">
        <v>2.7499999999999998E-3</v>
      </c>
      <c r="CC26">
        <f>1/1000</f>
        <v>1E-3</v>
      </c>
      <c r="CD26">
        <f>1/1000</f>
        <v>1E-3</v>
      </c>
      <c r="CE26">
        <f>1/1000</f>
        <v>1E-3</v>
      </c>
      <c r="CF26">
        <f>1/1000</f>
        <v>1E-3</v>
      </c>
      <c r="CG26">
        <f>1/1000</f>
        <v>1E-3</v>
      </c>
      <c r="CH26">
        <v>80.664240000000007</v>
      </c>
      <c r="CI26">
        <v>72.597820000000013</v>
      </c>
      <c r="CJ26">
        <v>64.531400000000005</v>
      </c>
      <c r="CK26">
        <v>72.597820000000013</v>
      </c>
      <c r="CL26">
        <v>64.531400000000005</v>
      </c>
      <c r="CM26">
        <v>64.531400000000005</v>
      </c>
      <c r="CN26">
        <v>64.531400000000005</v>
      </c>
      <c r="CO26">
        <v>64.531400000000005</v>
      </c>
      <c r="CP26">
        <v>64.531400000000005</v>
      </c>
      <c r="CQ26">
        <v>64.531400000000005</v>
      </c>
      <c r="CR26">
        <f t="shared" si="24"/>
        <v>2.4199272000000001</v>
      </c>
      <c r="CS26">
        <f t="shared" si="24"/>
        <v>2.1779346000000004</v>
      </c>
      <c r="CT26">
        <f t="shared" si="24"/>
        <v>1.9359420000000001</v>
      </c>
      <c r="CU26">
        <f t="shared" si="24"/>
        <v>2.1779346000000004</v>
      </c>
      <c r="CV26">
        <f t="shared" si="24"/>
        <v>1.9359420000000001</v>
      </c>
      <c r="CW26">
        <f t="shared" si="24"/>
        <v>1.9359420000000001</v>
      </c>
      <c r="CX26">
        <f t="shared" si="24"/>
        <v>1.9359420000000001</v>
      </c>
      <c r="CY26">
        <f t="shared" si="24"/>
        <v>1.9359420000000001</v>
      </c>
      <c r="CZ26">
        <f t="shared" si="24"/>
        <v>1.9359420000000001</v>
      </c>
      <c r="DA26">
        <f t="shared" si="24"/>
        <v>1.9359420000000001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2.7E-4</v>
      </c>
      <c r="DW26">
        <v>2.0000000000000001E-4</v>
      </c>
      <c r="DX26">
        <v>1.3000000000000002E-4</v>
      </c>
      <c r="DY26">
        <v>2.7E-4</v>
      </c>
      <c r="DZ26">
        <v>2.0000000000000001E-4</v>
      </c>
      <c r="EA26">
        <v>1.3000000000000002E-4</v>
      </c>
      <c r="EB26">
        <v>2.0000000000000001E-4</v>
      </c>
      <c r="EC26">
        <v>2.7E-4</v>
      </c>
      <c r="ED26">
        <v>2.0000000000000001E-4</v>
      </c>
      <c r="EE26">
        <v>1.3000000000000002E-4</v>
      </c>
      <c r="EF26" s="15">
        <v>0</v>
      </c>
      <c r="EG26" s="15">
        <v>0</v>
      </c>
      <c r="EH26" s="15">
        <v>0</v>
      </c>
      <c r="EI26">
        <v>0</v>
      </c>
      <c r="EJ26">
        <f t="shared" si="6"/>
        <v>0</v>
      </c>
      <c r="EK26">
        <v>0</v>
      </c>
      <c r="EL26">
        <f t="shared" si="7"/>
        <v>0</v>
      </c>
      <c r="EM26">
        <v>0</v>
      </c>
      <c r="EN26">
        <f t="shared" si="12"/>
        <v>0</v>
      </c>
      <c r="EO26">
        <v>0</v>
      </c>
      <c r="EP26" s="15">
        <v>0</v>
      </c>
      <c r="EQ26" s="15">
        <v>0</v>
      </c>
      <c r="ER26" s="15">
        <v>0</v>
      </c>
      <c r="ES26">
        <v>0</v>
      </c>
      <c r="ET26">
        <f t="shared" si="9"/>
        <v>0</v>
      </c>
      <c r="EU26">
        <v>0</v>
      </c>
      <c r="EV26">
        <f t="shared" si="10"/>
        <v>0</v>
      </c>
      <c r="EW26">
        <v>0</v>
      </c>
      <c r="EX26">
        <f t="shared" si="11"/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0.11682954493601999</v>
      </c>
      <c r="FK26">
        <v>0.11682954493601999</v>
      </c>
      <c r="FL26">
        <v>0.11682954493601999</v>
      </c>
      <c r="FM26">
        <v>0.11682954493601999</v>
      </c>
      <c r="FN26">
        <v>0.11682954493601999</v>
      </c>
      <c r="FO26">
        <v>0.11682954493601999</v>
      </c>
      <c r="FP26">
        <v>0.10185220882315059</v>
      </c>
      <c r="FQ26">
        <v>0.10185220882315059</v>
      </c>
      <c r="FR26">
        <v>0.10185220882315059</v>
      </c>
      <c r="FS26">
        <v>0.10185220882315059</v>
      </c>
    </row>
    <row r="27" spans="1:175" x14ac:dyDescent="0.3">
      <c r="A27" s="171"/>
      <c r="B27" s="3" t="s">
        <v>140</v>
      </c>
      <c r="C27" s="4" t="s">
        <v>13</v>
      </c>
      <c r="D27" s="2" t="s">
        <v>232</v>
      </c>
      <c r="E27" s="9">
        <f t="shared" si="5"/>
        <v>19</v>
      </c>
      <c r="F27" s="13">
        <v>1</v>
      </c>
      <c r="G27" s="13" t="s">
        <v>92</v>
      </c>
      <c r="H27">
        <v>0</v>
      </c>
      <c r="I27" s="24" t="str">
        <f>B24</f>
        <v>Reactant11</v>
      </c>
      <c r="J27">
        <v>0</v>
      </c>
      <c r="K27">
        <v>1</v>
      </c>
      <c r="L27">
        <v>0</v>
      </c>
      <c r="M27">
        <v>1</v>
      </c>
      <c r="N27">
        <v>0</v>
      </c>
      <c r="O27">
        <v>20000</v>
      </c>
      <c r="P27">
        <f t="shared" ref="P27:Y31" si="25">(1/9)*0.8</f>
        <v>8.8888888888888892E-2</v>
      </c>
      <c r="Q27">
        <f t="shared" si="25"/>
        <v>8.8888888888888892E-2</v>
      </c>
      <c r="R27">
        <f t="shared" si="25"/>
        <v>8.8888888888888892E-2</v>
      </c>
      <c r="S27">
        <f t="shared" si="25"/>
        <v>8.8888888888888892E-2</v>
      </c>
      <c r="T27">
        <f t="shared" si="25"/>
        <v>8.8888888888888892E-2</v>
      </c>
      <c r="U27">
        <f t="shared" si="25"/>
        <v>8.8888888888888892E-2</v>
      </c>
      <c r="V27">
        <f t="shared" si="25"/>
        <v>8.8888888888888892E-2</v>
      </c>
      <c r="W27">
        <f t="shared" si="25"/>
        <v>8.8888888888888892E-2</v>
      </c>
      <c r="X27">
        <f t="shared" si="25"/>
        <v>8.8888888888888892E-2</v>
      </c>
      <c r="Y27">
        <f t="shared" si="25"/>
        <v>8.8888888888888892E-2</v>
      </c>
      <c r="Z27">
        <v>7.4620000000000006</v>
      </c>
      <c r="AA27">
        <v>7.07</v>
      </c>
      <c r="AB27">
        <v>6.7200000000000006</v>
      </c>
      <c r="AC27">
        <v>5.6759999999999993</v>
      </c>
      <c r="AD27">
        <v>5.6759999999999993</v>
      </c>
      <c r="AE27">
        <v>5.6759999999999993</v>
      </c>
      <c r="AF27">
        <v>4.6150000000000002</v>
      </c>
      <c r="AG27">
        <v>3.6</v>
      </c>
      <c r="AH27">
        <v>3.6</v>
      </c>
      <c r="AI27">
        <v>3.6</v>
      </c>
      <c r="AJ27">
        <v>7.4620000000000006</v>
      </c>
      <c r="AK27">
        <v>7.07</v>
      </c>
      <c r="AL27">
        <v>6.7200000000000006</v>
      </c>
      <c r="AM27">
        <v>5.6759999999999993</v>
      </c>
      <c r="AN27">
        <v>5.6759999999999993</v>
      </c>
      <c r="AO27">
        <v>5.6759999999999993</v>
      </c>
      <c r="AP27">
        <v>4.6150000000000002</v>
      </c>
      <c r="AQ27">
        <v>3.6</v>
      </c>
      <c r="AR27">
        <v>3.6</v>
      </c>
      <c r="AS27">
        <v>3.6</v>
      </c>
      <c r="AT27" s="14">
        <v>0</v>
      </c>
      <c r="AU27" s="14">
        <v>0</v>
      </c>
      <c r="AV27" s="14">
        <v>0</v>
      </c>
      <c r="AW27" s="14">
        <v>0</v>
      </c>
      <c r="AX27" s="14">
        <v>0</v>
      </c>
      <c r="AY27" s="14">
        <v>0</v>
      </c>
      <c r="AZ27" s="14">
        <v>0</v>
      </c>
      <c r="BA27" s="14">
        <v>0</v>
      </c>
      <c r="BB27" s="14">
        <v>0</v>
      </c>
      <c r="BC27" s="14">
        <v>0</v>
      </c>
      <c r="BD27" s="14">
        <v>1</v>
      </c>
      <c r="BE27" s="14">
        <v>1</v>
      </c>
      <c r="BF27" s="14">
        <v>1</v>
      </c>
      <c r="BG27" s="14">
        <v>1</v>
      </c>
      <c r="BH27" s="14">
        <v>1</v>
      </c>
      <c r="BI27" s="14">
        <v>1</v>
      </c>
      <c r="BJ27" s="14">
        <v>1</v>
      </c>
      <c r="BK27" s="14">
        <v>1</v>
      </c>
      <c r="BL27" s="14">
        <v>1</v>
      </c>
      <c r="BM27" s="14">
        <v>1</v>
      </c>
      <c r="BN27" s="14">
        <v>1</v>
      </c>
      <c r="BO27" s="14">
        <v>1</v>
      </c>
      <c r="BP27" s="14">
        <v>1</v>
      </c>
      <c r="BQ27" s="14">
        <v>1</v>
      </c>
      <c r="BR27" s="14">
        <v>1</v>
      </c>
      <c r="BS27" s="14">
        <v>1</v>
      </c>
      <c r="BT27" s="14">
        <v>1</v>
      </c>
      <c r="BU27" s="14">
        <v>1</v>
      </c>
      <c r="BV27" s="14">
        <v>1</v>
      </c>
      <c r="BW27" s="14">
        <v>1</v>
      </c>
      <c r="BX27">
        <v>53.3</v>
      </c>
      <c r="BY27">
        <v>51.5</v>
      </c>
      <c r="BZ27">
        <v>50</v>
      </c>
      <c r="CA27">
        <v>51.7</v>
      </c>
      <c r="CB27">
        <v>49.8</v>
      </c>
      <c r="CC27">
        <v>47.3</v>
      </c>
      <c r="CD27">
        <f>(CB27+CF27)/2</f>
        <v>49.4</v>
      </c>
      <c r="CE27">
        <v>49</v>
      </c>
      <c r="CF27">
        <v>49</v>
      </c>
      <c r="CG27">
        <v>45</v>
      </c>
      <c r="CH27">
        <v>58440.827173081707</v>
      </c>
      <c r="CI27">
        <v>55000</v>
      </c>
      <c r="CJ27">
        <v>52629.637979510735</v>
      </c>
      <c r="CK27">
        <v>39840</v>
      </c>
      <c r="CL27">
        <v>39840</v>
      </c>
      <c r="CM27">
        <v>39840</v>
      </c>
      <c r="CN27">
        <f>(CL27+CP27)/2</f>
        <v>32370</v>
      </c>
      <c r="CO27">
        <v>24900</v>
      </c>
      <c r="CP27">
        <v>24900</v>
      </c>
      <c r="CQ27">
        <v>24900</v>
      </c>
      <c r="CR27">
        <f t="shared" ref="CR27:CX27" si="26">10%*CH27</f>
        <v>5844.0827173081707</v>
      </c>
      <c r="CS27">
        <f t="shared" si="26"/>
        <v>5500</v>
      </c>
      <c r="CT27">
        <f t="shared" si="26"/>
        <v>5262.9637979510735</v>
      </c>
      <c r="CU27">
        <f t="shared" si="26"/>
        <v>3984</v>
      </c>
      <c r="CV27">
        <f t="shared" si="26"/>
        <v>3984</v>
      </c>
      <c r="CW27">
        <f t="shared" si="26"/>
        <v>3984</v>
      </c>
      <c r="CX27">
        <f t="shared" si="26"/>
        <v>3237</v>
      </c>
      <c r="CY27">
        <f t="shared" ref="CY27:DA27" si="27">10%*CO27</f>
        <v>2490</v>
      </c>
      <c r="CZ27">
        <f t="shared" si="27"/>
        <v>2490</v>
      </c>
      <c r="DA27">
        <f t="shared" si="27"/>
        <v>2490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121.81376196100278</v>
      </c>
      <c r="EG27">
        <v>115.4145399442897</v>
      </c>
      <c r="EH27">
        <v>109.70094885793873</v>
      </c>
      <c r="EI27">
        <v>0</v>
      </c>
      <c r="EJ27">
        <f t="shared" si="6"/>
        <v>115.4145399442897</v>
      </c>
      <c r="EK27">
        <v>0</v>
      </c>
      <c r="EL27">
        <f t="shared" si="7"/>
        <v>115.4145399442897</v>
      </c>
      <c r="EM27">
        <v>0</v>
      </c>
      <c r="EN27">
        <f t="shared" si="12"/>
        <v>115.4145399442897</v>
      </c>
      <c r="EO27">
        <v>0</v>
      </c>
      <c r="EP27">
        <v>0</v>
      </c>
      <c r="EQ27">
        <v>0</v>
      </c>
      <c r="ER27">
        <v>0</v>
      </c>
      <c r="ES27">
        <v>0</v>
      </c>
      <c r="ET27">
        <f t="shared" si="9"/>
        <v>0</v>
      </c>
      <c r="EU27">
        <v>0</v>
      </c>
      <c r="EV27">
        <f t="shared" si="10"/>
        <v>0</v>
      </c>
      <c r="EW27">
        <v>0</v>
      </c>
      <c r="EX27">
        <f t="shared" si="11"/>
        <v>0</v>
      </c>
      <c r="EY27">
        <v>0</v>
      </c>
      <c r="EZ27">
        <v>22.409999999999997</v>
      </c>
      <c r="FA27">
        <v>22.409999999999997</v>
      </c>
      <c r="FB27">
        <v>22.409999999999997</v>
      </c>
      <c r="FC27">
        <v>22.409999999999997</v>
      </c>
      <c r="FD27">
        <v>22.409999999999997</v>
      </c>
      <c r="FE27">
        <v>22.409999999999997</v>
      </c>
      <c r="FF27">
        <v>22.409999999999997</v>
      </c>
      <c r="FG27">
        <v>22.409999999999997</v>
      </c>
      <c r="FH27">
        <v>22.409999999999997</v>
      </c>
      <c r="FI27">
        <v>22.409999999999997</v>
      </c>
      <c r="FJ27" s="51">
        <f>1/11.3</f>
        <v>8.8495575221238937E-2</v>
      </c>
      <c r="FK27" s="51">
        <f t="shared" ref="FK27:FS29" si="28">1/11.3</f>
        <v>8.8495575221238937E-2</v>
      </c>
      <c r="FL27" s="51">
        <f t="shared" si="28"/>
        <v>8.8495575221238937E-2</v>
      </c>
      <c r="FM27" s="51">
        <f t="shared" si="28"/>
        <v>8.8495575221238937E-2</v>
      </c>
      <c r="FN27" s="51">
        <f t="shared" si="28"/>
        <v>8.8495575221238937E-2</v>
      </c>
      <c r="FO27" s="51">
        <f t="shared" si="28"/>
        <v>8.8495575221238937E-2</v>
      </c>
      <c r="FP27" s="51">
        <f t="shared" si="28"/>
        <v>8.8495575221238937E-2</v>
      </c>
      <c r="FQ27" s="51">
        <f t="shared" si="28"/>
        <v>8.8495575221238937E-2</v>
      </c>
      <c r="FR27" s="51">
        <f t="shared" si="28"/>
        <v>8.8495575221238937E-2</v>
      </c>
      <c r="FS27" s="51">
        <f t="shared" si="28"/>
        <v>8.8495575221238937E-2</v>
      </c>
    </row>
    <row r="28" spans="1:175" x14ac:dyDescent="0.3">
      <c r="A28" s="171"/>
      <c r="B28" s="3" t="s">
        <v>140</v>
      </c>
      <c r="C28" s="4" t="s">
        <v>13</v>
      </c>
      <c r="D28" s="2" t="s">
        <v>242</v>
      </c>
      <c r="E28" s="9">
        <f t="shared" si="5"/>
        <v>20</v>
      </c>
      <c r="F28" s="13">
        <v>1</v>
      </c>
      <c r="G28" s="13" t="s">
        <v>245</v>
      </c>
      <c r="H28">
        <v>0</v>
      </c>
      <c r="I28" s="24" t="str">
        <f>B24</f>
        <v>Reactant11</v>
      </c>
      <c r="J28">
        <v>0</v>
      </c>
      <c r="K28">
        <v>1</v>
      </c>
      <c r="L28">
        <v>0</v>
      </c>
      <c r="M28">
        <v>1</v>
      </c>
      <c r="N28">
        <v>0</v>
      </c>
      <c r="O28">
        <f>O27</f>
        <v>20000</v>
      </c>
      <c r="P28">
        <f t="shared" si="25"/>
        <v>8.8888888888888892E-2</v>
      </c>
      <c r="Q28">
        <f t="shared" si="25"/>
        <v>8.8888888888888892E-2</v>
      </c>
      <c r="R28">
        <f t="shared" si="25"/>
        <v>8.8888888888888892E-2</v>
      </c>
      <c r="S28">
        <f t="shared" si="25"/>
        <v>8.8888888888888892E-2</v>
      </c>
      <c r="T28">
        <f t="shared" si="25"/>
        <v>8.8888888888888892E-2</v>
      </c>
      <c r="U28">
        <f t="shared" si="25"/>
        <v>8.8888888888888892E-2</v>
      </c>
      <c r="V28">
        <f t="shared" si="25"/>
        <v>8.8888888888888892E-2</v>
      </c>
      <c r="W28">
        <f t="shared" si="25"/>
        <v>8.8888888888888892E-2</v>
      </c>
      <c r="X28">
        <f t="shared" si="25"/>
        <v>8.8888888888888892E-2</v>
      </c>
      <c r="Y28">
        <f t="shared" si="25"/>
        <v>8.8888888888888892E-2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 s="14">
        <v>0</v>
      </c>
      <c r="AU28" s="14">
        <v>0</v>
      </c>
      <c r="AV28" s="14">
        <v>0</v>
      </c>
      <c r="AW28" s="14">
        <v>0</v>
      </c>
      <c r="AX28" s="14">
        <v>0</v>
      </c>
      <c r="AY28" s="14">
        <v>0</v>
      </c>
      <c r="AZ28" s="14">
        <v>0</v>
      </c>
      <c r="BA28" s="14">
        <v>0</v>
      </c>
      <c r="BB28" s="14">
        <v>0</v>
      </c>
      <c r="BC28" s="14">
        <v>0</v>
      </c>
      <c r="BD28" s="14">
        <v>1</v>
      </c>
      <c r="BE28" s="14">
        <v>1</v>
      </c>
      <c r="BF28" s="14">
        <v>1</v>
      </c>
      <c r="BG28" s="14">
        <v>1</v>
      </c>
      <c r="BH28" s="14">
        <v>1</v>
      </c>
      <c r="BI28" s="14">
        <v>1</v>
      </c>
      <c r="BJ28" s="14">
        <v>1</v>
      </c>
      <c r="BK28" s="14">
        <v>1</v>
      </c>
      <c r="BL28" s="14">
        <v>1</v>
      </c>
      <c r="BM28" s="14">
        <v>1</v>
      </c>
      <c r="BN28" s="14">
        <v>1</v>
      </c>
      <c r="BO28" s="14">
        <v>1</v>
      </c>
      <c r="BP28" s="14">
        <v>1</v>
      </c>
      <c r="BQ28" s="14">
        <v>1</v>
      </c>
      <c r="BR28" s="14">
        <v>1</v>
      </c>
      <c r="BS28" s="14">
        <v>1</v>
      </c>
      <c r="BT28" s="14">
        <v>1</v>
      </c>
      <c r="BU28" s="14">
        <v>1</v>
      </c>
      <c r="BV28" s="14">
        <v>1</v>
      </c>
      <c r="BW28" s="14">
        <v>1</v>
      </c>
      <c r="BX28" s="1">
        <v>34.200000000000003</v>
      </c>
      <c r="BY28" s="1">
        <v>34.200000000000003</v>
      </c>
      <c r="BZ28" s="1">
        <v>34.200000000000003</v>
      </c>
      <c r="CA28" s="1">
        <v>34.200000000000003</v>
      </c>
      <c r="CB28" s="1">
        <v>34.200000000000003</v>
      </c>
      <c r="CC28" s="1">
        <v>34.200000000000003</v>
      </c>
      <c r="CD28" s="1">
        <v>34.200000000000003</v>
      </c>
      <c r="CE28" s="1">
        <v>34.200000000000003</v>
      </c>
      <c r="CF28" s="1">
        <v>34.200000000000003</v>
      </c>
      <c r="CG28" s="1">
        <v>34.200000000000003</v>
      </c>
      <c r="CH28" s="1">
        <v>105260</v>
      </c>
      <c r="CI28" s="1">
        <v>105260</v>
      </c>
      <c r="CJ28" s="1">
        <v>105260</v>
      </c>
      <c r="CK28">
        <v>39583.978111776618</v>
      </c>
      <c r="CL28">
        <v>39583.978111776618</v>
      </c>
      <c r="CM28">
        <v>39583.978111776618</v>
      </c>
      <c r="CN28">
        <f>(CL28+CP28)/2</f>
        <v>27391.989055888309</v>
      </c>
      <c r="CO28">
        <v>15200</v>
      </c>
      <c r="CP28">
        <v>15200</v>
      </c>
      <c r="CQ28">
        <v>15200</v>
      </c>
      <c r="CR28" s="1">
        <f t="shared" ref="CR28:CX28" si="29">8.55%*CH28</f>
        <v>8999.7300000000014</v>
      </c>
      <c r="CS28" s="1">
        <f t="shared" si="29"/>
        <v>8999.7300000000014</v>
      </c>
      <c r="CT28" s="1">
        <f t="shared" si="29"/>
        <v>8999.7300000000014</v>
      </c>
      <c r="CU28" s="1">
        <f t="shared" si="29"/>
        <v>3384.4301285569013</v>
      </c>
      <c r="CV28" s="1">
        <f t="shared" si="29"/>
        <v>3384.4301285569013</v>
      </c>
      <c r="CW28" s="1">
        <f t="shared" si="29"/>
        <v>3384.4301285569013</v>
      </c>
      <c r="CX28" s="1">
        <f t="shared" si="29"/>
        <v>2342.0150642784506</v>
      </c>
      <c r="CY28" s="1">
        <f t="shared" ref="CY28:DA29" si="30">8.55%*CO28</f>
        <v>1299.6000000000001</v>
      </c>
      <c r="CZ28" s="1">
        <f t="shared" si="30"/>
        <v>1299.6000000000001</v>
      </c>
      <c r="DA28" s="1">
        <f t="shared" si="30"/>
        <v>1299.6000000000001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 s="16">
        <v>127.29937324137931</v>
      </c>
      <c r="EG28" s="16">
        <v>120.74318234482759</v>
      </c>
      <c r="EH28" s="16">
        <v>114.73334068965517</v>
      </c>
      <c r="EI28">
        <v>0</v>
      </c>
      <c r="EJ28">
        <f t="shared" si="6"/>
        <v>120.74318234482759</v>
      </c>
      <c r="EK28">
        <v>0</v>
      </c>
      <c r="EL28">
        <f t="shared" si="7"/>
        <v>120.74318234482759</v>
      </c>
      <c r="EM28">
        <v>0</v>
      </c>
      <c r="EN28">
        <f t="shared" si="12"/>
        <v>120.74318234482759</v>
      </c>
      <c r="EO28">
        <v>0</v>
      </c>
      <c r="EP28" s="16">
        <v>0</v>
      </c>
      <c r="EQ28" s="16">
        <v>0</v>
      </c>
      <c r="ER28" s="16">
        <v>0</v>
      </c>
      <c r="ES28">
        <v>0</v>
      </c>
      <c r="ET28">
        <f t="shared" si="9"/>
        <v>0</v>
      </c>
      <c r="EU28">
        <v>0</v>
      </c>
      <c r="EV28">
        <f t="shared" si="10"/>
        <v>0</v>
      </c>
      <c r="EW28">
        <v>0</v>
      </c>
      <c r="EX28">
        <f t="shared" si="11"/>
        <v>0</v>
      </c>
      <c r="EY28">
        <v>0</v>
      </c>
      <c r="EZ28">
        <v>15.936</v>
      </c>
      <c r="FA28">
        <v>15.936</v>
      </c>
      <c r="FB28">
        <v>15.936</v>
      </c>
      <c r="FC28">
        <v>15.936</v>
      </c>
      <c r="FD28">
        <v>15.936</v>
      </c>
      <c r="FE28">
        <v>15.936</v>
      </c>
      <c r="FF28">
        <v>15.936</v>
      </c>
      <c r="FG28">
        <v>15.936</v>
      </c>
      <c r="FH28">
        <v>15.936</v>
      </c>
      <c r="FI28">
        <v>15.936</v>
      </c>
      <c r="FJ28" s="51">
        <f>1/11.3</f>
        <v>8.8495575221238937E-2</v>
      </c>
      <c r="FK28" s="51">
        <f t="shared" si="28"/>
        <v>8.8495575221238937E-2</v>
      </c>
      <c r="FL28" s="51">
        <f t="shared" si="28"/>
        <v>8.8495575221238937E-2</v>
      </c>
      <c r="FM28" s="51">
        <f t="shared" si="28"/>
        <v>8.8495575221238937E-2</v>
      </c>
      <c r="FN28" s="51">
        <f t="shared" si="28"/>
        <v>8.8495575221238937E-2</v>
      </c>
      <c r="FO28" s="51">
        <f t="shared" si="28"/>
        <v>8.8495575221238937E-2</v>
      </c>
      <c r="FP28" s="51">
        <f t="shared" si="28"/>
        <v>8.8495575221238937E-2</v>
      </c>
      <c r="FQ28" s="51">
        <f t="shared" si="28"/>
        <v>8.8495575221238937E-2</v>
      </c>
      <c r="FR28" s="51">
        <f t="shared" si="28"/>
        <v>8.8495575221238937E-2</v>
      </c>
      <c r="FS28" s="51">
        <f t="shared" si="28"/>
        <v>8.8495575221238937E-2</v>
      </c>
    </row>
    <row r="29" spans="1:175" x14ac:dyDescent="0.3">
      <c r="A29" s="171"/>
      <c r="B29" s="3" t="s">
        <v>140</v>
      </c>
      <c r="C29" s="4" t="s">
        <v>13</v>
      </c>
      <c r="D29" s="2" t="s">
        <v>241</v>
      </c>
      <c r="E29" s="9">
        <f t="shared" si="5"/>
        <v>21</v>
      </c>
      <c r="F29" s="13">
        <v>1</v>
      </c>
      <c r="G29" s="13" t="s">
        <v>246</v>
      </c>
      <c r="H29">
        <v>0</v>
      </c>
      <c r="I29" s="24" t="str">
        <f>B24</f>
        <v>Reactant11</v>
      </c>
      <c r="J29">
        <v>0</v>
      </c>
      <c r="K29">
        <v>1</v>
      </c>
      <c r="L29">
        <v>0</v>
      </c>
      <c r="M29">
        <v>1</v>
      </c>
      <c r="N29">
        <v>0</v>
      </c>
      <c r="O29">
        <f>O28</f>
        <v>20000</v>
      </c>
      <c r="P29">
        <f t="shared" si="25"/>
        <v>8.8888888888888892E-2</v>
      </c>
      <c r="Q29">
        <f t="shared" si="25"/>
        <v>8.8888888888888892E-2</v>
      </c>
      <c r="R29">
        <f t="shared" si="25"/>
        <v>8.8888888888888892E-2</v>
      </c>
      <c r="S29">
        <f t="shared" si="25"/>
        <v>8.8888888888888892E-2</v>
      </c>
      <c r="T29">
        <f t="shared" si="25"/>
        <v>8.8888888888888892E-2</v>
      </c>
      <c r="U29">
        <f t="shared" si="25"/>
        <v>8.8888888888888892E-2</v>
      </c>
      <c r="V29">
        <f t="shared" si="25"/>
        <v>8.8888888888888892E-2</v>
      </c>
      <c r="W29">
        <f t="shared" si="25"/>
        <v>8.8888888888888892E-2</v>
      </c>
      <c r="X29">
        <f t="shared" si="25"/>
        <v>8.8888888888888892E-2</v>
      </c>
      <c r="Y29">
        <f t="shared" si="25"/>
        <v>8.8888888888888892E-2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 s="14">
        <v>0</v>
      </c>
      <c r="AU29" s="14">
        <v>0</v>
      </c>
      <c r="AV29" s="14">
        <v>0</v>
      </c>
      <c r="AW29" s="14">
        <v>0</v>
      </c>
      <c r="AX29" s="14">
        <v>0</v>
      </c>
      <c r="AY29" s="14">
        <v>0</v>
      </c>
      <c r="AZ29" s="14">
        <v>0</v>
      </c>
      <c r="BA29" s="14">
        <v>0</v>
      </c>
      <c r="BB29" s="14">
        <v>0</v>
      </c>
      <c r="BC29" s="14">
        <v>0</v>
      </c>
      <c r="BD29" s="14">
        <v>1</v>
      </c>
      <c r="BE29" s="14">
        <v>1</v>
      </c>
      <c r="BF29" s="14">
        <v>1</v>
      </c>
      <c r="BG29" s="14">
        <v>1</v>
      </c>
      <c r="BH29" s="14">
        <v>1</v>
      </c>
      <c r="BI29" s="14">
        <v>1</v>
      </c>
      <c r="BJ29" s="14">
        <v>1</v>
      </c>
      <c r="BK29" s="14">
        <v>1</v>
      </c>
      <c r="BL29" s="14">
        <v>1</v>
      </c>
      <c r="BM29" s="14">
        <v>1</v>
      </c>
      <c r="BN29" s="14">
        <v>1</v>
      </c>
      <c r="BO29" s="14">
        <v>1</v>
      </c>
      <c r="BP29" s="14">
        <v>1</v>
      </c>
      <c r="BQ29" s="14">
        <v>1</v>
      </c>
      <c r="BR29" s="14">
        <v>1</v>
      </c>
      <c r="BS29" s="14">
        <v>1</v>
      </c>
      <c r="BT29" s="14">
        <v>1</v>
      </c>
      <c r="BU29" s="14">
        <v>1</v>
      </c>
      <c r="BV29" s="14">
        <v>1</v>
      </c>
      <c r="BW29" s="14">
        <v>1</v>
      </c>
      <c r="BX29" s="1">
        <v>44</v>
      </c>
      <c r="BY29" s="1">
        <v>44</v>
      </c>
      <c r="BZ29" s="1">
        <v>44</v>
      </c>
      <c r="CA29" s="24">
        <v>43.2</v>
      </c>
      <c r="CB29" s="24">
        <v>43.2</v>
      </c>
      <c r="CC29" s="24">
        <v>43.2</v>
      </c>
      <c r="CD29" s="1">
        <f>(CB29+CF29)/2</f>
        <v>41.6</v>
      </c>
      <c r="CE29">
        <v>40</v>
      </c>
      <c r="CF29">
        <v>40</v>
      </c>
      <c r="CG29">
        <v>40</v>
      </c>
      <c r="CH29" s="1">
        <v>105260</v>
      </c>
      <c r="CI29" s="1">
        <v>105260</v>
      </c>
      <c r="CJ29" s="1">
        <v>105260</v>
      </c>
      <c r="CK29">
        <v>39583.978111776618</v>
      </c>
      <c r="CL29">
        <v>39583.978111776618</v>
      </c>
      <c r="CM29">
        <v>39583.978111776618</v>
      </c>
      <c r="CN29">
        <f>(CL29+CP29)/2</f>
        <v>27391.989055888309</v>
      </c>
      <c r="CO29">
        <v>15200</v>
      </c>
      <c r="CP29">
        <v>15200</v>
      </c>
      <c r="CQ29">
        <v>15200</v>
      </c>
      <c r="CR29" s="1">
        <f>8.55%*CH29</f>
        <v>8999.7300000000014</v>
      </c>
      <c r="CS29" s="1">
        <f t="shared" ref="CS29:CT29" si="31">8.55%*CI29</f>
        <v>8999.7300000000014</v>
      </c>
      <c r="CT29" s="1">
        <f t="shared" si="31"/>
        <v>8999.7300000000014</v>
      </c>
      <c r="CU29" s="1">
        <f t="shared" ref="CU29:CW29" si="32">8.55%*CK29</f>
        <v>3384.4301285569013</v>
      </c>
      <c r="CV29" s="1">
        <f t="shared" si="32"/>
        <v>3384.4301285569013</v>
      </c>
      <c r="CW29" s="1">
        <f t="shared" si="32"/>
        <v>3384.4301285569013</v>
      </c>
      <c r="CX29" s="1">
        <f t="shared" ref="CX29" si="33">8.55%*CN29</f>
        <v>2342.0150642784506</v>
      </c>
      <c r="CY29" s="1">
        <f t="shared" si="30"/>
        <v>1299.6000000000001</v>
      </c>
      <c r="CZ29" s="1">
        <f t="shared" si="30"/>
        <v>1299.6000000000001</v>
      </c>
      <c r="DA29" s="1">
        <f t="shared" si="30"/>
        <v>1299.6000000000001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 s="16">
        <v>127.29937324137931</v>
      </c>
      <c r="EG29" s="16">
        <v>120.74318234482759</v>
      </c>
      <c r="EH29" s="16">
        <v>114.73334068965517</v>
      </c>
      <c r="EI29">
        <v>0</v>
      </c>
      <c r="EJ29">
        <f t="shared" si="6"/>
        <v>120.74318234482759</v>
      </c>
      <c r="EK29">
        <v>0</v>
      </c>
      <c r="EL29">
        <f t="shared" si="7"/>
        <v>120.74318234482759</v>
      </c>
      <c r="EM29">
        <v>0</v>
      </c>
      <c r="EN29">
        <f t="shared" si="12"/>
        <v>120.74318234482759</v>
      </c>
      <c r="EO29">
        <v>0</v>
      </c>
      <c r="EP29" s="16">
        <v>0</v>
      </c>
      <c r="EQ29" s="16">
        <v>0</v>
      </c>
      <c r="ER29" s="16">
        <v>0</v>
      </c>
      <c r="ES29">
        <v>0</v>
      </c>
      <c r="ET29">
        <f t="shared" si="9"/>
        <v>0</v>
      </c>
      <c r="EU29">
        <v>0</v>
      </c>
      <c r="EV29">
        <f t="shared" si="10"/>
        <v>0</v>
      </c>
      <c r="EW29">
        <v>0</v>
      </c>
      <c r="EX29">
        <f t="shared" si="11"/>
        <v>0</v>
      </c>
      <c r="EY29">
        <v>0</v>
      </c>
      <c r="EZ29">
        <v>15.936</v>
      </c>
      <c r="FA29">
        <v>15.936</v>
      </c>
      <c r="FB29">
        <v>15.936</v>
      </c>
      <c r="FC29">
        <v>15.936</v>
      </c>
      <c r="FD29">
        <v>15.936</v>
      </c>
      <c r="FE29">
        <v>15.936</v>
      </c>
      <c r="FF29">
        <v>15.936</v>
      </c>
      <c r="FG29">
        <v>15.936</v>
      </c>
      <c r="FH29">
        <v>15.936</v>
      </c>
      <c r="FI29">
        <v>15.936</v>
      </c>
      <c r="FJ29" s="51">
        <f>1/11.3</f>
        <v>8.8495575221238937E-2</v>
      </c>
      <c r="FK29" s="51">
        <f t="shared" si="28"/>
        <v>8.8495575221238937E-2</v>
      </c>
      <c r="FL29" s="51">
        <f t="shared" si="28"/>
        <v>8.8495575221238937E-2</v>
      </c>
      <c r="FM29" s="51">
        <f t="shared" si="28"/>
        <v>8.8495575221238937E-2</v>
      </c>
      <c r="FN29" s="51">
        <f t="shared" si="28"/>
        <v>8.8495575221238937E-2</v>
      </c>
      <c r="FO29" s="51">
        <f t="shared" si="28"/>
        <v>8.8495575221238937E-2</v>
      </c>
      <c r="FP29" s="51">
        <f t="shared" si="28"/>
        <v>8.8495575221238937E-2</v>
      </c>
      <c r="FQ29" s="51">
        <f t="shared" si="28"/>
        <v>8.8495575221238937E-2</v>
      </c>
      <c r="FR29" s="51">
        <f t="shared" si="28"/>
        <v>8.8495575221238937E-2</v>
      </c>
      <c r="FS29" s="51">
        <f t="shared" si="28"/>
        <v>8.8495575221238937E-2</v>
      </c>
    </row>
    <row r="30" spans="1:175" x14ac:dyDescent="0.3">
      <c r="A30" s="171"/>
      <c r="B30" s="3" t="s">
        <v>140</v>
      </c>
      <c r="C30" s="4" t="s">
        <v>13</v>
      </c>
      <c r="D30" s="2" t="s">
        <v>243</v>
      </c>
      <c r="E30" s="9">
        <f t="shared" si="5"/>
        <v>22</v>
      </c>
      <c r="F30" s="13">
        <v>1</v>
      </c>
      <c r="G30" s="13" t="s">
        <v>247</v>
      </c>
      <c r="H30">
        <v>0</v>
      </c>
      <c r="I30" s="24" t="str">
        <f>B24</f>
        <v>Reactant11</v>
      </c>
      <c r="J30">
        <v>0</v>
      </c>
      <c r="K30">
        <v>1</v>
      </c>
      <c r="L30">
        <v>0</v>
      </c>
      <c r="M30">
        <v>1</v>
      </c>
      <c r="N30">
        <v>0</v>
      </c>
      <c r="O30">
        <f>O28</f>
        <v>20000</v>
      </c>
      <c r="P30">
        <f t="shared" si="25"/>
        <v>8.8888888888888892E-2</v>
      </c>
      <c r="Q30">
        <f t="shared" si="25"/>
        <v>8.8888888888888892E-2</v>
      </c>
      <c r="R30">
        <f t="shared" si="25"/>
        <v>8.8888888888888892E-2</v>
      </c>
      <c r="S30">
        <f t="shared" si="25"/>
        <v>8.8888888888888892E-2</v>
      </c>
      <c r="T30">
        <f t="shared" si="25"/>
        <v>8.8888888888888892E-2</v>
      </c>
      <c r="U30">
        <f t="shared" si="25"/>
        <v>8.8888888888888892E-2</v>
      </c>
      <c r="V30">
        <f t="shared" si="25"/>
        <v>8.8888888888888892E-2</v>
      </c>
      <c r="W30">
        <f t="shared" si="25"/>
        <v>8.8888888888888892E-2</v>
      </c>
      <c r="X30">
        <f t="shared" si="25"/>
        <v>8.8888888888888892E-2</v>
      </c>
      <c r="Y30">
        <f t="shared" si="25"/>
        <v>8.8888888888888892E-2</v>
      </c>
      <c r="Z30">
        <f>Z27*0.75</f>
        <v>5.5965000000000007</v>
      </c>
      <c r="AA30">
        <f t="shared" ref="AA30:AI30" si="34">AA27*0.75</f>
        <v>5.3025000000000002</v>
      </c>
      <c r="AB30">
        <f t="shared" si="34"/>
        <v>5.0400000000000009</v>
      </c>
      <c r="AC30">
        <f t="shared" si="34"/>
        <v>4.2569999999999997</v>
      </c>
      <c r="AD30">
        <f t="shared" si="34"/>
        <v>4.2569999999999997</v>
      </c>
      <c r="AE30">
        <f t="shared" si="34"/>
        <v>4.2569999999999997</v>
      </c>
      <c r="AF30">
        <f t="shared" si="34"/>
        <v>3.4612500000000002</v>
      </c>
      <c r="AG30">
        <f t="shared" si="34"/>
        <v>2.7</v>
      </c>
      <c r="AH30">
        <f t="shared" si="34"/>
        <v>2.7</v>
      </c>
      <c r="AI30">
        <f t="shared" si="34"/>
        <v>2.7</v>
      </c>
      <c r="AJ30">
        <f>AJ27*0.75</f>
        <v>5.5965000000000007</v>
      </c>
      <c r="AK30">
        <f t="shared" ref="AK30:AS30" si="35">AK27*0.75</f>
        <v>5.3025000000000002</v>
      </c>
      <c r="AL30">
        <f t="shared" si="35"/>
        <v>5.0400000000000009</v>
      </c>
      <c r="AM30">
        <f t="shared" si="35"/>
        <v>4.2569999999999997</v>
      </c>
      <c r="AN30">
        <f t="shared" si="35"/>
        <v>4.2569999999999997</v>
      </c>
      <c r="AO30">
        <f t="shared" si="35"/>
        <v>4.2569999999999997</v>
      </c>
      <c r="AP30">
        <f t="shared" si="35"/>
        <v>3.4612500000000002</v>
      </c>
      <c r="AQ30">
        <f t="shared" si="35"/>
        <v>2.7</v>
      </c>
      <c r="AR30">
        <f t="shared" si="35"/>
        <v>2.7</v>
      </c>
      <c r="AS30">
        <f t="shared" si="35"/>
        <v>2.7</v>
      </c>
      <c r="AT30" s="14">
        <v>0</v>
      </c>
      <c r="AU30" s="14">
        <v>0</v>
      </c>
      <c r="AV30" s="14">
        <v>0</v>
      </c>
      <c r="AW30" s="14">
        <v>0</v>
      </c>
      <c r="AX30" s="14">
        <v>0</v>
      </c>
      <c r="AY30" s="14">
        <v>0</v>
      </c>
      <c r="AZ30" s="14">
        <v>0</v>
      </c>
      <c r="BA30" s="14">
        <v>0</v>
      </c>
      <c r="BB30" s="14">
        <v>0</v>
      </c>
      <c r="BC30" s="14">
        <v>0</v>
      </c>
      <c r="BD30" s="14">
        <v>1</v>
      </c>
      <c r="BE30" s="14">
        <v>1</v>
      </c>
      <c r="BF30" s="14">
        <v>1</v>
      </c>
      <c r="BG30" s="14">
        <v>1</v>
      </c>
      <c r="BH30" s="14">
        <v>1</v>
      </c>
      <c r="BI30" s="14">
        <v>1</v>
      </c>
      <c r="BJ30" s="14">
        <v>1</v>
      </c>
      <c r="BK30" s="14">
        <v>1</v>
      </c>
      <c r="BL30" s="14">
        <v>1</v>
      </c>
      <c r="BM30" s="14">
        <v>1</v>
      </c>
      <c r="BN30" s="14">
        <v>1</v>
      </c>
      <c r="BO30" s="14">
        <v>1</v>
      </c>
      <c r="BP30" s="14">
        <v>1</v>
      </c>
      <c r="BQ30" s="14">
        <v>1</v>
      </c>
      <c r="BR30" s="14">
        <v>1</v>
      </c>
      <c r="BS30" s="14">
        <v>1</v>
      </c>
      <c r="BT30" s="14">
        <v>1</v>
      </c>
      <c r="BU30" s="14">
        <v>1</v>
      </c>
      <c r="BV30" s="14">
        <v>1</v>
      </c>
      <c r="BW30" s="14">
        <v>1</v>
      </c>
      <c r="BX30" s="1">
        <f>BX27*0.75+BX28*0.25</f>
        <v>48.524999999999991</v>
      </c>
      <c r="BY30" s="1">
        <f t="shared" ref="BY30:CG30" si="36">BY27*0.75+BY28*0.25</f>
        <v>47.174999999999997</v>
      </c>
      <c r="BZ30" s="1">
        <f t="shared" si="36"/>
        <v>46.05</v>
      </c>
      <c r="CA30" s="1">
        <f t="shared" si="36"/>
        <v>47.325000000000003</v>
      </c>
      <c r="CB30" s="1">
        <f t="shared" si="36"/>
        <v>45.899999999999991</v>
      </c>
      <c r="CC30" s="1">
        <f t="shared" si="36"/>
        <v>44.024999999999991</v>
      </c>
      <c r="CD30" s="1">
        <f t="shared" si="36"/>
        <v>45.599999999999994</v>
      </c>
      <c r="CE30" s="1">
        <f t="shared" si="36"/>
        <v>45.3</v>
      </c>
      <c r="CF30" s="1">
        <f t="shared" si="36"/>
        <v>45.3</v>
      </c>
      <c r="CG30" s="1">
        <f t="shared" si="36"/>
        <v>42.3</v>
      </c>
      <c r="CH30" s="1">
        <f>CH27*0.75+CH28*0.25</f>
        <v>70145.620379811284</v>
      </c>
      <c r="CI30" s="1">
        <f t="shared" ref="CI30:CK30" si="37">CI27*0.75+CI28*0.25</f>
        <v>67565</v>
      </c>
      <c r="CJ30" s="1">
        <f t="shared" si="37"/>
        <v>65787.228484633059</v>
      </c>
      <c r="CK30" s="1">
        <f t="shared" si="37"/>
        <v>39775.994527944153</v>
      </c>
      <c r="CL30" s="1">
        <f t="shared" ref="CL30:CM30" si="38">CL27*0.75+CL28*0.25</f>
        <v>39775.994527944153</v>
      </c>
      <c r="CM30" s="1">
        <f t="shared" si="38"/>
        <v>39775.994527944153</v>
      </c>
      <c r="CN30" s="1">
        <f t="shared" ref="CN30" si="39">CN27*0.75+CN28*0.25</f>
        <v>31125.497263972076</v>
      </c>
      <c r="CO30" s="1">
        <f t="shared" ref="CO30:CP30" si="40">CO27*0.75+CO28*0.25</f>
        <v>22475</v>
      </c>
      <c r="CP30" s="1">
        <f t="shared" si="40"/>
        <v>22475</v>
      </c>
      <c r="CQ30" s="1">
        <f t="shared" ref="CQ30" si="41">CQ27*0.75+CQ28*0.25</f>
        <v>22475</v>
      </c>
      <c r="CR30" s="1">
        <f>CR27*0.75+CR28*0.25</f>
        <v>6632.9945379811288</v>
      </c>
      <c r="CS30" s="1">
        <f t="shared" ref="CS30:CT30" si="42">CS27*0.75+CS28*0.25</f>
        <v>6374.9325000000008</v>
      </c>
      <c r="CT30" s="1">
        <f t="shared" si="42"/>
        <v>6197.1553484633059</v>
      </c>
      <c r="CU30" s="1">
        <f t="shared" ref="CU30:CV30" si="43">CU27*0.75+CU28*0.25</f>
        <v>3834.1075321392254</v>
      </c>
      <c r="CV30" s="1">
        <f t="shared" si="43"/>
        <v>3834.1075321392254</v>
      </c>
      <c r="CW30" s="1">
        <f t="shared" ref="CW30" si="44">CW27*0.75+CW28*0.25</f>
        <v>3834.1075321392254</v>
      </c>
      <c r="CX30" s="1">
        <f t="shared" ref="CX30" si="45">CX27*0.75+CX28*0.25</f>
        <v>3013.2537660696125</v>
      </c>
      <c r="CY30" s="1">
        <f t="shared" ref="CY30:CZ30" si="46">CY27*0.75+CY28*0.25</f>
        <v>2192.4</v>
      </c>
      <c r="CZ30" s="1">
        <f t="shared" si="46"/>
        <v>2192.4</v>
      </c>
      <c r="DA30" s="1">
        <f t="shared" ref="DA30" si="47">DA27*0.75+DA28*0.25</f>
        <v>2192.4</v>
      </c>
      <c r="DB30" s="1">
        <f t="shared" ref="DB30:DD30" si="48">DB27*0.75+DB28*0.25</f>
        <v>0</v>
      </c>
      <c r="DC30" s="1">
        <f t="shared" si="48"/>
        <v>0</v>
      </c>
      <c r="DD30" s="1">
        <f t="shared" si="48"/>
        <v>0</v>
      </c>
      <c r="DE30">
        <v>0</v>
      </c>
      <c r="DF30" s="1">
        <f t="shared" ref="DF30" si="49">DF27*0.75+DF28*0.25</f>
        <v>0</v>
      </c>
      <c r="DG30">
        <v>0</v>
      </c>
      <c r="DH30" s="1">
        <f t="shared" ref="DH30" si="50">DH27*0.75+DH28*0.25</f>
        <v>0</v>
      </c>
      <c r="DI30">
        <v>0</v>
      </c>
      <c r="DJ30" s="1">
        <f t="shared" ref="DJ30" si="51">DJ27*0.75+DJ28*0.25</f>
        <v>0</v>
      </c>
      <c r="DK30">
        <v>0</v>
      </c>
      <c r="DL30" s="1">
        <f t="shared" ref="DL30:DN30" si="52">DL27*0.75+DL28*0.25</f>
        <v>0</v>
      </c>
      <c r="DM30" s="1">
        <f t="shared" si="52"/>
        <v>0</v>
      </c>
      <c r="DN30" s="1">
        <f t="shared" si="52"/>
        <v>0</v>
      </c>
      <c r="DO30">
        <v>0</v>
      </c>
      <c r="DP30" s="1">
        <f t="shared" ref="DP30" si="53">DP27*0.75+DP28*0.25</f>
        <v>0</v>
      </c>
      <c r="DQ30">
        <v>0</v>
      </c>
      <c r="DR30" s="1">
        <f t="shared" ref="DR30" si="54">DR27*0.75+DR28*0.25</f>
        <v>0</v>
      </c>
      <c r="DS30">
        <v>0</v>
      </c>
      <c r="DT30" s="1">
        <f t="shared" ref="DT30" si="55">DT27*0.75+DT28*0.25</f>
        <v>0</v>
      </c>
      <c r="DU30">
        <v>0</v>
      </c>
      <c r="DV30" s="1">
        <f t="shared" ref="DV30:DX30" si="56">DV27*0.75+DV28*0.25</f>
        <v>0</v>
      </c>
      <c r="DW30" s="1">
        <f t="shared" si="56"/>
        <v>0</v>
      </c>
      <c r="DX30" s="1">
        <f t="shared" si="56"/>
        <v>0</v>
      </c>
      <c r="DY30">
        <v>0</v>
      </c>
      <c r="DZ30" s="1">
        <f t="shared" ref="DZ30" si="57">DZ27*0.75+DZ28*0.25</f>
        <v>0</v>
      </c>
      <c r="EA30">
        <v>0</v>
      </c>
      <c r="EB30" s="1">
        <f t="shared" ref="EB30" si="58">EB27*0.75+EB28*0.25</f>
        <v>0</v>
      </c>
      <c r="EC30">
        <v>0</v>
      </c>
      <c r="ED30" s="1">
        <f t="shared" ref="ED30" si="59">ED27*0.75+ED28*0.25</f>
        <v>0</v>
      </c>
      <c r="EE30">
        <v>0</v>
      </c>
      <c r="EF30" s="1">
        <f t="shared" ref="EF30:EH30" si="60">EF27*0.75+EF28*0.25</f>
        <v>123.18516478109692</v>
      </c>
      <c r="EG30" s="1">
        <f t="shared" si="60"/>
        <v>116.74670054442417</v>
      </c>
      <c r="EH30" s="1">
        <f t="shared" si="60"/>
        <v>110.95904681586784</v>
      </c>
      <c r="EI30">
        <v>0</v>
      </c>
      <c r="EJ30" s="1">
        <f t="shared" ref="EJ30" si="61">EJ27*0.75+EJ28*0.25</f>
        <v>116.74670054442417</v>
      </c>
      <c r="EK30">
        <v>0</v>
      </c>
      <c r="EL30" s="1">
        <f t="shared" ref="EL30" si="62">EL27*0.75+EL28*0.25</f>
        <v>116.74670054442417</v>
      </c>
      <c r="EM30">
        <v>0</v>
      </c>
      <c r="EN30" s="1">
        <f t="shared" ref="EN30" si="63">EN27*0.75+EN28*0.25</f>
        <v>116.74670054442417</v>
      </c>
      <c r="EO30">
        <v>0</v>
      </c>
      <c r="EP30" s="1">
        <f t="shared" ref="EP30:ER30" si="64">EP27*0.75+EP28*0.25</f>
        <v>0</v>
      </c>
      <c r="EQ30" s="1">
        <f t="shared" si="64"/>
        <v>0</v>
      </c>
      <c r="ER30" s="1">
        <f t="shared" si="64"/>
        <v>0</v>
      </c>
      <c r="ES30">
        <v>0</v>
      </c>
      <c r="ET30" s="1">
        <f t="shared" ref="ET30" si="65">ET27*0.75+ET28*0.25</f>
        <v>0</v>
      </c>
      <c r="EU30">
        <v>0</v>
      </c>
      <c r="EV30" s="1">
        <f t="shared" ref="EV30" si="66">EV27*0.75+EV28*0.25</f>
        <v>0</v>
      </c>
      <c r="EW30">
        <v>0</v>
      </c>
      <c r="EX30" s="1">
        <f t="shared" ref="EX30" si="67">EX27*0.75+EX28*0.25</f>
        <v>0</v>
      </c>
      <c r="EY30">
        <v>0</v>
      </c>
      <c r="EZ30" s="1">
        <f t="shared" ref="EZ30:FM30" si="68">EZ27*0.75+EZ28*0.25</f>
        <v>20.791499999999999</v>
      </c>
      <c r="FA30" s="1">
        <f t="shared" si="68"/>
        <v>20.791499999999999</v>
      </c>
      <c r="FB30" s="1">
        <f t="shared" si="68"/>
        <v>20.791499999999999</v>
      </c>
      <c r="FC30" s="1">
        <f t="shared" si="68"/>
        <v>20.791499999999999</v>
      </c>
      <c r="FD30" s="1">
        <f t="shared" si="68"/>
        <v>20.791499999999999</v>
      </c>
      <c r="FE30" s="1">
        <f t="shared" si="68"/>
        <v>20.791499999999999</v>
      </c>
      <c r="FF30" s="1">
        <f t="shared" si="68"/>
        <v>20.791499999999999</v>
      </c>
      <c r="FG30" s="1">
        <f t="shared" si="68"/>
        <v>20.791499999999999</v>
      </c>
      <c r="FH30" s="1">
        <f t="shared" si="68"/>
        <v>20.791499999999999</v>
      </c>
      <c r="FI30" s="1">
        <f t="shared" si="68"/>
        <v>20.791499999999999</v>
      </c>
      <c r="FJ30" s="1">
        <f t="shared" si="68"/>
        <v>8.8495575221238937E-2</v>
      </c>
      <c r="FK30" s="1">
        <f t="shared" si="68"/>
        <v>8.8495575221238937E-2</v>
      </c>
      <c r="FL30" s="1">
        <f t="shared" si="68"/>
        <v>8.8495575221238937E-2</v>
      </c>
      <c r="FM30" s="1">
        <f t="shared" si="68"/>
        <v>8.8495575221238937E-2</v>
      </c>
      <c r="FN30" s="1">
        <f t="shared" ref="FN30:FO30" si="69">FN27*0.75+FN28*0.25</f>
        <v>8.8495575221238937E-2</v>
      </c>
      <c r="FO30" s="1">
        <f t="shared" si="69"/>
        <v>8.8495575221238937E-2</v>
      </c>
      <c r="FP30" s="1">
        <f t="shared" ref="FP30:FQ30" si="70">FP27*0.75+FP28*0.25</f>
        <v>8.8495575221238937E-2</v>
      </c>
      <c r="FQ30" s="1">
        <f t="shared" si="70"/>
        <v>8.8495575221238937E-2</v>
      </c>
      <c r="FR30" s="1">
        <f t="shared" ref="FR30:FS30" si="71">FR27*0.75+FR28*0.25</f>
        <v>8.8495575221238937E-2</v>
      </c>
      <c r="FS30" s="1">
        <f t="shared" si="71"/>
        <v>8.8495575221238937E-2</v>
      </c>
    </row>
    <row r="31" spans="1:175" x14ac:dyDescent="0.3">
      <c r="A31" s="171"/>
      <c r="B31" s="3" t="s">
        <v>140</v>
      </c>
      <c r="C31" s="4" t="s">
        <v>13</v>
      </c>
      <c r="D31" s="2" t="s">
        <v>244</v>
      </c>
      <c r="E31" s="9">
        <f t="shared" si="5"/>
        <v>23</v>
      </c>
      <c r="F31" s="13">
        <v>1</v>
      </c>
      <c r="G31" s="13" t="s">
        <v>248</v>
      </c>
      <c r="H31">
        <v>0</v>
      </c>
      <c r="I31" s="24" t="str">
        <f>B24</f>
        <v>Reactant11</v>
      </c>
      <c r="J31">
        <v>0</v>
      </c>
      <c r="K31">
        <v>1</v>
      </c>
      <c r="L31">
        <v>0</v>
      </c>
      <c r="M31">
        <v>1</v>
      </c>
      <c r="N31">
        <v>0</v>
      </c>
      <c r="O31">
        <f>O29</f>
        <v>20000</v>
      </c>
      <c r="P31">
        <f t="shared" si="25"/>
        <v>8.8888888888888892E-2</v>
      </c>
      <c r="Q31">
        <f t="shared" si="25"/>
        <v>8.8888888888888892E-2</v>
      </c>
      <c r="R31">
        <f t="shared" si="25"/>
        <v>8.8888888888888892E-2</v>
      </c>
      <c r="S31">
        <f t="shared" si="25"/>
        <v>8.8888888888888892E-2</v>
      </c>
      <c r="T31">
        <f t="shared" si="25"/>
        <v>8.8888888888888892E-2</v>
      </c>
      <c r="U31">
        <f t="shared" si="25"/>
        <v>8.8888888888888892E-2</v>
      </c>
      <c r="V31">
        <f t="shared" si="25"/>
        <v>8.8888888888888892E-2</v>
      </c>
      <c r="W31">
        <f t="shared" si="25"/>
        <v>8.8888888888888892E-2</v>
      </c>
      <c r="X31">
        <f t="shared" si="25"/>
        <v>8.8888888888888892E-2</v>
      </c>
      <c r="Y31">
        <f t="shared" si="25"/>
        <v>8.8888888888888892E-2</v>
      </c>
      <c r="Z31">
        <f>Z27*0.75</f>
        <v>5.5965000000000007</v>
      </c>
      <c r="AA31">
        <f t="shared" ref="AA31:AF31" si="72">AA27*0.75</f>
        <v>5.3025000000000002</v>
      </c>
      <c r="AB31">
        <f t="shared" si="72"/>
        <v>5.0400000000000009</v>
      </c>
      <c r="AC31">
        <f t="shared" si="72"/>
        <v>4.2569999999999997</v>
      </c>
      <c r="AD31">
        <f t="shared" si="72"/>
        <v>4.2569999999999997</v>
      </c>
      <c r="AE31">
        <f t="shared" si="72"/>
        <v>4.2569999999999997</v>
      </c>
      <c r="AF31">
        <f t="shared" si="72"/>
        <v>3.4612500000000002</v>
      </c>
      <c r="AG31">
        <f>AG27*0.75</f>
        <v>2.7</v>
      </c>
      <c r="AH31">
        <f>AH27*0.75</f>
        <v>2.7</v>
      </c>
      <c r="AI31">
        <f>AI27*0.75</f>
        <v>2.7</v>
      </c>
      <c r="AJ31">
        <f>AJ27*0.75</f>
        <v>5.5965000000000007</v>
      </c>
      <c r="AK31">
        <f t="shared" ref="AK31:AP31" si="73">AK27*0.75</f>
        <v>5.3025000000000002</v>
      </c>
      <c r="AL31">
        <f t="shared" si="73"/>
        <v>5.0400000000000009</v>
      </c>
      <c r="AM31">
        <f t="shared" si="73"/>
        <v>4.2569999999999997</v>
      </c>
      <c r="AN31">
        <f t="shared" si="73"/>
        <v>4.2569999999999997</v>
      </c>
      <c r="AO31">
        <f t="shared" si="73"/>
        <v>4.2569999999999997</v>
      </c>
      <c r="AP31">
        <f t="shared" si="73"/>
        <v>3.4612500000000002</v>
      </c>
      <c r="AQ31">
        <f>AQ27*0.75</f>
        <v>2.7</v>
      </c>
      <c r="AR31">
        <f>AR27*0.75</f>
        <v>2.7</v>
      </c>
      <c r="AS31">
        <f>AS27*0.75</f>
        <v>2.7</v>
      </c>
      <c r="AT31" s="14">
        <v>0</v>
      </c>
      <c r="AU31" s="14">
        <v>0</v>
      </c>
      <c r="AV31" s="14">
        <v>0</v>
      </c>
      <c r="AW31" s="14">
        <v>0</v>
      </c>
      <c r="AX31" s="14">
        <v>0</v>
      </c>
      <c r="AY31" s="14">
        <v>0</v>
      </c>
      <c r="AZ31" s="14">
        <v>0</v>
      </c>
      <c r="BA31" s="14">
        <v>0</v>
      </c>
      <c r="BB31" s="14">
        <v>0</v>
      </c>
      <c r="BC31" s="14">
        <v>0</v>
      </c>
      <c r="BD31" s="14">
        <v>1</v>
      </c>
      <c r="BE31" s="14">
        <v>1</v>
      </c>
      <c r="BF31" s="14">
        <v>1</v>
      </c>
      <c r="BG31" s="14">
        <v>1</v>
      </c>
      <c r="BH31" s="14">
        <v>1</v>
      </c>
      <c r="BI31" s="14">
        <v>1</v>
      </c>
      <c r="BJ31" s="14">
        <v>1</v>
      </c>
      <c r="BK31" s="14">
        <v>1</v>
      </c>
      <c r="BL31" s="14">
        <v>1</v>
      </c>
      <c r="BM31" s="14">
        <v>1</v>
      </c>
      <c r="BN31" s="14">
        <v>1</v>
      </c>
      <c r="BO31" s="14">
        <v>1</v>
      </c>
      <c r="BP31" s="14">
        <v>1</v>
      </c>
      <c r="BQ31" s="14">
        <v>1</v>
      </c>
      <c r="BR31" s="14">
        <v>1</v>
      </c>
      <c r="BS31" s="14">
        <v>1</v>
      </c>
      <c r="BT31" s="14">
        <v>1</v>
      </c>
      <c r="BU31" s="14">
        <v>1</v>
      </c>
      <c r="BV31" s="14">
        <v>1</v>
      </c>
      <c r="BW31" s="14">
        <v>1</v>
      </c>
      <c r="BX31" s="1">
        <f>BX27*0.75+0.25*BX29</f>
        <v>50.974999999999994</v>
      </c>
      <c r="BY31" s="1">
        <f t="shared" ref="BY31:CG31" si="74">BY27*0.75+0.25*BY29</f>
        <v>49.625</v>
      </c>
      <c r="BZ31" s="1">
        <f t="shared" si="74"/>
        <v>48.5</v>
      </c>
      <c r="CA31" s="1">
        <f t="shared" si="74"/>
        <v>49.575000000000003</v>
      </c>
      <c r="CB31" s="1">
        <f t="shared" si="74"/>
        <v>48.149999999999991</v>
      </c>
      <c r="CC31" s="1">
        <f t="shared" si="74"/>
        <v>46.274999999999991</v>
      </c>
      <c r="CD31" s="1">
        <f t="shared" si="74"/>
        <v>47.449999999999996</v>
      </c>
      <c r="CE31" s="1">
        <f t="shared" si="74"/>
        <v>46.75</v>
      </c>
      <c r="CF31" s="1">
        <f t="shared" si="74"/>
        <v>46.75</v>
      </c>
      <c r="CG31" s="1">
        <f t="shared" si="74"/>
        <v>43.75</v>
      </c>
      <c r="CH31" s="1">
        <f>CH27*0.75+CH29*0.25</f>
        <v>70145.620379811284</v>
      </c>
      <c r="CI31" s="1">
        <f t="shared" ref="CI31:CP31" si="75">CI27*0.75+CI29*0.25</f>
        <v>67565</v>
      </c>
      <c r="CJ31" s="1">
        <f t="shared" si="75"/>
        <v>65787.228484633059</v>
      </c>
      <c r="CK31" s="1">
        <f t="shared" ref="CK31" si="76">CK27*0.75+CK29*0.25</f>
        <v>39775.994527944153</v>
      </c>
      <c r="CL31" s="1">
        <f t="shared" si="75"/>
        <v>39775.994527944153</v>
      </c>
      <c r="CM31" s="1">
        <f t="shared" ref="CM31" si="77">CM27*0.75+CM29*0.25</f>
        <v>39775.994527944153</v>
      </c>
      <c r="CN31" s="1">
        <f t="shared" si="75"/>
        <v>31125.497263972076</v>
      </c>
      <c r="CO31" s="1">
        <f t="shared" ref="CO31" si="78">CO27*0.75+CO29*0.25</f>
        <v>22475</v>
      </c>
      <c r="CP31" s="1">
        <f t="shared" si="75"/>
        <v>22475</v>
      </c>
      <c r="CQ31" s="1">
        <f t="shared" ref="CQ31" si="79">CQ27*0.75+CQ29*0.25</f>
        <v>22475</v>
      </c>
      <c r="CR31" s="1">
        <f>CR27*0.75+CR29*0.25</f>
        <v>6632.9945379811288</v>
      </c>
      <c r="CS31" s="1">
        <f t="shared" ref="CS31:FP31" si="80">CS27*0.75+CS29*0.25</f>
        <v>6374.9325000000008</v>
      </c>
      <c r="CT31" s="1">
        <f t="shared" si="80"/>
        <v>6197.1553484633059</v>
      </c>
      <c r="CU31" s="1">
        <f t="shared" ref="CU31" si="81">CU27*0.75+CU29*0.25</f>
        <v>3834.1075321392254</v>
      </c>
      <c r="CV31" s="1">
        <f t="shared" si="80"/>
        <v>3834.1075321392254</v>
      </c>
      <c r="CW31" s="1">
        <f t="shared" ref="CW31" si="82">CW27*0.75+CW29*0.25</f>
        <v>3834.1075321392254</v>
      </c>
      <c r="CX31" s="1">
        <f t="shared" si="80"/>
        <v>3013.2537660696125</v>
      </c>
      <c r="CY31" s="1">
        <f t="shared" ref="CY31" si="83">CY27*0.75+CY29*0.25</f>
        <v>2192.4</v>
      </c>
      <c r="CZ31" s="1">
        <f t="shared" si="80"/>
        <v>2192.4</v>
      </c>
      <c r="DA31" s="1">
        <f t="shared" ref="DA31" si="84">DA27*0.75+DA29*0.25</f>
        <v>2192.4</v>
      </c>
      <c r="DB31" s="1">
        <f t="shared" si="80"/>
        <v>0</v>
      </c>
      <c r="DC31" s="1">
        <f t="shared" si="80"/>
        <v>0</v>
      </c>
      <c r="DD31" s="1">
        <f t="shared" si="80"/>
        <v>0</v>
      </c>
      <c r="DE31">
        <v>0</v>
      </c>
      <c r="DF31" s="1">
        <f t="shared" si="80"/>
        <v>0</v>
      </c>
      <c r="DG31">
        <v>0</v>
      </c>
      <c r="DH31" s="1">
        <f t="shared" si="80"/>
        <v>0</v>
      </c>
      <c r="DI31">
        <v>0</v>
      </c>
      <c r="DJ31" s="1">
        <f t="shared" si="80"/>
        <v>0</v>
      </c>
      <c r="DK31">
        <v>0</v>
      </c>
      <c r="DL31" s="1">
        <f t="shared" si="80"/>
        <v>0</v>
      </c>
      <c r="DM31" s="1">
        <f t="shared" si="80"/>
        <v>0</v>
      </c>
      <c r="DN31" s="1">
        <f t="shared" si="80"/>
        <v>0</v>
      </c>
      <c r="DO31">
        <v>0</v>
      </c>
      <c r="DP31" s="1">
        <f t="shared" si="80"/>
        <v>0</v>
      </c>
      <c r="DQ31">
        <v>0</v>
      </c>
      <c r="DR31" s="1">
        <f t="shared" si="80"/>
        <v>0</v>
      </c>
      <c r="DS31">
        <v>0</v>
      </c>
      <c r="DT31" s="1">
        <f t="shared" si="80"/>
        <v>0</v>
      </c>
      <c r="DU31">
        <v>0</v>
      </c>
      <c r="DV31" s="1">
        <f t="shared" si="80"/>
        <v>0</v>
      </c>
      <c r="DW31" s="1">
        <f t="shared" si="80"/>
        <v>0</v>
      </c>
      <c r="DX31" s="1">
        <f t="shared" si="80"/>
        <v>0</v>
      </c>
      <c r="DY31">
        <v>0</v>
      </c>
      <c r="DZ31" s="1">
        <f t="shared" si="80"/>
        <v>0</v>
      </c>
      <c r="EA31">
        <v>0</v>
      </c>
      <c r="EB31" s="1">
        <f t="shared" si="80"/>
        <v>0</v>
      </c>
      <c r="EC31">
        <v>0</v>
      </c>
      <c r="ED31" s="1">
        <f t="shared" si="80"/>
        <v>0</v>
      </c>
      <c r="EE31">
        <v>0</v>
      </c>
      <c r="EF31" s="1">
        <f t="shared" si="80"/>
        <v>123.18516478109692</v>
      </c>
      <c r="EG31" s="1">
        <f t="shared" si="80"/>
        <v>116.74670054442417</v>
      </c>
      <c r="EH31" s="1">
        <f t="shared" si="80"/>
        <v>110.95904681586784</v>
      </c>
      <c r="EI31">
        <v>0</v>
      </c>
      <c r="EJ31" s="1">
        <f t="shared" si="80"/>
        <v>116.74670054442417</v>
      </c>
      <c r="EK31">
        <v>0</v>
      </c>
      <c r="EL31" s="1">
        <f t="shared" si="80"/>
        <v>116.74670054442417</v>
      </c>
      <c r="EM31">
        <v>0</v>
      </c>
      <c r="EN31" s="1">
        <f t="shared" si="80"/>
        <v>116.74670054442417</v>
      </c>
      <c r="EO31">
        <v>0</v>
      </c>
      <c r="EP31" s="1">
        <f t="shared" si="80"/>
        <v>0</v>
      </c>
      <c r="EQ31" s="1">
        <f t="shared" si="80"/>
        <v>0</v>
      </c>
      <c r="ER31" s="1">
        <f t="shared" si="80"/>
        <v>0</v>
      </c>
      <c r="ES31">
        <v>0</v>
      </c>
      <c r="ET31" s="1">
        <f t="shared" si="80"/>
        <v>0</v>
      </c>
      <c r="EU31">
        <v>0</v>
      </c>
      <c r="EV31" s="1">
        <f t="shared" si="80"/>
        <v>0</v>
      </c>
      <c r="EW31">
        <v>0</v>
      </c>
      <c r="EX31" s="1">
        <f t="shared" si="80"/>
        <v>0</v>
      </c>
      <c r="EY31">
        <v>0</v>
      </c>
      <c r="EZ31" s="1">
        <f t="shared" si="80"/>
        <v>20.791499999999999</v>
      </c>
      <c r="FA31" s="1">
        <f t="shared" si="80"/>
        <v>20.791499999999999</v>
      </c>
      <c r="FB31" s="1">
        <f t="shared" si="80"/>
        <v>20.791499999999999</v>
      </c>
      <c r="FC31" s="1">
        <f t="shared" si="80"/>
        <v>20.791499999999999</v>
      </c>
      <c r="FD31" s="1">
        <f t="shared" si="80"/>
        <v>20.791499999999999</v>
      </c>
      <c r="FE31" s="1">
        <f t="shared" si="80"/>
        <v>20.791499999999999</v>
      </c>
      <c r="FF31" s="1">
        <f t="shared" si="80"/>
        <v>20.791499999999999</v>
      </c>
      <c r="FG31" s="1">
        <f t="shared" si="80"/>
        <v>20.791499999999999</v>
      </c>
      <c r="FH31" s="1">
        <f t="shared" si="80"/>
        <v>20.791499999999999</v>
      </c>
      <c r="FI31" s="1">
        <f t="shared" si="80"/>
        <v>20.791499999999999</v>
      </c>
      <c r="FJ31" s="1">
        <f t="shared" si="80"/>
        <v>8.8495575221238937E-2</v>
      </c>
      <c r="FK31" s="1">
        <f t="shared" si="80"/>
        <v>8.8495575221238937E-2</v>
      </c>
      <c r="FL31" s="1">
        <f t="shared" si="80"/>
        <v>8.8495575221238937E-2</v>
      </c>
      <c r="FM31" s="1">
        <f t="shared" ref="FM31" si="85">FM27*0.75+FM29*0.25</f>
        <v>8.8495575221238937E-2</v>
      </c>
      <c r="FN31" s="1">
        <f t="shared" si="80"/>
        <v>8.8495575221238937E-2</v>
      </c>
      <c r="FO31" s="1">
        <f t="shared" ref="FO31" si="86">FO27*0.75+FO29*0.25</f>
        <v>8.8495575221238937E-2</v>
      </c>
      <c r="FP31" s="1">
        <f t="shared" si="80"/>
        <v>8.8495575221238937E-2</v>
      </c>
      <c r="FQ31" s="1">
        <f t="shared" ref="FQ31" si="87">FQ27*0.75+FQ29*0.25</f>
        <v>8.8495575221238937E-2</v>
      </c>
      <c r="FR31" s="1">
        <f t="shared" ref="FR31:FS31" si="88">FR27*0.75+FR29*0.25</f>
        <v>8.8495575221238937E-2</v>
      </c>
      <c r="FS31" s="1">
        <f t="shared" si="88"/>
        <v>8.8495575221238937E-2</v>
      </c>
    </row>
    <row r="32" spans="1:175" x14ac:dyDescent="0.3">
      <c r="A32" s="171"/>
      <c r="B32" s="25" t="s">
        <v>136</v>
      </c>
      <c r="C32" s="11" t="s">
        <v>276</v>
      </c>
      <c r="D32" s="2" t="s">
        <v>534</v>
      </c>
      <c r="E32" s="9">
        <f t="shared" si="5"/>
        <v>24</v>
      </c>
      <c r="F32" s="13">
        <v>1</v>
      </c>
      <c r="G32" s="13" t="s">
        <v>76</v>
      </c>
      <c r="H32" s="10">
        <v>0</v>
      </c>
      <c r="I32" t="s">
        <v>12</v>
      </c>
      <c r="J32">
        <v>0</v>
      </c>
      <c r="K32">
        <v>0</v>
      </c>
      <c r="L32">
        <v>0</v>
      </c>
      <c r="M32">
        <v>-1</v>
      </c>
      <c r="N32">
        <v>0</v>
      </c>
      <c r="O32">
        <f>O27</f>
        <v>20000</v>
      </c>
      <c r="P32" s="10">
        <v>0</v>
      </c>
      <c r="Q32" s="10">
        <v>0</v>
      </c>
      <c r="R32" s="10">
        <v>0</v>
      </c>
      <c r="S32" s="10">
        <v>0</v>
      </c>
      <c r="T32" s="10">
        <v>0</v>
      </c>
      <c r="U32" s="10">
        <v>0</v>
      </c>
      <c r="V32" s="10">
        <v>0</v>
      </c>
      <c r="W32" s="10">
        <v>0</v>
      </c>
      <c r="X32" s="10">
        <v>0</v>
      </c>
      <c r="Y32" s="10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 s="14">
        <v>0</v>
      </c>
      <c r="AU32" s="14">
        <v>0</v>
      </c>
      <c r="AV32" s="14">
        <v>0</v>
      </c>
      <c r="AW32" s="14">
        <v>0</v>
      </c>
      <c r="AX32" s="14">
        <v>0</v>
      </c>
      <c r="AY32" s="14">
        <v>0</v>
      </c>
      <c r="AZ32" s="14">
        <v>0</v>
      </c>
      <c r="BA32" s="14">
        <v>0</v>
      </c>
      <c r="BB32" s="14">
        <v>0</v>
      </c>
      <c r="BC32" s="14">
        <v>0</v>
      </c>
      <c r="BD32" s="14">
        <v>1</v>
      </c>
      <c r="BE32" s="14">
        <v>1</v>
      </c>
      <c r="BF32" s="14">
        <v>1</v>
      </c>
      <c r="BG32" s="14">
        <v>1</v>
      </c>
      <c r="BH32" s="14">
        <v>1</v>
      </c>
      <c r="BI32" s="14">
        <v>1</v>
      </c>
      <c r="BJ32" s="14">
        <v>1</v>
      </c>
      <c r="BK32" s="14">
        <v>1</v>
      </c>
      <c r="BL32" s="14">
        <v>1</v>
      </c>
      <c r="BM32" s="14">
        <v>1</v>
      </c>
      <c r="BN32" s="14">
        <v>1</v>
      </c>
      <c r="BO32" s="14">
        <v>1</v>
      </c>
      <c r="BP32" s="14">
        <v>1</v>
      </c>
      <c r="BQ32" s="14">
        <v>1</v>
      </c>
      <c r="BR32" s="14">
        <v>1</v>
      </c>
      <c r="BS32" s="14">
        <v>1</v>
      </c>
      <c r="BT32" s="14">
        <v>1</v>
      </c>
      <c r="BU32" s="14">
        <v>1</v>
      </c>
      <c r="BV32" s="14">
        <v>1</v>
      </c>
      <c r="BW32" s="14">
        <v>1</v>
      </c>
      <c r="BX32" s="10">
        <v>0</v>
      </c>
      <c r="BY32" s="10">
        <v>0</v>
      </c>
      <c r="BZ32" s="10">
        <v>0</v>
      </c>
      <c r="CA32" s="10">
        <v>0</v>
      </c>
      <c r="CB32" s="10">
        <v>0</v>
      </c>
      <c r="CC32" s="10">
        <v>0</v>
      </c>
      <c r="CD32" s="10">
        <v>0</v>
      </c>
      <c r="CE32" s="10">
        <v>0</v>
      </c>
      <c r="CF32" s="10">
        <v>0</v>
      </c>
      <c r="CG32" s="10">
        <v>0</v>
      </c>
      <c r="CH32" s="10">
        <v>0</v>
      </c>
      <c r="CI32" s="10">
        <v>0</v>
      </c>
      <c r="CJ32" s="10">
        <v>0</v>
      </c>
      <c r="CK32">
        <v>0</v>
      </c>
      <c r="CL32" s="10">
        <v>0</v>
      </c>
      <c r="CM32">
        <v>0</v>
      </c>
      <c r="CN32" s="10">
        <v>0</v>
      </c>
      <c r="CO32">
        <v>0</v>
      </c>
      <c r="CP32" s="10">
        <v>0</v>
      </c>
      <c r="CQ32">
        <v>0</v>
      </c>
      <c r="CR32" s="10">
        <v>0</v>
      </c>
      <c r="CS32" s="10">
        <v>0</v>
      </c>
      <c r="CT32" s="10">
        <v>0</v>
      </c>
      <c r="CU32">
        <v>0</v>
      </c>
      <c r="CV32" s="10">
        <v>0</v>
      </c>
      <c r="CW32">
        <v>0</v>
      </c>
      <c r="CX32" s="10">
        <v>0</v>
      </c>
      <c r="CY32">
        <v>0</v>
      </c>
      <c r="CZ32" s="10">
        <v>0</v>
      </c>
      <c r="DA32">
        <v>0</v>
      </c>
      <c r="DB32" s="10">
        <v>0</v>
      </c>
      <c r="DC32" s="10">
        <v>0</v>
      </c>
      <c r="DD32" s="10">
        <v>0</v>
      </c>
      <c r="DE32">
        <v>0</v>
      </c>
      <c r="DF32" s="10">
        <v>0</v>
      </c>
      <c r="DG32">
        <v>0</v>
      </c>
      <c r="DH32" s="10">
        <v>0</v>
      </c>
      <c r="DI32">
        <v>0</v>
      </c>
      <c r="DJ32" s="10">
        <v>0</v>
      </c>
      <c r="DK32">
        <v>0</v>
      </c>
      <c r="DL32" s="10">
        <v>0</v>
      </c>
      <c r="DM32" s="10">
        <v>0</v>
      </c>
      <c r="DN32" s="10">
        <v>0</v>
      </c>
      <c r="DO32">
        <v>0</v>
      </c>
      <c r="DP32" s="10">
        <v>0</v>
      </c>
      <c r="DQ32">
        <v>0</v>
      </c>
      <c r="DR32" s="10">
        <v>0</v>
      </c>
      <c r="DS32">
        <v>0</v>
      </c>
      <c r="DT32" s="10">
        <v>0</v>
      </c>
      <c r="DU32">
        <v>0</v>
      </c>
      <c r="DV32" s="10">
        <v>0</v>
      </c>
      <c r="DW32" s="10">
        <v>0</v>
      </c>
      <c r="DX32" s="10">
        <v>0</v>
      </c>
      <c r="DY32">
        <v>0</v>
      </c>
      <c r="DZ32" s="10">
        <v>0</v>
      </c>
      <c r="EA32">
        <v>0</v>
      </c>
      <c r="EB32" s="10">
        <v>0</v>
      </c>
      <c r="EC32">
        <v>0</v>
      </c>
      <c r="ED32" s="10">
        <v>0</v>
      </c>
      <c r="EE32">
        <v>0</v>
      </c>
      <c r="EF32" s="10">
        <v>0</v>
      </c>
      <c r="EG32" s="10">
        <v>0</v>
      </c>
      <c r="EH32" s="10">
        <v>0</v>
      </c>
      <c r="EI32">
        <v>0</v>
      </c>
      <c r="EJ32">
        <f t="shared" ref="EJ32:EJ33" si="89">$EG32*B$3</f>
        <v>0</v>
      </c>
      <c r="EK32">
        <v>0</v>
      </c>
      <c r="EL32">
        <f t="shared" ref="EL32:EL33" si="90">$EG32*C$3</f>
        <v>0</v>
      </c>
      <c r="EM32">
        <v>0</v>
      </c>
      <c r="EN32">
        <f t="shared" ref="EN32:EN33" si="91">$EG32*D$3</f>
        <v>0</v>
      </c>
      <c r="EO32">
        <v>0</v>
      </c>
      <c r="EP32" s="10">
        <v>0</v>
      </c>
      <c r="EQ32" s="10">
        <v>0</v>
      </c>
      <c r="ER32" s="10">
        <v>0</v>
      </c>
      <c r="ES32">
        <v>0</v>
      </c>
      <c r="ET32">
        <f t="shared" ref="ET32:ET33" si="92">$EQ32*B$3</f>
        <v>0</v>
      </c>
      <c r="EU32">
        <v>0</v>
      </c>
      <c r="EV32">
        <f t="shared" ref="EV32:EV33" si="93">$EQ32*C$3</f>
        <v>0</v>
      </c>
      <c r="EW32">
        <v>0</v>
      </c>
      <c r="EX32">
        <f t="shared" ref="EX32:EX33" si="94">$EQ32*D$3</f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 s="10">
        <v>0</v>
      </c>
      <c r="FK32" s="10">
        <v>0</v>
      </c>
      <c r="FL32" s="10">
        <v>0</v>
      </c>
      <c r="FM32">
        <v>0</v>
      </c>
      <c r="FN32" s="10">
        <v>0</v>
      </c>
      <c r="FO32">
        <v>0</v>
      </c>
      <c r="FP32" s="10">
        <v>0</v>
      </c>
      <c r="FQ32">
        <v>0</v>
      </c>
      <c r="FR32" s="10">
        <v>0</v>
      </c>
      <c r="FS32">
        <v>0</v>
      </c>
    </row>
    <row r="33" spans="1:175" x14ac:dyDescent="0.3">
      <c r="A33" s="171"/>
      <c r="B33" s="25" t="s">
        <v>139</v>
      </c>
      <c r="C33" s="11" t="s">
        <v>276</v>
      </c>
      <c r="D33" s="2" t="s">
        <v>409</v>
      </c>
      <c r="E33" s="9">
        <f t="shared" si="5"/>
        <v>25</v>
      </c>
      <c r="F33" s="13">
        <v>1</v>
      </c>
      <c r="G33" s="13" t="s">
        <v>413</v>
      </c>
      <c r="H33" s="10">
        <v>0</v>
      </c>
      <c r="I33" t="s">
        <v>12</v>
      </c>
      <c r="J33">
        <v>0</v>
      </c>
      <c r="K33">
        <v>0</v>
      </c>
      <c r="L33">
        <v>0</v>
      </c>
      <c r="M33">
        <v>-1</v>
      </c>
      <c r="N33">
        <v>0</v>
      </c>
      <c r="O33" t="e">
        <f>#REF!</f>
        <v>#REF!</v>
      </c>
      <c r="P33" s="10">
        <v>0</v>
      </c>
      <c r="Q33" s="10">
        <v>0</v>
      </c>
      <c r="R33" s="10">
        <v>0</v>
      </c>
      <c r="S33" s="10">
        <v>0</v>
      </c>
      <c r="T33" s="10">
        <v>0</v>
      </c>
      <c r="U33" s="10">
        <v>0</v>
      </c>
      <c r="V33" s="10">
        <v>0</v>
      </c>
      <c r="W33" s="10">
        <v>0</v>
      </c>
      <c r="X33" s="10">
        <v>0</v>
      </c>
      <c r="Y33" s="10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 s="14">
        <v>0</v>
      </c>
      <c r="AU33" s="14">
        <v>0</v>
      </c>
      <c r="AV33" s="14">
        <v>0</v>
      </c>
      <c r="AW33" s="14">
        <v>0</v>
      </c>
      <c r="AX33" s="14">
        <v>0</v>
      </c>
      <c r="AY33" s="14">
        <v>0</v>
      </c>
      <c r="AZ33" s="14">
        <v>0</v>
      </c>
      <c r="BA33" s="14">
        <v>0</v>
      </c>
      <c r="BB33" s="14">
        <v>0</v>
      </c>
      <c r="BC33" s="14">
        <v>0</v>
      </c>
      <c r="BD33" s="14">
        <v>1</v>
      </c>
      <c r="BE33" s="14">
        <v>1</v>
      </c>
      <c r="BF33" s="14">
        <v>1</v>
      </c>
      <c r="BG33" s="14">
        <v>1</v>
      </c>
      <c r="BH33" s="14">
        <v>1</v>
      </c>
      <c r="BI33" s="14">
        <v>1</v>
      </c>
      <c r="BJ33" s="14">
        <v>1</v>
      </c>
      <c r="BK33" s="14">
        <v>1</v>
      </c>
      <c r="BL33" s="14">
        <v>1</v>
      </c>
      <c r="BM33" s="14">
        <v>1</v>
      </c>
      <c r="BN33" s="14">
        <v>1</v>
      </c>
      <c r="BO33" s="14">
        <v>1</v>
      </c>
      <c r="BP33" s="14">
        <v>1</v>
      </c>
      <c r="BQ33" s="14">
        <v>1</v>
      </c>
      <c r="BR33" s="14">
        <v>1</v>
      </c>
      <c r="BS33" s="14">
        <v>1</v>
      </c>
      <c r="BT33" s="14">
        <v>1</v>
      </c>
      <c r="BU33" s="14">
        <v>1</v>
      </c>
      <c r="BV33" s="14">
        <v>1</v>
      </c>
      <c r="BW33" s="14">
        <v>1</v>
      </c>
      <c r="BX33" s="10">
        <v>0</v>
      </c>
      <c r="BY33" s="10">
        <v>0</v>
      </c>
      <c r="BZ33" s="10">
        <v>0</v>
      </c>
      <c r="CA33" s="10">
        <v>0</v>
      </c>
      <c r="CB33" s="10">
        <v>0</v>
      </c>
      <c r="CC33" s="10">
        <v>0</v>
      </c>
      <c r="CD33" s="10">
        <v>0</v>
      </c>
      <c r="CE33" s="10">
        <v>0</v>
      </c>
      <c r="CF33" s="10">
        <v>0</v>
      </c>
      <c r="CG33" s="10">
        <v>0</v>
      </c>
      <c r="CH33" s="10">
        <v>0</v>
      </c>
      <c r="CI33" s="10">
        <v>0</v>
      </c>
      <c r="CJ33" s="10">
        <v>0</v>
      </c>
      <c r="CK33">
        <v>0</v>
      </c>
      <c r="CL33" s="10">
        <v>0</v>
      </c>
      <c r="CM33">
        <v>0</v>
      </c>
      <c r="CN33" s="10">
        <v>0</v>
      </c>
      <c r="CO33">
        <v>0</v>
      </c>
      <c r="CP33" s="10">
        <v>0</v>
      </c>
      <c r="CQ33">
        <v>0</v>
      </c>
      <c r="CR33" s="10">
        <v>0</v>
      </c>
      <c r="CS33" s="10">
        <v>0</v>
      </c>
      <c r="CT33" s="10">
        <v>0</v>
      </c>
      <c r="CU33">
        <v>0</v>
      </c>
      <c r="CV33" s="10">
        <v>0</v>
      </c>
      <c r="CW33">
        <v>0</v>
      </c>
      <c r="CX33" s="10">
        <v>0</v>
      </c>
      <c r="CY33">
        <v>0</v>
      </c>
      <c r="CZ33" s="10">
        <v>0</v>
      </c>
      <c r="DA33">
        <v>0</v>
      </c>
      <c r="DB33" s="10">
        <v>0</v>
      </c>
      <c r="DC33" s="10">
        <v>0</v>
      </c>
      <c r="DD33" s="10">
        <v>0</v>
      </c>
      <c r="DE33">
        <v>0</v>
      </c>
      <c r="DF33" s="10">
        <v>0</v>
      </c>
      <c r="DG33">
        <v>0</v>
      </c>
      <c r="DH33" s="10">
        <v>0</v>
      </c>
      <c r="DI33">
        <v>0</v>
      </c>
      <c r="DJ33" s="10">
        <v>0</v>
      </c>
      <c r="DK33">
        <v>0</v>
      </c>
      <c r="DL33" s="10">
        <v>0</v>
      </c>
      <c r="DM33" s="10">
        <v>0</v>
      </c>
      <c r="DN33" s="10">
        <v>0</v>
      </c>
      <c r="DO33">
        <v>0</v>
      </c>
      <c r="DP33" s="10">
        <v>0</v>
      </c>
      <c r="DQ33">
        <v>0</v>
      </c>
      <c r="DR33" s="10">
        <v>0</v>
      </c>
      <c r="DS33">
        <v>0</v>
      </c>
      <c r="DT33" s="10">
        <v>0</v>
      </c>
      <c r="DU33">
        <v>0</v>
      </c>
      <c r="DV33" s="10">
        <v>0</v>
      </c>
      <c r="DW33" s="10">
        <v>0</v>
      </c>
      <c r="DX33" s="10">
        <v>0</v>
      </c>
      <c r="DY33">
        <v>0</v>
      </c>
      <c r="DZ33" s="10">
        <v>0</v>
      </c>
      <c r="EA33">
        <v>0</v>
      </c>
      <c r="EB33" s="10">
        <v>0</v>
      </c>
      <c r="EC33">
        <v>0</v>
      </c>
      <c r="ED33" s="10">
        <v>0</v>
      </c>
      <c r="EE33">
        <v>0</v>
      </c>
      <c r="EF33" s="10">
        <v>0</v>
      </c>
      <c r="EG33" s="10">
        <v>0</v>
      </c>
      <c r="EH33" s="10">
        <v>0</v>
      </c>
      <c r="EI33">
        <v>0</v>
      </c>
      <c r="EJ33">
        <f t="shared" si="89"/>
        <v>0</v>
      </c>
      <c r="EK33">
        <v>0</v>
      </c>
      <c r="EL33">
        <f t="shared" si="90"/>
        <v>0</v>
      </c>
      <c r="EM33">
        <v>0</v>
      </c>
      <c r="EN33">
        <f t="shared" si="91"/>
        <v>0</v>
      </c>
      <c r="EO33">
        <v>0</v>
      </c>
      <c r="EP33" s="10">
        <v>0</v>
      </c>
      <c r="EQ33" s="10">
        <v>0</v>
      </c>
      <c r="ER33" s="10">
        <v>0</v>
      </c>
      <c r="ES33">
        <v>0</v>
      </c>
      <c r="ET33">
        <f t="shared" si="92"/>
        <v>0</v>
      </c>
      <c r="EU33">
        <v>0</v>
      </c>
      <c r="EV33">
        <f t="shared" si="93"/>
        <v>0</v>
      </c>
      <c r="EW33">
        <v>0</v>
      </c>
      <c r="EX33">
        <f t="shared" si="94"/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 s="10">
        <v>0</v>
      </c>
      <c r="FK33" s="10">
        <v>0</v>
      </c>
      <c r="FL33" s="10">
        <v>0</v>
      </c>
      <c r="FM33">
        <v>0</v>
      </c>
      <c r="FN33" s="10">
        <v>0</v>
      </c>
      <c r="FO33">
        <v>0</v>
      </c>
      <c r="FP33" s="10">
        <v>0</v>
      </c>
      <c r="FQ33">
        <v>0</v>
      </c>
      <c r="FR33" s="10">
        <v>0</v>
      </c>
      <c r="FS33">
        <v>0</v>
      </c>
    </row>
    <row r="34" spans="1:175" x14ac:dyDescent="0.3">
      <c r="A34" s="171"/>
      <c r="B34" s="25" t="s">
        <v>416</v>
      </c>
      <c r="C34" s="11" t="s">
        <v>276</v>
      </c>
      <c r="D34" s="2" t="s">
        <v>252</v>
      </c>
      <c r="E34" s="9">
        <f t="shared" si="5"/>
        <v>26</v>
      </c>
      <c r="F34" s="13">
        <v>1</v>
      </c>
      <c r="G34" s="13" t="s">
        <v>253</v>
      </c>
      <c r="H34" s="57">
        <v>0</v>
      </c>
      <c r="I34" t="s">
        <v>12</v>
      </c>
      <c r="J34">
        <v>0</v>
      </c>
      <c r="K34">
        <v>0</v>
      </c>
      <c r="L34">
        <v>0</v>
      </c>
      <c r="M34">
        <v>-1</v>
      </c>
      <c r="N34">
        <v>0</v>
      </c>
      <c r="O34">
        <f>O28</f>
        <v>20000</v>
      </c>
      <c r="P34" s="57">
        <v>0</v>
      </c>
      <c r="Q34" s="57">
        <v>0</v>
      </c>
      <c r="R34" s="57">
        <v>0</v>
      </c>
      <c r="S34" s="57">
        <v>0</v>
      </c>
      <c r="T34" s="57">
        <v>0</v>
      </c>
      <c r="U34" s="57">
        <v>0</v>
      </c>
      <c r="V34" s="57">
        <v>0</v>
      </c>
      <c r="W34" s="57">
        <v>0</v>
      </c>
      <c r="X34" s="57">
        <v>0</v>
      </c>
      <c r="Y34" s="57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 s="60">
        <v>0</v>
      </c>
      <c r="AU34" s="60">
        <v>0</v>
      </c>
      <c r="AV34" s="60">
        <v>0</v>
      </c>
      <c r="AW34" s="60">
        <v>0</v>
      </c>
      <c r="AX34" s="60">
        <v>0</v>
      </c>
      <c r="AY34" s="60">
        <v>0</v>
      </c>
      <c r="AZ34" s="60">
        <v>0</v>
      </c>
      <c r="BA34" s="60">
        <v>0</v>
      </c>
      <c r="BB34" s="60">
        <v>0</v>
      </c>
      <c r="BC34" s="60">
        <v>0</v>
      </c>
      <c r="BD34" s="60">
        <v>1</v>
      </c>
      <c r="BE34" s="60">
        <v>1</v>
      </c>
      <c r="BF34" s="60">
        <v>1</v>
      </c>
      <c r="BG34" s="60">
        <v>1</v>
      </c>
      <c r="BH34" s="60">
        <v>1</v>
      </c>
      <c r="BI34" s="60">
        <v>1</v>
      </c>
      <c r="BJ34" s="60">
        <v>1</v>
      </c>
      <c r="BK34" s="60">
        <v>1</v>
      </c>
      <c r="BL34" s="60">
        <v>1</v>
      </c>
      <c r="BM34" s="60">
        <v>1</v>
      </c>
      <c r="BN34" s="60">
        <v>1</v>
      </c>
      <c r="BO34" s="60">
        <v>1</v>
      </c>
      <c r="BP34" s="60">
        <v>1</v>
      </c>
      <c r="BQ34" s="60">
        <v>1</v>
      </c>
      <c r="BR34" s="60">
        <v>1</v>
      </c>
      <c r="BS34" s="60">
        <v>1</v>
      </c>
      <c r="BT34" s="60">
        <v>1</v>
      </c>
      <c r="BU34" s="60">
        <v>1</v>
      </c>
      <c r="BV34" s="60">
        <v>1</v>
      </c>
      <c r="BW34" s="60">
        <v>1</v>
      </c>
      <c r="BX34" s="57">
        <v>0</v>
      </c>
      <c r="BY34" s="57">
        <v>0</v>
      </c>
      <c r="BZ34" s="57">
        <v>0</v>
      </c>
      <c r="CA34" s="57">
        <v>0</v>
      </c>
      <c r="CB34" s="57">
        <v>0</v>
      </c>
      <c r="CC34" s="57">
        <v>0</v>
      </c>
      <c r="CD34" s="57">
        <v>0</v>
      </c>
      <c r="CE34" s="57">
        <v>0</v>
      </c>
      <c r="CF34" s="57">
        <v>0</v>
      </c>
      <c r="CG34" s="57">
        <v>0</v>
      </c>
      <c r="CH34" s="57">
        <v>0</v>
      </c>
      <c r="CI34" s="57">
        <v>0</v>
      </c>
      <c r="CJ34" s="57">
        <v>0</v>
      </c>
      <c r="CK34">
        <v>0</v>
      </c>
      <c r="CL34" s="57">
        <v>0</v>
      </c>
      <c r="CM34">
        <v>0</v>
      </c>
      <c r="CN34" s="57">
        <v>0</v>
      </c>
      <c r="CO34">
        <v>0</v>
      </c>
      <c r="CP34" s="57">
        <v>0</v>
      </c>
      <c r="CQ34">
        <v>0</v>
      </c>
      <c r="CR34" s="57">
        <v>0</v>
      </c>
      <c r="CS34" s="57">
        <v>0</v>
      </c>
      <c r="CT34" s="57">
        <v>0</v>
      </c>
      <c r="CU34">
        <v>0</v>
      </c>
      <c r="CV34" s="57">
        <v>0</v>
      </c>
      <c r="CW34">
        <v>0</v>
      </c>
      <c r="CX34" s="57">
        <v>0</v>
      </c>
      <c r="CY34">
        <v>0</v>
      </c>
      <c r="CZ34" s="57">
        <v>0</v>
      </c>
      <c r="DA34">
        <v>0</v>
      </c>
      <c r="DB34" s="57">
        <v>0</v>
      </c>
      <c r="DC34" s="57">
        <v>0</v>
      </c>
      <c r="DD34" s="57">
        <v>0</v>
      </c>
      <c r="DE34">
        <v>0</v>
      </c>
      <c r="DF34" s="57">
        <v>0</v>
      </c>
      <c r="DG34">
        <v>0</v>
      </c>
      <c r="DH34" s="57">
        <v>0</v>
      </c>
      <c r="DI34">
        <v>0</v>
      </c>
      <c r="DJ34" s="57">
        <v>0</v>
      </c>
      <c r="DK34">
        <v>0</v>
      </c>
      <c r="DL34" s="57">
        <v>0</v>
      </c>
      <c r="DM34" s="57">
        <v>0</v>
      </c>
      <c r="DN34" s="57">
        <v>0</v>
      </c>
      <c r="DO34">
        <v>0</v>
      </c>
      <c r="DP34" s="57">
        <v>0</v>
      </c>
      <c r="DQ34">
        <v>0</v>
      </c>
      <c r="DR34" s="57">
        <v>0</v>
      </c>
      <c r="DS34">
        <v>0</v>
      </c>
      <c r="DT34" s="57">
        <v>0</v>
      </c>
      <c r="DU34">
        <v>0</v>
      </c>
      <c r="DV34" s="57">
        <v>0</v>
      </c>
      <c r="DW34" s="57">
        <v>0</v>
      </c>
      <c r="DX34" s="57">
        <v>0</v>
      </c>
      <c r="DY34">
        <v>0</v>
      </c>
      <c r="DZ34" s="57">
        <v>0</v>
      </c>
      <c r="EA34">
        <v>0</v>
      </c>
      <c r="EB34" s="57">
        <v>0</v>
      </c>
      <c r="EC34">
        <v>0</v>
      </c>
      <c r="ED34" s="57">
        <v>0</v>
      </c>
      <c r="EE34">
        <v>0</v>
      </c>
      <c r="EF34" s="57">
        <v>0</v>
      </c>
      <c r="EG34" s="57">
        <v>0</v>
      </c>
      <c r="EH34" s="57">
        <v>0</v>
      </c>
      <c r="EI34">
        <v>0</v>
      </c>
      <c r="EJ34" s="57">
        <v>0</v>
      </c>
      <c r="EK34">
        <v>0</v>
      </c>
      <c r="EL34" s="57">
        <v>0</v>
      </c>
      <c r="EM34">
        <v>0</v>
      </c>
      <c r="EN34" s="57">
        <v>0</v>
      </c>
      <c r="EO34">
        <v>0</v>
      </c>
      <c r="EP34" s="57">
        <v>0</v>
      </c>
      <c r="EQ34" s="57">
        <v>0</v>
      </c>
      <c r="ER34" s="57">
        <v>0</v>
      </c>
      <c r="ES34">
        <v>0</v>
      </c>
      <c r="ET34" s="57">
        <v>0</v>
      </c>
      <c r="EU34">
        <v>0</v>
      </c>
      <c r="EV34" s="57">
        <v>0</v>
      </c>
      <c r="EW34">
        <v>0</v>
      </c>
      <c r="EX34" s="57">
        <v>0</v>
      </c>
      <c r="EY34">
        <v>0</v>
      </c>
      <c r="EZ34" s="57">
        <v>0</v>
      </c>
      <c r="FA34" s="57">
        <v>0</v>
      </c>
      <c r="FB34" s="57">
        <v>0</v>
      </c>
      <c r="FC34">
        <v>0</v>
      </c>
      <c r="FD34" s="57">
        <v>0</v>
      </c>
      <c r="FE34">
        <v>0</v>
      </c>
      <c r="FF34" s="57">
        <v>0</v>
      </c>
      <c r="FG34">
        <v>0</v>
      </c>
      <c r="FH34" s="57">
        <v>0</v>
      </c>
      <c r="FI34">
        <v>0</v>
      </c>
      <c r="FJ34" s="57">
        <v>0</v>
      </c>
      <c r="FK34" s="57">
        <v>0</v>
      </c>
      <c r="FL34" s="57">
        <v>0</v>
      </c>
      <c r="FM34">
        <v>0</v>
      </c>
      <c r="FN34" s="57">
        <v>0</v>
      </c>
      <c r="FO34">
        <v>0</v>
      </c>
      <c r="FP34" s="57">
        <v>0</v>
      </c>
      <c r="FQ34">
        <v>0</v>
      </c>
      <c r="FR34" s="57">
        <v>0</v>
      </c>
      <c r="FS34">
        <v>0</v>
      </c>
    </row>
    <row r="35" spans="1:175" x14ac:dyDescent="0.3">
      <c r="A35" s="171"/>
      <c r="B35" s="3" t="s">
        <v>29</v>
      </c>
      <c r="C35" s="4" t="s">
        <v>31</v>
      </c>
      <c r="D35" s="2" t="s">
        <v>37</v>
      </c>
      <c r="E35" s="9">
        <f t="shared" si="5"/>
        <v>27</v>
      </c>
      <c r="F35" s="13">
        <v>1</v>
      </c>
      <c r="G35" s="13" t="s">
        <v>20</v>
      </c>
      <c r="H35" s="10">
        <v>0</v>
      </c>
      <c r="I35" t="s">
        <v>12</v>
      </c>
      <c r="J35">
        <v>0</v>
      </c>
      <c r="K35">
        <v>1</v>
      </c>
      <c r="L35">
        <v>0</v>
      </c>
      <c r="M35">
        <v>0</v>
      </c>
      <c r="N35">
        <v>0</v>
      </c>
      <c r="O35">
        <f>O45</f>
        <v>2000000</v>
      </c>
      <c r="P35" s="10">
        <v>0</v>
      </c>
      <c r="Q35" s="10">
        <v>0</v>
      </c>
      <c r="R35" s="10">
        <v>0</v>
      </c>
      <c r="S35" s="10">
        <v>0</v>
      </c>
      <c r="T35" s="10">
        <v>0</v>
      </c>
      <c r="U35" s="10">
        <v>0</v>
      </c>
      <c r="V35" s="10">
        <v>0</v>
      </c>
      <c r="W35" s="10">
        <v>0</v>
      </c>
      <c r="X35" s="10">
        <v>0</v>
      </c>
      <c r="Y35" s="10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 s="14">
        <v>0</v>
      </c>
      <c r="AU35" s="14">
        <v>0</v>
      </c>
      <c r="AV35" s="14">
        <v>0</v>
      </c>
      <c r="AW35" s="14">
        <v>0</v>
      </c>
      <c r="AX35" s="14">
        <v>0</v>
      </c>
      <c r="AY35" s="14">
        <v>0</v>
      </c>
      <c r="AZ35" s="14">
        <v>0</v>
      </c>
      <c r="BA35" s="14">
        <v>0</v>
      </c>
      <c r="BB35" s="14">
        <v>0</v>
      </c>
      <c r="BC35" s="14">
        <v>0</v>
      </c>
      <c r="BD35" s="14">
        <v>1</v>
      </c>
      <c r="BE35" s="14">
        <v>1</v>
      </c>
      <c r="BF35" s="14">
        <v>1</v>
      </c>
      <c r="BG35" s="14">
        <v>1</v>
      </c>
      <c r="BH35" s="14">
        <v>1</v>
      </c>
      <c r="BI35" s="14">
        <v>1</v>
      </c>
      <c r="BJ35" s="14">
        <v>1</v>
      </c>
      <c r="BK35" s="14">
        <v>1</v>
      </c>
      <c r="BL35" s="14">
        <v>1</v>
      </c>
      <c r="BM35" s="14">
        <v>1</v>
      </c>
      <c r="BN35" s="14">
        <v>1</v>
      </c>
      <c r="BO35" s="14">
        <v>1</v>
      </c>
      <c r="BP35" s="14">
        <v>1</v>
      </c>
      <c r="BQ35" s="14">
        <v>1</v>
      </c>
      <c r="BR35" s="14">
        <v>1</v>
      </c>
      <c r="BS35" s="14">
        <v>1</v>
      </c>
      <c r="BT35" s="14">
        <v>1</v>
      </c>
      <c r="BU35" s="14">
        <v>1</v>
      </c>
      <c r="BV35" s="14">
        <v>1</v>
      </c>
      <c r="BW35" s="14">
        <v>1</v>
      </c>
      <c r="BX35" s="10">
        <v>0</v>
      </c>
      <c r="BY35" s="10">
        <v>0</v>
      </c>
      <c r="BZ35" s="10">
        <v>0</v>
      </c>
      <c r="CA35" s="10">
        <v>0</v>
      </c>
      <c r="CB35" s="10">
        <v>0</v>
      </c>
      <c r="CC35" s="10">
        <v>0</v>
      </c>
      <c r="CD35" s="10">
        <v>0</v>
      </c>
      <c r="CE35" s="10">
        <v>0</v>
      </c>
      <c r="CF35" s="10">
        <v>0</v>
      </c>
      <c r="CG35" s="10">
        <v>0</v>
      </c>
      <c r="CH35" s="10">
        <v>0</v>
      </c>
      <c r="CI35" s="10">
        <v>0</v>
      </c>
      <c r="CJ35" s="10">
        <v>0</v>
      </c>
      <c r="CK35">
        <v>0</v>
      </c>
      <c r="CL35" s="10">
        <v>0</v>
      </c>
      <c r="CM35">
        <v>0</v>
      </c>
      <c r="CN35" s="10">
        <v>0</v>
      </c>
      <c r="CO35">
        <v>0</v>
      </c>
      <c r="CP35" s="10">
        <v>0</v>
      </c>
      <c r="CQ35">
        <v>0</v>
      </c>
      <c r="CR35" s="10">
        <v>0</v>
      </c>
      <c r="CS35" s="10">
        <v>0</v>
      </c>
      <c r="CT35" s="10">
        <v>0</v>
      </c>
      <c r="CU35">
        <v>0</v>
      </c>
      <c r="CV35" s="10">
        <v>0</v>
      </c>
      <c r="CW35">
        <v>0</v>
      </c>
      <c r="CX35" s="10">
        <v>0</v>
      </c>
      <c r="CY35">
        <v>0</v>
      </c>
      <c r="CZ35" s="10">
        <v>0</v>
      </c>
      <c r="DA35">
        <v>0</v>
      </c>
      <c r="DB35" s="10">
        <v>0</v>
      </c>
      <c r="DC35" s="10">
        <v>0</v>
      </c>
      <c r="DD35" s="10">
        <v>0</v>
      </c>
      <c r="DE35">
        <v>0</v>
      </c>
      <c r="DF35" s="10">
        <v>0</v>
      </c>
      <c r="DG35">
        <v>0</v>
      </c>
      <c r="DH35" s="10">
        <v>0</v>
      </c>
      <c r="DI35">
        <v>0</v>
      </c>
      <c r="DJ35" s="10">
        <v>0</v>
      </c>
      <c r="DK35">
        <v>0</v>
      </c>
      <c r="DL35" s="10">
        <v>0</v>
      </c>
      <c r="DM35" s="10">
        <v>0</v>
      </c>
      <c r="DN35" s="10">
        <v>0</v>
      </c>
      <c r="DO35">
        <v>0</v>
      </c>
      <c r="DP35" s="10">
        <v>0</v>
      </c>
      <c r="DQ35">
        <v>0</v>
      </c>
      <c r="DR35" s="10">
        <v>0</v>
      </c>
      <c r="DS35">
        <v>0</v>
      </c>
      <c r="DT35" s="10">
        <v>0</v>
      </c>
      <c r="DU35">
        <v>0</v>
      </c>
      <c r="DV35" s="10">
        <v>0</v>
      </c>
      <c r="DW35" s="10">
        <v>0</v>
      </c>
      <c r="DX35" s="10">
        <v>0</v>
      </c>
      <c r="DY35">
        <v>0</v>
      </c>
      <c r="DZ35" s="10">
        <v>0</v>
      </c>
      <c r="EA35">
        <v>0</v>
      </c>
      <c r="EB35" s="10">
        <v>0</v>
      </c>
      <c r="EC35">
        <v>0</v>
      </c>
      <c r="ED35" s="10">
        <v>0</v>
      </c>
      <c r="EE35">
        <v>0</v>
      </c>
      <c r="EF35" s="10">
        <v>0</v>
      </c>
      <c r="EG35" s="10">
        <v>0</v>
      </c>
      <c r="EH35" s="10">
        <v>0</v>
      </c>
      <c r="EI35">
        <v>0</v>
      </c>
      <c r="EJ35">
        <f>$EG35*B$3</f>
        <v>0</v>
      </c>
      <c r="EK35">
        <v>0</v>
      </c>
      <c r="EL35">
        <f t="shared" ref="EL35:EL41" si="95">$EG35*C$3</f>
        <v>0</v>
      </c>
      <c r="EM35">
        <v>0</v>
      </c>
      <c r="EN35">
        <f t="shared" ref="EN35:EN41" si="96">$EG35*D$3</f>
        <v>0</v>
      </c>
      <c r="EO35">
        <v>0</v>
      </c>
      <c r="EP35" s="10">
        <v>0</v>
      </c>
      <c r="EQ35" s="10">
        <v>0</v>
      </c>
      <c r="ER35" s="10">
        <v>0</v>
      </c>
      <c r="ES35">
        <v>0</v>
      </c>
      <c r="ET35">
        <f t="shared" ref="ET35:ET41" si="97">$EQ35*B$3</f>
        <v>0</v>
      </c>
      <c r="EU35">
        <v>0</v>
      </c>
      <c r="EV35">
        <f t="shared" ref="EV35:EV41" si="98">$EQ35*C$3</f>
        <v>0</v>
      </c>
      <c r="EW35">
        <v>0</v>
      </c>
      <c r="EX35">
        <f t="shared" ref="EX35:EX41" si="99">$EQ35*D$3</f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 s="10">
        <v>0</v>
      </c>
      <c r="FK35" s="10">
        <v>0</v>
      </c>
      <c r="FL35" s="10">
        <v>0</v>
      </c>
      <c r="FM35">
        <v>0</v>
      </c>
      <c r="FN35" s="10">
        <v>0</v>
      </c>
      <c r="FO35">
        <v>0</v>
      </c>
      <c r="FP35" s="10">
        <v>0</v>
      </c>
      <c r="FQ35">
        <v>0</v>
      </c>
      <c r="FR35" s="10">
        <v>0</v>
      </c>
      <c r="FS35">
        <v>0</v>
      </c>
    </row>
    <row r="36" spans="1:175" x14ac:dyDescent="0.3">
      <c r="A36" s="171"/>
      <c r="B36" s="3" t="s">
        <v>30</v>
      </c>
      <c r="C36" s="4" t="s">
        <v>32</v>
      </c>
      <c r="D36" s="2" t="s">
        <v>38</v>
      </c>
      <c r="E36" s="9">
        <f t="shared" si="5"/>
        <v>28</v>
      </c>
      <c r="F36" s="13">
        <v>1</v>
      </c>
      <c r="G36" s="13" t="s">
        <v>21</v>
      </c>
      <c r="H36" s="10">
        <v>0</v>
      </c>
      <c r="I36" t="s">
        <v>12</v>
      </c>
      <c r="J36" s="10">
        <v>0</v>
      </c>
      <c r="K36">
        <v>-1</v>
      </c>
      <c r="L36">
        <v>0</v>
      </c>
      <c r="M36" s="10">
        <v>0</v>
      </c>
      <c r="N36">
        <v>0</v>
      </c>
      <c r="O36">
        <f>O45</f>
        <v>2000000</v>
      </c>
      <c r="P36" s="10">
        <v>0</v>
      </c>
      <c r="Q36" s="10">
        <v>0</v>
      </c>
      <c r="R36" s="10">
        <v>0</v>
      </c>
      <c r="S36" s="10">
        <v>0</v>
      </c>
      <c r="T36" s="10">
        <v>0</v>
      </c>
      <c r="U36" s="10">
        <v>0</v>
      </c>
      <c r="V36" s="10">
        <v>0</v>
      </c>
      <c r="W36" s="10">
        <v>0</v>
      </c>
      <c r="X36" s="10">
        <v>0</v>
      </c>
      <c r="Y36" s="10">
        <v>0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 s="14">
        <v>0</v>
      </c>
      <c r="AU36" s="14">
        <v>0</v>
      </c>
      <c r="AV36" s="14">
        <v>0</v>
      </c>
      <c r="AW36" s="14">
        <v>0</v>
      </c>
      <c r="AX36" s="14">
        <v>0</v>
      </c>
      <c r="AY36" s="14">
        <v>0</v>
      </c>
      <c r="AZ36" s="14">
        <v>0</v>
      </c>
      <c r="BA36" s="14">
        <v>0</v>
      </c>
      <c r="BB36" s="14">
        <v>0</v>
      </c>
      <c r="BC36" s="14">
        <v>0</v>
      </c>
      <c r="BD36" s="14">
        <v>1</v>
      </c>
      <c r="BE36" s="14">
        <v>1</v>
      </c>
      <c r="BF36" s="14">
        <v>1</v>
      </c>
      <c r="BG36" s="14">
        <v>1</v>
      </c>
      <c r="BH36" s="14">
        <v>1</v>
      </c>
      <c r="BI36" s="14">
        <v>1</v>
      </c>
      <c r="BJ36" s="14">
        <v>1</v>
      </c>
      <c r="BK36" s="14">
        <v>1</v>
      </c>
      <c r="BL36" s="14">
        <v>1</v>
      </c>
      <c r="BM36" s="14">
        <v>1</v>
      </c>
      <c r="BN36" s="14">
        <v>1</v>
      </c>
      <c r="BO36" s="14">
        <v>1</v>
      </c>
      <c r="BP36" s="14">
        <v>1</v>
      </c>
      <c r="BQ36" s="14">
        <v>1</v>
      </c>
      <c r="BR36" s="14">
        <v>1</v>
      </c>
      <c r="BS36" s="14">
        <v>1</v>
      </c>
      <c r="BT36" s="14">
        <v>1</v>
      </c>
      <c r="BU36" s="14">
        <v>1</v>
      </c>
      <c r="BV36" s="14">
        <v>1</v>
      </c>
      <c r="BW36" s="14">
        <v>1</v>
      </c>
      <c r="BX36" s="10">
        <v>0</v>
      </c>
      <c r="BY36" s="10">
        <v>0</v>
      </c>
      <c r="BZ36" s="10">
        <v>0</v>
      </c>
      <c r="CA36" s="10">
        <v>0</v>
      </c>
      <c r="CB36" s="10">
        <v>0</v>
      </c>
      <c r="CC36" s="10">
        <v>0</v>
      </c>
      <c r="CD36" s="10">
        <v>0</v>
      </c>
      <c r="CE36" s="10">
        <v>0</v>
      </c>
      <c r="CF36" s="10">
        <v>0</v>
      </c>
      <c r="CG36" s="10">
        <v>0</v>
      </c>
      <c r="CH36" s="10">
        <v>0</v>
      </c>
      <c r="CI36" s="10">
        <v>0</v>
      </c>
      <c r="CJ36" s="10">
        <v>0</v>
      </c>
      <c r="CK36">
        <v>0</v>
      </c>
      <c r="CL36" s="10">
        <v>0</v>
      </c>
      <c r="CM36">
        <v>0</v>
      </c>
      <c r="CN36" s="10">
        <v>0</v>
      </c>
      <c r="CO36">
        <v>0</v>
      </c>
      <c r="CP36" s="10">
        <v>0</v>
      </c>
      <c r="CQ36">
        <v>0</v>
      </c>
      <c r="CR36" s="10">
        <v>0</v>
      </c>
      <c r="CS36" s="10">
        <v>0</v>
      </c>
      <c r="CT36" s="10">
        <v>0</v>
      </c>
      <c r="CU36">
        <v>0</v>
      </c>
      <c r="CV36" s="10">
        <v>0</v>
      </c>
      <c r="CW36">
        <v>0</v>
      </c>
      <c r="CX36" s="10">
        <v>0</v>
      </c>
      <c r="CY36">
        <v>0</v>
      </c>
      <c r="CZ36" s="10">
        <v>0</v>
      </c>
      <c r="DA36">
        <v>0</v>
      </c>
      <c r="DB36" s="10">
        <v>0</v>
      </c>
      <c r="DC36" s="10">
        <v>0</v>
      </c>
      <c r="DD36" s="10">
        <v>0</v>
      </c>
      <c r="DE36">
        <v>0</v>
      </c>
      <c r="DF36" s="10">
        <v>0</v>
      </c>
      <c r="DG36">
        <v>0</v>
      </c>
      <c r="DH36" s="10">
        <v>0</v>
      </c>
      <c r="DI36">
        <v>0</v>
      </c>
      <c r="DJ36" s="10">
        <v>0</v>
      </c>
      <c r="DK36">
        <v>0</v>
      </c>
      <c r="DL36" s="28">
        <v>0</v>
      </c>
      <c r="DM36" s="28">
        <v>0.02</v>
      </c>
      <c r="DN36" s="10">
        <v>3.3500000000000002E-2</v>
      </c>
      <c r="DO36" s="28">
        <v>0</v>
      </c>
      <c r="DP36" s="28">
        <v>0.02</v>
      </c>
      <c r="DQ36" s="10">
        <v>3.3500000000000002E-2</v>
      </c>
      <c r="DR36" s="10">
        <v>0.02</v>
      </c>
      <c r="DS36" s="28">
        <v>0</v>
      </c>
      <c r="DT36" s="28">
        <v>0.02</v>
      </c>
      <c r="DU36" s="10">
        <v>3.3500000000000002E-2</v>
      </c>
      <c r="DV36" s="10">
        <v>0</v>
      </c>
      <c r="DW36" s="10">
        <v>0</v>
      </c>
      <c r="DX36" s="10">
        <v>0</v>
      </c>
      <c r="DY36">
        <v>0</v>
      </c>
      <c r="DZ36" s="10">
        <v>0</v>
      </c>
      <c r="EA36">
        <v>0</v>
      </c>
      <c r="EB36" s="10">
        <v>0</v>
      </c>
      <c r="EC36">
        <v>0</v>
      </c>
      <c r="ED36" s="10">
        <v>0</v>
      </c>
      <c r="EE36">
        <v>0</v>
      </c>
      <c r="EF36" s="10">
        <v>0</v>
      </c>
      <c r="EG36" s="10">
        <v>0</v>
      </c>
      <c r="EH36" s="10">
        <v>0</v>
      </c>
      <c r="EI36">
        <v>0</v>
      </c>
      <c r="EJ36">
        <f t="shared" ref="EJ36:EJ41" si="100">$EG36*B$3</f>
        <v>0</v>
      </c>
      <c r="EK36">
        <v>0</v>
      </c>
      <c r="EL36">
        <f t="shared" si="95"/>
        <v>0</v>
      </c>
      <c r="EM36">
        <v>0</v>
      </c>
      <c r="EN36">
        <f t="shared" si="96"/>
        <v>0</v>
      </c>
      <c r="EO36">
        <v>0</v>
      </c>
      <c r="EP36" s="10">
        <v>0</v>
      </c>
      <c r="EQ36" s="10">
        <v>0</v>
      </c>
      <c r="ER36" s="10">
        <v>0</v>
      </c>
      <c r="ES36">
        <v>0</v>
      </c>
      <c r="ET36">
        <f t="shared" si="97"/>
        <v>0</v>
      </c>
      <c r="EU36">
        <v>0</v>
      </c>
      <c r="EV36">
        <f t="shared" si="98"/>
        <v>0</v>
      </c>
      <c r="EW36">
        <v>0</v>
      </c>
      <c r="EX36">
        <f t="shared" si="99"/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 s="10">
        <v>0</v>
      </c>
      <c r="FK36" s="10">
        <v>0</v>
      </c>
      <c r="FL36" s="10">
        <v>0</v>
      </c>
      <c r="FM36">
        <v>0</v>
      </c>
      <c r="FN36" s="10">
        <v>0</v>
      </c>
      <c r="FO36">
        <v>0</v>
      </c>
      <c r="FP36" s="10">
        <v>0</v>
      </c>
      <c r="FQ36">
        <v>0</v>
      </c>
      <c r="FR36" s="10">
        <v>0</v>
      </c>
      <c r="FS36">
        <v>0</v>
      </c>
    </row>
    <row r="37" spans="1:175" x14ac:dyDescent="0.3">
      <c r="A37" s="171"/>
      <c r="B37" t="s">
        <v>276</v>
      </c>
      <c r="C37" s="4" t="s">
        <v>434</v>
      </c>
      <c r="D37" s="2" t="s">
        <v>425</v>
      </c>
      <c r="E37" s="9">
        <f t="shared" si="5"/>
        <v>29</v>
      </c>
      <c r="F37" s="13">
        <v>1</v>
      </c>
      <c r="G37" s="13" t="s">
        <v>426</v>
      </c>
      <c r="H37" s="10">
        <v>0</v>
      </c>
      <c r="I37" t="s">
        <v>12</v>
      </c>
      <c r="J37" s="10">
        <v>0</v>
      </c>
      <c r="K37" s="10">
        <v>0</v>
      </c>
      <c r="L37" s="10">
        <v>-1</v>
      </c>
      <c r="M37" s="10">
        <v>0</v>
      </c>
      <c r="N37" s="10">
        <v>0</v>
      </c>
      <c r="O37">
        <f>O46</f>
        <v>2000000</v>
      </c>
      <c r="P37" s="10">
        <v>0</v>
      </c>
      <c r="Q37" s="10">
        <v>0</v>
      </c>
      <c r="R37" s="10">
        <v>0</v>
      </c>
      <c r="S37" s="10">
        <v>0</v>
      </c>
      <c r="T37" s="10">
        <v>0</v>
      </c>
      <c r="U37" s="10">
        <v>0</v>
      </c>
      <c r="V37" s="10">
        <v>0</v>
      </c>
      <c r="W37" s="10">
        <v>0</v>
      </c>
      <c r="X37" s="10">
        <v>0</v>
      </c>
      <c r="Y37" s="10">
        <v>0</v>
      </c>
      <c r="Z37" s="10">
        <v>0</v>
      </c>
      <c r="AA37" s="10">
        <v>0</v>
      </c>
      <c r="AB37" s="10">
        <v>0</v>
      </c>
      <c r="AC37" s="10">
        <v>0</v>
      </c>
      <c r="AD37" s="10">
        <v>0</v>
      </c>
      <c r="AE37" s="10">
        <v>0</v>
      </c>
      <c r="AF37" s="10">
        <v>0</v>
      </c>
      <c r="AG37" s="10">
        <v>0</v>
      </c>
      <c r="AH37" s="10">
        <v>0</v>
      </c>
      <c r="AI37" s="10">
        <v>0</v>
      </c>
      <c r="AJ37" s="10">
        <v>1</v>
      </c>
      <c r="AK37" s="10">
        <v>1</v>
      </c>
      <c r="AL37" s="10">
        <v>1</v>
      </c>
      <c r="AM37" s="10">
        <v>1</v>
      </c>
      <c r="AN37" s="10">
        <v>1</v>
      </c>
      <c r="AO37" s="10">
        <v>1</v>
      </c>
      <c r="AP37" s="10">
        <v>1</v>
      </c>
      <c r="AQ37" s="10">
        <v>1</v>
      </c>
      <c r="AR37" s="10">
        <v>1</v>
      </c>
      <c r="AS37" s="10">
        <v>1</v>
      </c>
      <c r="AT37" s="14">
        <v>0</v>
      </c>
      <c r="AU37" s="14">
        <v>0</v>
      </c>
      <c r="AV37" s="14">
        <v>0</v>
      </c>
      <c r="AW37" s="14">
        <v>0</v>
      </c>
      <c r="AX37" s="14">
        <v>0</v>
      </c>
      <c r="AY37" s="14">
        <v>0</v>
      </c>
      <c r="AZ37" s="14">
        <v>0</v>
      </c>
      <c r="BA37" s="14">
        <v>0</v>
      </c>
      <c r="BB37" s="14">
        <v>0</v>
      </c>
      <c r="BC37" s="14">
        <v>0</v>
      </c>
      <c r="BD37" s="14">
        <v>1</v>
      </c>
      <c r="BE37" s="14">
        <v>1</v>
      </c>
      <c r="BF37" s="14">
        <v>1</v>
      </c>
      <c r="BG37" s="14">
        <v>1</v>
      </c>
      <c r="BH37" s="14">
        <v>1</v>
      </c>
      <c r="BI37" s="14">
        <v>1</v>
      </c>
      <c r="BJ37" s="14">
        <v>1</v>
      </c>
      <c r="BK37" s="14">
        <v>1</v>
      </c>
      <c r="BL37" s="14">
        <v>1</v>
      </c>
      <c r="BM37" s="14">
        <v>1</v>
      </c>
      <c r="BN37" s="14">
        <v>1</v>
      </c>
      <c r="BO37" s="14">
        <v>1</v>
      </c>
      <c r="BP37" s="14">
        <v>1</v>
      </c>
      <c r="BQ37" s="14">
        <v>1</v>
      </c>
      <c r="BR37" s="14">
        <v>1</v>
      </c>
      <c r="BS37" s="14">
        <v>1</v>
      </c>
      <c r="BT37" s="14">
        <v>1</v>
      </c>
      <c r="BU37" s="14">
        <v>1</v>
      </c>
      <c r="BV37" s="14">
        <v>1</v>
      </c>
      <c r="BW37" s="14">
        <v>1</v>
      </c>
      <c r="BX37" s="10">
        <v>0</v>
      </c>
      <c r="BY37" s="10">
        <v>0</v>
      </c>
      <c r="BZ37" s="10">
        <v>0</v>
      </c>
      <c r="CA37" s="10">
        <v>0</v>
      </c>
      <c r="CB37" s="10">
        <v>0</v>
      </c>
      <c r="CC37" s="10">
        <v>0</v>
      </c>
      <c r="CD37" s="10">
        <v>0</v>
      </c>
      <c r="CE37" s="10">
        <v>0</v>
      </c>
      <c r="CF37" s="10">
        <v>0</v>
      </c>
      <c r="CG37" s="10">
        <v>0</v>
      </c>
      <c r="CH37" s="10">
        <v>0</v>
      </c>
      <c r="CI37" s="10">
        <v>0</v>
      </c>
      <c r="CJ37" s="10">
        <v>0</v>
      </c>
      <c r="CK37">
        <v>0</v>
      </c>
      <c r="CL37" s="10">
        <v>0</v>
      </c>
      <c r="CM37">
        <v>0</v>
      </c>
      <c r="CN37" s="10">
        <v>0</v>
      </c>
      <c r="CO37">
        <v>0</v>
      </c>
      <c r="CP37" s="10">
        <v>0</v>
      </c>
      <c r="CQ37">
        <v>0</v>
      </c>
      <c r="CR37" s="10">
        <v>0</v>
      </c>
      <c r="CS37" s="10">
        <v>0</v>
      </c>
      <c r="CT37" s="10">
        <v>0</v>
      </c>
      <c r="CU37">
        <v>0</v>
      </c>
      <c r="CV37" s="10">
        <v>0</v>
      </c>
      <c r="CW37">
        <v>0</v>
      </c>
      <c r="CX37" s="10">
        <v>0</v>
      </c>
      <c r="CY37">
        <v>0</v>
      </c>
      <c r="CZ37" s="10">
        <v>0</v>
      </c>
      <c r="DA37">
        <v>0</v>
      </c>
      <c r="DB37" s="10">
        <v>0</v>
      </c>
      <c r="DC37" s="10">
        <v>0</v>
      </c>
      <c r="DD37" s="10">
        <v>0</v>
      </c>
      <c r="DE37">
        <v>0</v>
      </c>
      <c r="DF37" s="10">
        <v>0</v>
      </c>
      <c r="DG37">
        <v>0</v>
      </c>
      <c r="DH37" s="10">
        <v>0</v>
      </c>
      <c r="DI37">
        <v>0</v>
      </c>
      <c r="DJ37" s="10">
        <v>0</v>
      </c>
      <c r="DK37">
        <v>0</v>
      </c>
      <c r="DL37" s="28">
        <v>0.02</v>
      </c>
      <c r="DM37" s="28">
        <v>3.3500000000000002E-2</v>
      </c>
      <c r="DN37" s="28">
        <v>6.7000000000000004E-2</v>
      </c>
      <c r="DO37" s="28">
        <v>0.02</v>
      </c>
      <c r="DP37" s="28">
        <v>3.3500000000000002E-2</v>
      </c>
      <c r="DQ37" s="28">
        <v>6.7000000000000004E-2</v>
      </c>
      <c r="DR37" s="28">
        <v>3.3500000000000002E-2</v>
      </c>
      <c r="DS37" s="28">
        <v>0.02</v>
      </c>
      <c r="DT37" s="28">
        <v>3.3500000000000002E-2</v>
      </c>
      <c r="DU37" s="28">
        <v>6.7000000000000004E-2</v>
      </c>
      <c r="DV37" s="10">
        <v>0</v>
      </c>
      <c r="DW37" s="10">
        <v>0</v>
      </c>
      <c r="DX37" s="10">
        <v>0</v>
      </c>
      <c r="DY37">
        <v>0</v>
      </c>
      <c r="DZ37" s="10">
        <v>0</v>
      </c>
      <c r="EA37">
        <v>0</v>
      </c>
      <c r="EB37" s="10">
        <v>0</v>
      </c>
      <c r="EC37">
        <v>0</v>
      </c>
      <c r="ED37" s="10">
        <v>0</v>
      </c>
      <c r="EE37">
        <v>0</v>
      </c>
      <c r="EF37" s="10">
        <v>0</v>
      </c>
      <c r="EG37" s="10">
        <v>0</v>
      </c>
      <c r="EH37" s="10">
        <v>0</v>
      </c>
      <c r="EI37">
        <v>0</v>
      </c>
      <c r="EJ37">
        <f t="shared" si="100"/>
        <v>0</v>
      </c>
      <c r="EK37">
        <v>1</v>
      </c>
      <c r="EL37">
        <f t="shared" si="95"/>
        <v>0</v>
      </c>
      <c r="EM37">
        <v>1</v>
      </c>
      <c r="EN37">
        <f t="shared" si="96"/>
        <v>0</v>
      </c>
      <c r="EO37">
        <v>0</v>
      </c>
      <c r="EP37" s="10">
        <v>0</v>
      </c>
      <c r="EQ37" s="10">
        <v>0</v>
      </c>
      <c r="ER37" s="10">
        <v>0</v>
      </c>
      <c r="ES37">
        <v>0</v>
      </c>
      <c r="ET37">
        <f t="shared" si="97"/>
        <v>0</v>
      </c>
      <c r="EU37">
        <v>1</v>
      </c>
      <c r="EV37">
        <f t="shared" si="98"/>
        <v>0</v>
      </c>
      <c r="EW37">
        <v>1</v>
      </c>
      <c r="EX37">
        <f t="shared" si="99"/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 s="10">
        <v>0</v>
      </c>
      <c r="FK37" s="10">
        <v>0</v>
      </c>
      <c r="FL37" s="10">
        <v>0</v>
      </c>
      <c r="FM37">
        <v>0</v>
      </c>
      <c r="FN37" s="10">
        <v>0</v>
      </c>
      <c r="FO37">
        <v>0</v>
      </c>
      <c r="FP37" s="10">
        <v>0</v>
      </c>
      <c r="FQ37">
        <v>0</v>
      </c>
      <c r="FR37" s="10">
        <v>0</v>
      </c>
      <c r="FS37">
        <v>0</v>
      </c>
    </row>
    <row r="38" spans="1:175" x14ac:dyDescent="0.3">
      <c r="A38" s="171"/>
      <c r="B38" s="3" t="s">
        <v>135</v>
      </c>
      <c r="C38" s="4" t="s">
        <v>130</v>
      </c>
      <c r="D38" s="2" t="s">
        <v>39</v>
      </c>
      <c r="E38" s="9">
        <f t="shared" si="5"/>
        <v>30</v>
      </c>
      <c r="F38" s="13">
        <v>1</v>
      </c>
      <c r="G38" s="13" t="s">
        <v>14</v>
      </c>
      <c r="H38">
        <v>0</v>
      </c>
      <c r="I38" s="24" t="str">
        <f>B27</f>
        <v>Product/Reactant3</v>
      </c>
      <c r="J38">
        <v>0</v>
      </c>
      <c r="K38">
        <v>0</v>
      </c>
      <c r="L38" s="10">
        <v>0</v>
      </c>
      <c r="M38">
        <v>0</v>
      </c>
      <c r="N38">
        <v>0</v>
      </c>
      <c r="O38">
        <f>9*O27</f>
        <v>180000</v>
      </c>
      <c r="P38">
        <v>8</v>
      </c>
      <c r="Q38">
        <v>8</v>
      </c>
      <c r="R38">
        <v>8</v>
      </c>
      <c r="S38">
        <v>8</v>
      </c>
      <c r="T38">
        <v>8</v>
      </c>
      <c r="U38">
        <v>8</v>
      </c>
      <c r="V38">
        <v>8</v>
      </c>
      <c r="W38">
        <v>8</v>
      </c>
      <c r="X38">
        <v>8</v>
      </c>
      <c r="Y38">
        <v>8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 s="14">
        <v>0</v>
      </c>
      <c r="AU38" s="14">
        <v>0</v>
      </c>
      <c r="AV38" s="14">
        <v>0</v>
      </c>
      <c r="AW38" s="14">
        <v>0</v>
      </c>
      <c r="AX38" s="14">
        <v>0</v>
      </c>
      <c r="AY38" s="14">
        <v>0</v>
      </c>
      <c r="AZ38" s="14">
        <v>0</v>
      </c>
      <c r="BA38" s="14">
        <v>0</v>
      </c>
      <c r="BB38" s="14">
        <v>0</v>
      </c>
      <c r="BC38" s="14">
        <v>0</v>
      </c>
      <c r="BD38" s="14">
        <v>1</v>
      </c>
      <c r="BE38" s="14">
        <v>1</v>
      </c>
      <c r="BF38" s="14">
        <v>1</v>
      </c>
      <c r="BG38" s="14">
        <v>1</v>
      </c>
      <c r="BH38" s="14">
        <v>1</v>
      </c>
      <c r="BI38" s="14">
        <v>1</v>
      </c>
      <c r="BJ38" s="14">
        <v>1</v>
      </c>
      <c r="BK38" s="14">
        <v>1</v>
      </c>
      <c r="BL38" s="14">
        <v>1</v>
      </c>
      <c r="BM38" s="14">
        <v>1</v>
      </c>
      <c r="BN38" s="14">
        <v>1</v>
      </c>
      <c r="BO38" s="14">
        <v>1</v>
      </c>
      <c r="BP38" s="14">
        <v>1</v>
      </c>
      <c r="BQ38" s="14">
        <v>1</v>
      </c>
      <c r="BR38" s="14">
        <v>1</v>
      </c>
      <c r="BS38" s="14">
        <v>1</v>
      </c>
      <c r="BT38" s="14">
        <v>1</v>
      </c>
      <c r="BU38" s="14">
        <v>1</v>
      </c>
      <c r="BV38" s="14">
        <v>1</v>
      </c>
      <c r="BW38" s="14">
        <v>1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2.7E-2</v>
      </c>
      <c r="DM38">
        <v>0.05</v>
      </c>
      <c r="DN38">
        <v>0.15</v>
      </c>
      <c r="DO38">
        <v>2.7E-2</v>
      </c>
      <c r="DP38">
        <v>0.05</v>
      </c>
      <c r="DQ38">
        <v>0.15</v>
      </c>
      <c r="DR38">
        <v>0.05</v>
      </c>
      <c r="DS38">
        <v>2.7E-2</v>
      </c>
      <c r="DT38">
        <v>0.05</v>
      </c>
      <c r="DU38">
        <v>0.15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 s="10">
        <v>0</v>
      </c>
      <c r="EG38" s="10">
        <v>0</v>
      </c>
      <c r="EH38" s="10">
        <v>0</v>
      </c>
      <c r="EI38">
        <v>0</v>
      </c>
      <c r="EJ38">
        <f t="shared" si="100"/>
        <v>0</v>
      </c>
      <c r="EK38">
        <v>0</v>
      </c>
      <c r="EL38">
        <f t="shared" si="95"/>
        <v>0</v>
      </c>
      <c r="EM38">
        <v>0</v>
      </c>
      <c r="EN38">
        <f t="shared" si="96"/>
        <v>0</v>
      </c>
      <c r="EO38">
        <v>0</v>
      </c>
      <c r="EP38" s="10">
        <v>0</v>
      </c>
      <c r="EQ38" s="10">
        <v>0</v>
      </c>
      <c r="ER38" s="10">
        <v>0</v>
      </c>
      <c r="ES38">
        <v>0</v>
      </c>
      <c r="ET38">
        <f t="shared" si="97"/>
        <v>0</v>
      </c>
      <c r="EU38">
        <v>0</v>
      </c>
      <c r="EV38">
        <f t="shared" si="98"/>
        <v>0</v>
      </c>
      <c r="EW38">
        <v>0</v>
      </c>
      <c r="EX38">
        <f t="shared" si="99"/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</row>
    <row r="39" spans="1:175" x14ac:dyDescent="0.3">
      <c r="A39" s="171"/>
      <c r="B39" s="3" t="s">
        <v>15</v>
      </c>
      <c r="C39" s="11" t="s">
        <v>276</v>
      </c>
      <c r="D39" s="2" t="s">
        <v>40</v>
      </c>
      <c r="E39" s="9">
        <f t="shared" si="5"/>
        <v>31</v>
      </c>
      <c r="F39" s="13">
        <v>1</v>
      </c>
      <c r="G39" s="13" t="s">
        <v>22</v>
      </c>
      <c r="H39">
        <v>0</v>
      </c>
      <c r="I39" t="s">
        <v>12</v>
      </c>
      <c r="J39">
        <v>0</v>
      </c>
      <c r="K39">
        <v>0</v>
      </c>
      <c r="L39" s="10">
        <v>0</v>
      </c>
      <c r="M39" s="10">
        <v>-1</v>
      </c>
      <c r="N39">
        <v>0</v>
      </c>
      <c r="O39">
        <v>20000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 s="14">
        <v>0</v>
      </c>
      <c r="AU39" s="14">
        <v>0</v>
      </c>
      <c r="AV39" s="14">
        <v>0</v>
      </c>
      <c r="AW39" s="14">
        <v>0</v>
      </c>
      <c r="AX39" s="14">
        <v>0</v>
      </c>
      <c r="AY39" s="14">
        <v>0</v>
      </c>
      <c r="AZ39" s="14">
        <v>0</v>
      </c>
      <c r="BA39" s="14">
        <v>0</v>
      </c>
      <c r="BB39" s="14">
        <v>0</v>
      </c>
      <c r="BC39" s="14">
        <v>0</v>
      </c>
      <c r="BD39" s="14">
        <v>1</v>
      </c>
      <c r="BE39" s="14">
        <v>1</v>
      </c>
      <c r="BF39" s="14">
        <v>1</v>
      </c>
      <c r="BG39" s="14">
        <v>1</v>
      </c>
      <c r="BH39" s="14">
        <v>1</v>
      </c>
      <c r="BI39" s="14">
        <v>1</v>
      </c>
      <c r="BJ39" s="14">
        <v>1</v>
      </c>
      <c r="BK39" s="14">
        <v>1</v>
      </c>
      <c r="BL39" s="14">
        <v>1</v>
      </c>
      <c r="BM39" s="14">
        <v>1</v>
      </c>
      <c r="BN39" s="14">
        <v>1</v>
      </c>
      <c r="BO39" s="14">
        <v>1</v>
      </c>
      <c r="BP39" s="14">
        <v>1</v>
      </c>
      <c r="BQ39" s="14">
        <v>1</v>
      </c>
      <c r="BR39" s="14">
        <v>1</v>
      </c>
      <c r="BS39" s="14">
        <v>1</v>
      </c>
      <c r="BT39" s="14">
        <v>1</v>
      </c>
      <c r="BU39" s="14">
        <v>1</v>
      </c>
      <c r="BV39" s="14">
        <v>1</v>
      </c>
      <c r="BW39" s="14">
        <v>1</v>
      </c>
      <c r="BX39">
        <v>4</v>
      </c>
      <c r="BY39">
        <v>3.5</v>
      </c>
      <c r="BZ39">
        <v>3.5</v>
      </c>
      <c r="CA39">
        <v>3.5</v>
      </c>
      <c r="CB39">
        <v>3.5</v>
      </c>
      <c r="CC39">
        <v>3.5</v>
      </c>
      <c r="CD39">
        <v>3.5</v>
      </c>
      <c r="CE39">
        <v>3.5</v>
      </c>
      <c r="CF39">
        <v>3.5</v>
      </c>
      <c r="CG39">
        <v>3.5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f t="shared" si="100"/>
        <v>0</v>
      </c>
      <c r="EK39">
        <v>0</v>
      </c>
      <c r="EL39">
        <f t="shared" si="95"/>
        <v>0</v>
      </c>
      <c r="EM39">
        <v>0</v>
      </c>
      <c r="EN39">
        <f t="shared" si="96"/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f t="shared" si="97"/>
        <v>0</v>
      </c>
      <c r="EU39">
        <v>0</v>
      </c>
      <c r="EV39">
        <f t="shared" si="98"/>
        <v>0</v>
      </c>
      <c r="EW39">
        <v>0</v>
      </c>
      <c r="EX39">
        <f t="shared" si="99"/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</row>
    <row r="40" spans="1:175" x14ac:dyDescent="0.3">
      <c r="A40" s="171"/>
      <c r="B40" s="3" t="s">
        <v>16</v>
      </c>
      <c r="C40" s="11" t="s">
        <v>276</v>
      </c>
      <c r="D40" s="2" t="s">
        <v>41</v>
      </c>
      <c r="E40" s="9">
        <f t="shared" si="5"/>
        <v>32</v>
      </c>
      <c r="F40" s="13">
        <v>1</v>
      </c>
      <c r="G40" s="13" t="s">
        <v>23</v>
      </c>
      <c r="H40">
        <v>0</v>
      </c>
      <c r="I40" t="s">
        <v>12</v>
      </c>
      <c r="J40">
        <v>0</v>
      </c>
      <c r="K40">
        <v>0</v>
      </c>
      <c r="L40" s="10">
        <v>0</v>
      </c>
      <c r="M40">
        <v>1</v>
      </c>
      <c r="N40">
        <v>0</v>
      </c>
      <c r="O40">
        <f>O39</f>
        <v>20000</v>
      </c>
      <c r="P40" s="10">
        <v>0</v>
      </c>
      <c r="Q40" s="10">
        <v>0</v>
      </c>
      <c r="R40" s="10">
        <v>0</v>
      </c>
      <c r="S40" s="10">
        <v>0</v>
      </c>
      <c r="T40" s="10">
        <v>0</v>
      </c>
      <c r="U40" s="10">
        <v>0</v>
      </c>
      <c r="V40" s="10">
        <v>0</v>
      </c>
      <c r="W40" s="10">
        <v>0</v>
      </c>
      <c r="X40" s="10">
        <v>0</v>
      </c>
      <c r="Y40" s="1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 s="14">
        <v>0</v>
      </c>
      <c r="AU40" s="14">
        <v>0</v>
      </c>
      <c r="AV40" s="14">
        <v>0</v>
      </c>
      <c r="AW40" s="14">
        <v>0</v>
      </c>
      <c r="AX40" s="14">
        <v>0</v>
      </c>
      <c r="AY40" s="14">
        <v>0</v>
      </c>
      <c r="AZ40" s="14">
        <v>0</v>
      </c>
      <c r="BA40" s="14">
        <v>0</v>
      </c>
      <c r="BB40" s="14">
        <v>0</v>
      </c>
      <c r="BC40" s="14">
        <v>0</v>
      </c>
      <c r="BD40" s="14">
        <v>1</v>
      </c>
      <c r="BE40" s="14">
        <v>1</v>
      </c>
      <c r="BF40" s="14">
        <v>1</v>
      </c>
      <c r="BG40" s="14">
        <v>1</v>
      </c>
      <c r="BH40" s="14">
        <v>1</v>
      </c>
      <c r="BI40" s="14">
        <v>1</v>
      </c>
      <c r="BJ40" s="14">
        <v>1</v>
      </c>
      <c r="BK40" s="14">
        <v>1</v>
      </c>
      <c r="BL40" s="14">
        <v>1</v>
      </c>
      <c r="BM40" s="14">
        <v>1</v>
      </c>
      <c r="BN40" s="14">
        <v>1</v>
      </c>
      <c r="BO40" s="14">
        <v>1</v>
      </c>
      <c r="BP40" s="14">
        <v>1</v>
      </c>
      <c r="BQ40" s="14">
        <v>1</v>
      </c>
      <c r="BR40" s="14">
        <v>1</v>
      </c>
      <c r="BS40" s="14">
        <v>1</v>
      </c>
      <c r="BT40" s="14">
        <v>1</v>
      </c>
      <c r="BU40" s="14">
        <v>1</v>
      </c>
      <c r="BV40" s="14">
        <v>1</v>
      </c>
      <c r="BW40" s="14">
        <v>1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f t="shared" si="100"/>
        <v>0</v>
      </c>
      <c r="EK40">
        <v>0</v>
      </c>
      <c r="EL40">
        <f t="shared" si="95"/>
        <v>0</v>
      </c>
      <c r="EM40">
        <v>0</v>
      </c>
      <c r="EN40">
        <f t="shared" si="96"/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f t="shared" si="97"/>
        <v>0</v>
      </c>
      <c r="EU40">
        <v>0</v>
      </c>
      <c r="EV40">
        <f t="shared" si="98"/>
        <v>0</v>
      </c>
      <c r="EW40">
        <v>0</v>
      </c>
      <c r="EX40">
        <f t="shared" si="99"/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</row>
    <row r="41" spans="1:175" x14ac:dyDescent="0.3">
      <c r="A41" s="171"/>
      <c r="B41" s="3" t="s">
        <v>17</v>
      </c>
      <c r="C41" s="11" t="s">
        <v>276</v>
      </c>
      <c r="D41" s="6" t="s">
        <v>42</v>
      </c>
      <c r="E41" s="9">
        <f t="shared" si="5"/>
        <v>33</v>
      </c>
      <c r="F41" s="13">
        <v>1</v>
      </c>
      <c r="G41" s="13" t="s">
        <v>157</v>
      </c>
      <c r="H41">
        <v>0</v>
      </c>
      <c r="I41" t="s">
        <v>12</v>
      </c>
      <c r="J41">
        <v>0</v>
      </c>
      <c r="K41">
        <v>0</v>
      </c>
      <c r="L41" s="10">
        <v>0</v>
      </c>
      <c r="M41">
        <v>0</v>
      </c>
      <c r="N41">
        <v>0</v>
      </c>
      <c r="O41">
        <v>20000000</v>
      </c>
      <c r="P41" s="10">
        <v>0</v>
      </c>
      <c r="Q41" s="10">
        <v>0</v>
      </c>
      <c r="R41" s="10">
        <v>0</v>
      </c>
      <c r="S41" s="10">
        <v>0</v>
      </c>
      <c r="T41" s="10">
        <v>0</v>
      </c>
      <c r="U41" s="10">
        <v>0</v>
      </c>
      <c r="V41" s="10">
        <v>0</v>
      </c>
      <c r="W41" s="10">
        <v>0</v>
      </c>
      <c r="X41" s="10">
        <v>0</v>
      </c>
      <c r="Y41" s="10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 s="14">
        <v>0.03</v>
      </c>
      <c r="AU41" s="14">
        <v>0.03</v>
      </c>
      <c r="AV41" s="14">
        <v>0.03</v>
      </c>
      <c r="AW41" s="14">
        <v>0.03</v>
      </c>
      <c r="AX41" s="14">
        <v>0.03</v>
      </c>
      <c r="AY41" s="14">
        <v>0.03</v>
      </c>
      <c r="AZ41" s="14">
        <v>0.03</v>
      </c>
      <c r="BA41" s="14">
        <v>0.03</v>
      </c>
      <c r="BB41" s="14">
        <v>0.03</v>
      </c>
      <c r="BC41" s="14">
        <v>0.03</v>
      </c>
      <c r="BD41" s="14">
        <v>1</v>
      </c>
      <c r="BE41" s="14">
        <v>1</v>
      </c>
      <c r="BF41" s="14">
        <v>1</v>
      </c>
      <c r="BG41" s="14">
        <v>1</v>
      </c>
      <c r="BH41" s="14">
        <v>1</v>
      </c>
      <c r="BI41" s="14">
        <v>1</v>
      </c>
      <c r="BJ41" s="14">
        <v>1</v>
      </c>
      <c r="BK41" s="14">
        <v>1</v>
      </c>
      <c r="BL41" s="14">
        <v>1</v>
      </c>
      <c r="BM41" s="14">
        <v>1</v>
      </c>
      <c r="BN41" s="14">
        <v>1</v>
      </c>
      <c r="BO41" s="14">
        <v>1</v>
      </c>
      <c r="BP41" s="14">
        <v>1</v>
      </c>
      <c r="BQ41" s="14">
        <v>1</v>
      </c>
      <c r="BR41" s="14">
        <v>1</v>
      </c>
      <c r="BS41" s="14">
        <v>1</v>
      </c>
      <c r="BT41" s="14">
        <v>1</v>
      </c>
      <c r="BU41" s="14">
        <v>1</v>
      </c>
      <c r="BV41" s="14">
        <v>1</v>
      </c>
      <c r="BW41" s="14">
        <v>1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1000</v>
      </c>
      <c r="CI41">
        <v>900</v>
      </c>
      <c r="CJ41">
        <v>900</v>
      </c>
      <c r="CK41">
        <v>800</v>
      </c>
      <c r="CL41">
        <v>800</v>
      </c>
      <c r="CM41">
        <v>800</v>
      </c>
      <c r="CN41">
        <f>(CP41+CL41)/2</f>
        <v>650</v>
      </c>
      <c r="CO41">
        <v>500</v>
      </c>
      <c r="CP41">
        <v>500</v>
      </c>
      <c r="CQ41">
        <v>500</v>
      </c>
      <c r="CR41">
        <f>CH41*0.04</f>
        <v>40</v>
      </c>
      <c r="CS41">
        <f>CI41*0.03</f>
        <v>27</v>
      </c>
      <c r="CT41">
        <f>CJ41*0.03</f>
        <v>27</v>
      </c>
      <c r="CU41">
        <v>0</v>
      </c>
      <c r="CV41">
        <f>CL41*0.03</f>
        <v>24</v>
      </c>
      <c r="CW41">
        <v>0</v>
      </c>
      <c r="CX41">
        <f>CN41*0.03</f>
        <v>19.5</v>
      </c>
      <c r="CY41">
        <v>0</v>
      </c>
      <c r="CZ41">
        <f t="shared" ref="CZ41" si="101">CP41*0.03</f>
        <v>15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6.2260740740740748E-3</v>
      </c>
      <c r="EG41">
        <v>6.2260740740740748E-3</v>
      </c>
      <c r="EH41">
        <v>6.2260740740740748E-3</v>
      </c>
      <c r="EI41">
        <v>0</v>
      </c>
      <c r="EJ41">
        <f t="shared" si="100"/>
        <v>6.2260740740740748E-3</v>
      </c>
      <c r="EK41">
        <v>0</v>
      </c>
      <c r="EL41">
        <f t="shared" si="95"/>
        <v>6.2260740740740748E-3</v>
      </c>
      <c r="EM41">
        <v>0</v>
      </c>
      <c r="EN41">
        <f t="shared" si="96"/>
        <v>6.2260740740740748E-3</v>
      </c>
      <c r="EO41">
        <v>0</v>
      </c>
      <c r="EP41">
        <v>0</v>
      </c>
      <c r="EQ41">
        <v>0</v>
      </c>
      <c r="ER41">
        <v>0</v>
      </c>
      <c r="ES41">
        <v>0</v>
      </c>
      <c r="ET41">
        <f t="shared" si="97"/>
        <v>0</v>
      </c>
      <c r="EU41">
        <v>0</v>
      </c>
      <c r="EV41">
        <f t="shared" si="98"/>
        <v>0</v>
      </c>
      <c r="EW41">
        <v>0</v>
      </c>
      <c r="EX41">
        <f t="shared" si="99"/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0.14902948869707539</v>
      </c>
      <c r="FK41">
        <v>0.14902948869707539</v>
      </c>
      <c r="FL41">
        <v>0.14902948869707539</v>
      </c>
      <c r="FM41">
        <v>0.14902948869707539</v>
      </c>
      <c r="FN41">
        <v>0.14902948869707539</v>
      </c>
      <c r="FO41">
        <v>0.14902948869707539</v>
      </c>
      <c r="FP41">
        <v>0.14902948869707539</v>
      </c>
      <c r="FQ41">
        <v>0.14902948869707539</v>
      </c>
      <c r="FR41">
        <v>0.14902948869707539</v>
      </c>
      <c r="FS41">
        <v>0.14902948869707539</v>
      </c>
    </row>
    <row r="42" spans="1:175" x14ac:dyDescent="0.3">
      <c r="A42" s="171"/>
      <c r="B42" s="3" t="s">
        <v>15</v>
      </c>
      <c r="C42" s="11" t="s">
        <v>276</v>
      </c>
      <c r="D42" s="6" t="s">
        <v>158</v>
      </c>
      <c r="E42" s="9">
        <f t="shared" si="5"/>
        <v>34</v>
      </c>
      <c r="F42" s="13">
        <v>1</v>
      </c>
      <c r="G42" s="13" t="s">
        <v>159</v>
      </c>
      <c r="H42">
        <v>0</v>
      </c>
      <c r="I42" t="s">
        <v>12</v>
      </c>
      <c r="J42">
        <v>0</v>
      </c>
      <c r="K42">
        <v>0</v>
      </c>
      <c r="L42" s="10">
        <v>0</v>
      </c>
      <c r="M42">
        <v>-1</v>
      </c>
      <c r="N42">
        <v>0</v>
      </c>
      <c r="O42">
        <v>20000</v>
      </c>
      <c r="P42" s="10">
        <v>0</v>
      </c>
      <c r="Q42" s="10">
        <v>0</v>
      </c>
      <c r="R42" s="10">
        <v>0</v>
      </c>
      <c r="S42" s="10">
        <v>0</v>
      </c>
      <c r="T42" s="10">
        <v>0</v>
      </c>
      <c r="U42" s="10">
        <v>0</v>
      </c>
      <c r="V42" s="10">
        <v>0</v>
      </c>
      <c r="W42" s="10">
        <v>0</v>
      </c>
      <c r="X42" s="10">
        <v>0</v>
      </c>
      <c r="Y42" s="10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 s="14">
        <v>0</v>
      </c>
      <c r="AU42" s="14">
        <v>0</v>
      </c>
      <c r="AV42" s="14">
        <v>0</v>
      </c>
      <c r="AW42" s="14">
        <v>0</v>
      </c>
      <c r="AX42" s="14">
        <v>0</v>
      </c>
      <c r="AY42" s="14">
        <v>0</v>
      </c>
      <c r="AZ42" s="14">
        <v>0</v>
      </c>
      <c r="BA42" s="14">
        <v>0</v>
      </c>
      <c r="BB42" s="14">
        <v>0</v>
      </c>
      <c r="BC42" s="14">
        <v>0</v>
      </c>
      <c r="BD42" s="14">
        <v>1</v>
      </c>
      <c r="BE42" s="14">
        <v>1</v>
      </c>
      <c r="BF42" s="14">
        <v>1</v>
      </c>
      <c r="BG42" s="14">
        <v>1</v>
      </c>
      <c r="BH42" s="14">
        <v>1</v>
      </c>
      <c r="BI42" s="14">
        <v>1</v>
      </c>
      <c r="BJ42" s="14">
        <v>1</v>
      </c>
      <c r="BK42" s="14">
        <v>1</v>
      </c>
      <c r="BL42" s="14">
        <v>1</v>
      </c>
      <c r="BM42" s="14">
        <v>1</v>
      </c>
      <c r="BN42" s="14">
        <v>1</v>
      </c>
      <c r="BO42" s="14">
        <v>1</v>
      </c>
      <c r="BP42" s="14">
        <v>1</v>
      </c>
      <c r="BQ42" s="14">
        <v>1</v>
      </c>
      <c r="BR42" s="14">
        <v>1</v>
      </c>
      <c r="BS42" s="14">
        <v>1</v>
      </c>
      <c r="BT42" s="14">
        <v>1</v>
      </c>
      <c r="BU42" s="14">
        <v>1</v>
      </c>
      <c r="BV42" s="14">
        <v>1</v>
      </c>
      <c r="BW42" s="14">
        <v>1</v>
      </c>
      <c r="BX42">
        <v>0.94</v>
      </c>
      <c r="BY42">
        <v>0.94</v>
      </c>
      <c r="BZ42">
        <v>0.94</v>
      </c>
      <c r="CA42">
        <v>0.94</v>
      </c>
      <c r="CB42">
        <v>0.94</v>
      </c>
      <c r="CC42">
        <v>0.94</v>
      </c>
      <c r="CD42">
        <v>0.94</v>
      </c>
      <c r="CE42">
        <v>0.94</v>
      </c>
      <c r="CF42">
        <v>0.94</v>
      </c>
      <c r="CG42">
        <v>0.94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9.3678779051968114E-2</v>
      </c>
      <c r="FK42">
        <v>9.3678779051968114E-2</v>
      </c>
      <c r="FL42">
        <v>9.3678779051968114E-2</v>
      </c>
      <c r="FM42">
        <v>9.3678779051968114E-2</v>
      </c>
      <c r="FN42">
        <v>9.3678779051968114E-2</v>
      </c>
      <c r="FO42">
        <v>9.3678779051968114E-2</v>
      </c>
      <c r="FP42">
        <v>9.3678779051968114E-2</v>
      </c>
      <c r="FQ42">
        <v>9.3678779051968114E-2</v>
      </c>
      <c r="FR42">
        <v>9.3678779051968114E-2</v>
      </c>
      <c r="FS42">
        <v>9.3678779051968114E-2</v>
      </c>
    </row>
    <row r="43" spans="1:175" x14ac:dyDescent="0.3">
      <c r="A43" s="171"/>
      <c r="B43" s="3" t="s">
        <v>16</v>
      </c>
      <c r="C43" s="11" t="s">
        <v>276</v>
      </c>
      <c r="D43" s="6" t="s">
        <v>160</v>
      </c>
      <c r="E43" s="9">
        <f t="shared" si="5"/>
        <v>35</v>
      </c>
      <c r="F43" s="13">
        <v>1</v>
      </c>
      <c r="G43" s="13" t="s">
        <v>161</v>
      </c>
      <c r="H43">
        <v>0</v>
      </c>
      <c r="I43" t="s">
        <v>12</v>
      </c>
      <c r="J43">
        <v>0</v>
      </c>
      <c r="K43">
        <v>0</v>
      </c>
      <c r="L43" s="10">
        <v>0</v>
      </c>
      <c r="M43">
        <v>1</v>
      </c>
      <c r="N43">
        <v>0</v>
      </c>
      <c r="O43">
        <f>O39</f>
        <v>20000</v>
      </c>
      <c r="P43" s="10">
        <v>0</v>
      </c>
      <c r="Q43" s="10">
        <v>0</v>
      </c>
      <c r="R43" s="10">
        <v>0</v>
      </c>
      <c r="S43" s="10">
        <v>0</v>
      </c>
      <c r="T43" s="10">
        <v>0</v>
      </c>
      <c r="U43" s="10">
        <v>0</v>
      </c>
      <c r="V43" s="10">
        <v>0</v>
      </c>
      <c r="W43" s="10">
        <v>0</v>
      </c>
      <c r="X43" s="10">
        <v>0</v>
      </c>
      <c r="Y43" s="10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 s="14">
        <v>0</v>
      </c>
      <c r="AU43" s="14">
        <v>0</v>
      </c>
      <c r="AV43" s="14">
        <v>0</v>
      </c>
      <c r="AW43" s="14">
        <v>0</v>
      </c>
      <c r="AX43" s="14">
        <v>0</v>
      </c>
      <c r="AY43" s="14">
        <v>0</v>
      </c>
      <c r="AZ43" s="14">
        <v>0</v>
      </c>
      <c r="BA43" s="14">
        <v>0</v>
      </c>
      <c r="BB43" s="14">
        <v>0</v>
      </c>
      <c r="BC43" s="14">
        <v>0</v>
      </c>
      <c r="BD43" s="14">
        <v>1</v>
      </c>
      <c r="BE43" s="14">
        <v>1</v>
      </c>
      <c r="BF43" s="14">
        <v>1</v>
      </c>
      <c r="BG43" s="14">
        <v>1</v>
      </c>
      <c r="BH43" s="14">
        <v>1</v>
      </c>
      <c r="BI43" s="14">
        <v>1</v>
      </c>
      <c r="BJ43" s="14">
        <v>1</v>
      </c>
      <c r="BK43" s="14">
        <v>1</v>
      </c>
      <c r="BL43" s="14">
        <v>1</v>
      </c>
      <c r="BM43" s="14">
        <v>1</v>
      </c>
      <c r="BN43" s="14">
        <v>1</v>
      </c>
      <c r="BO43" s="14">
        <v>1</v>
      </c>
      <c r="BP43" s="14">
        <v>1</v>
      </c>
      <c r="BQ43" s="14">
        <v>1</v>
      </c>
      <c r="BR43" s="14">
        <v>1</v>
      </c>
      <c r="BS43" s="14">
        <v>1</v>
      </c>
      <c r="BT43" s="14">
        <v>1</v>
      </c>
      <c r="BU43" s="14">
        <v>1</v>
      </c>
      <c r="BV43" s="14">
        <v>1</v>
      </c>
      <c r="BW43" s="14">
        <v>1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</row>
    <row r="44" spans="1:175" x14ac:dyDescent="0.3">
      <c r="A44" s="171"/>
      <c r="B44" s="3" t="s">
        <v>17</v>
      </c>
      <c r="C44" s="11" t="s">
        <v>276</v>
      </c>
      <c r="D44" s="6" t="s">
        <v>162</v>
      </c>
      <c r="E44" s="9">
        <f t="shared" si="5"/>
        <v>36</v>
      </c>
      <c r="F44" s="13">
        <v>1</v>
      </c>
      <c r="G44" s="13" t="s">
        <v>163</v>
      </c>
      <c r="H44">
        <v>0</v>
      </c>
      <c r="I44" t="s">
        <v>12</v>
      </c>
      <c r="J44">
        <v>0</v>
      </c>
      <c r="K44">
        <v>0</v>
      </c>
      <c r="L44" s="10">
        <v>0</v>
      </c>
      <c r="M44">
        <v>0</v>
      </c>
      <c r="N44">
        <v>0</v>
      </c>
      <c r="O44">
        <v>20000000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 s="14">
        <v>0.09</v>
      </c>
      <c r="AU44" s="14">
        <v>0.09</v>
      </c>
      <c r="AV44" s="14">
        <v>0.09</v>
      </c>
      <c r="AW44" s="14">
        <v>0.09</v>
      </c>
      <c r="AX44" s="14">
        <v>0.09</v>
      </c>
      <c r="AY44" s="14">
        <v>0.09</v>
      </c>
      <c r="AZ44" s="14">
        <v>0.09</v>
      </c>
      <c r="BA44" s="14">
        <v>0.09</v>
      </c>
      <c r="BB44" s="14">
        <v>0.09</v>
      </c>
      <c r="BC44" s="14">
        <v>0.09</v>
      </c>
      <c r="BD44" s="14">
        <v>1</v>
      </c>
      <c r="BE44" s="14">
        <v>1</v>
      </c>
      <c r="BF44" s="14">
        <v>1</v>
      </c>
      <c r="BG44" s="14">
        <v>1</v>
      </c>
      <c r="BH44" s="14">
        <v>1</v>
      </c>
      <c r="BI44" s="14">
        <v>1</v>
      </c>
      <c r="BJ44" s="14">
        <v>1</v>
      </c>
      <c r="BK44" s="14">
        <v>1</v>
      </c>
      <c r="BL44" s="14">
        <v>1</v>
      </c>
      <c r="BM44" s="14">
        <v>1</v>
      </c>
      <c r="BN44" s="14">
        <v>1</v>
      </c>
      <c r="BO44" s="14">
        <v>1</v>
      </c>
      <c r="BP44" s="14">
        <v>1</v>
      </c>
      <c r="BQ44" s="14">
        <v>1</v>
      </c>
      <c r="BR44" s="14">
        <v>1</v>
      </c>
      <c r="BS44" s="14">
        <v>1</v>
      </c>
      <c r="BT44" s="14">
        <v>1</v>
      </c>
      <c r="BU44" s="14">
        <v>1</v>
      </c>
      <c r="BV44" s="14">
        <v>1</v>
      </c>
      <c r="BW44" s="14">
        <v>1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460.75542459148141</v>
      </c>
      <c r="CI44">
        <v>250</v>
      </c>
      <c r="CJ44">
        <v>250</v>
      </c>
      <c r="CK44">
        <v>250</v>
      </c>
      <c r="CL44">
        <v>250</v>
      </c>
      <c r="CM44">
        <v>250</v>
      </c>
      <c r="CN44">
        <v>250</v>
      </c>
      <c r="CO44">
        <v>250</v>
      </c>
      <c r="CP44">
        <v>250</v>
      </c>
      <c r="CQ44">
        <v>250</v>
      </c>
      <c r="CR44">
        <f>0.04*CH44</f>
        <v>18.430216983659257</v>
      </c>
      <c r="CS44">
        <f>0.03*CI44</f>
        <v>7.5</v>
      </c>
      <c r="CT44">
        <f>0.03*CJ44</f>
        <v>7.5</v>
      </c>
      <c r="CU44">
        <f t="shared" ref="CU44:DA44" si="102">0.03*CK44</f>
        <v>7.5</v>
      </c>
      <c r="CV44">
        <f t="shared" si="102"/>
        <v>7.5</v>
      </c>
      <c r="CW44">
        <f t="shared" si="102"/>
        <v>7.5</v>
      </c>
      <c r="CX44">
        <f t="shared" si="102"/>
        <v>7.5</v>
      </c>
      <c r="CY44">
        <f t="shared" si="102"/>
        <v>7.5</v>
      </c>
      <c r="CZ44">
        <f t="shared" si="102"/>
        <v>7.5</v>
      </c>
      <c r="DA44">
        <f t="shared" si="102"/>
        <v>7.5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6.2260740740740748E-3</v>
      </c>
      <c r="EG44">
        <v>6.2260740740740748E-3</v>
      </c>
      <c r="EH44">
        <v>6.2260740740740748E-3</v>
      </c>
      <c r="EI44">
        <v>0</v>
      </c>
      <c r="EJ44">
        <f t="shared" ref="EJ44:EJ58" si="103">$EG44*B$3</f>
        <v>6.2260740740740748E-3</v>
      </c>
      <c r="EK44">
        <v>0</v>
      </c>
      <c r="EL44">
        <f t="shared" ref="EL44:EL58" si="104">$EG44*C$3</f>
        <v>6.2260740740740748E-3</v>
      </c>
      <c r="EM44">
        <v>0</v>
      </c>
      <c r="EN44">
        <f t="shared" ref="EN44:EN58" si="105">$EG44*D$3</f>
        <v>6.2260740740740748E-3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 s="51">
        <v>1</v>
      </c>
      <c r="FA44" s="51">
        <v>1</v>
      </c>
      <c r="FB44" s="51">
        <v>1</v>
      </c>
      <c r="FC44">
        <v>0</v>
      </c>
      <c r="FD44" s="51">
        <v>1</v>
      </c>
      <c r="FE44">
        <v>0</v>
      </c>
      <c r="FF44" s="51">
        <v>1</v>
      </c>
      <c r="FG44">
        <v>0</v>
      </c>
      <c r="FH44" s="51">
        <v>1</v>
      </c>
      <c r="FI44">
        <v>0</v>
      </c>
      <c r="FJ44">
        <v>8.174285816161557E-2</v>
      </c>
      <c r="FK44">
        <v>8.174285816161557E-2</v>
      </c>
      <c r="FL44">
        <v>8.174285816161557E-2</v>
      </c>
      <c r="FM44">
        <v>8.174285816161557E-2</v>
      </c>
      <c r="FN44">
        <v>8.174285816161557E-2</v>
      </c>
      <c r="FO44">
        <v>8.174285816161557E-2</v>
      </c>
      <c r="FP44">
        <v>8.174285816161557E-2</v>
      </c>
      <c r="FQ44">
        <v>8.174285816161557E-2</v>
      </c>
      <c r="FR44">
        <v>8.174285816161557E-2</v>
      </c>
      <c r="FS44">
        <v>8.174285816161557E-2</v>
      </c>
    </row>
    <row r="45" spans="1:175" ht="14.55" customHeight="1" x14ac:dyDescent="0.3">
      <c r="A45" s="171" t="s">
        <v>18</v>
      </c>
      <c r="B45" s="12" t="s">
        <v>52</v>
      </c>
      <c r="C45" s="11" t="s">
        <v>276</v>
      </c>
      <c r="D45" s="6" t="s">
        <v>47</v>
      </c>
      <c r="E45" s="9">
        <f t="shared" si="5"/>
        <v>37</v>
      </c>
      <c r="F45" s="13">
        <v>1</v>
      </c>
      <c r="G45" s="13" t="s">
        <v>48</v>
      </c>
      <c r="H45">
        <v>0</v>
      </c>
      <c r="I45" t="s">
        <v>12</v>
      </c>
      <c r="J45">
        <v>1</v>
      </c>
      <c r="K45">
        <v>0</v>
      </c>
      <c r="L45" s="10">
        <v>0</v>
      </c>
      <c r="M45">
        <v>0</v>
      </c>
      <c r="N45">
        <v>0</v>
      </c>
      <c r="O45">
        <v>2000000</v>
      </c>
      <c r="P45" s="10">
        <v>0</v>
      </c>
      <c r="Q45" s="10">
        <v>0</v>
      </c>
      <c r="R45" s="10">
        <v>0</v>
      </c>
      <c r="S45" s="10">
        <v>0</v>
      </c>
      <c r="T45" s="10">
        <v>0</v>
      </c>
      <c r="U45" s="10">
        <v>0</v>
      </c>
      <c r="V45" s="10">
        <v>0</v>
      </c>
      <c r="W45" s="10">
        <v>0</v>
      </c>
      <c r="X45" s="10">
        <v>0</v>
      </c>
      <c r="Y45" s="10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 s="14">
        <v>0</v>
      </c>
      <c r="AU45" s="14">
        <v>0</v>
      </c>
      <c r="AV45" s="14">
        <v>0</v>
      </c>
      <c r="AW45" s="14">
        <v>0</v>
      </c>
      <c r="AX45" s="14">
        <v>0</v>
      </c>
      <c r="AY45" s="14">
        <v>0</v>
      </c>
      <c r="AZ45" s="14">
        <v>0</v>
      </c>
      <c r="BA45" s="14">
        <v>0</v>
      </c>
      <c r="BB45" s="14">
        <v>0</v>
      </c>
      <c r="BC45" s="14">
        <v>0</v>
      </c>
      <c r="BD45" s="14">
        <v>1</v>
      </c>
      <c r="BE45" s="14">
        <v>1</v>
      </c>
      <c r="BF45" s="14">
        <v>1</v>
      </c>
      <c r="BG45" s="14">
        <v>1</v>
      </c>
      <c r="BH45" s="14">
        <v>1</v>
      </c>
      <c r="BI45" s="14">
        <v>1</v>
      </c>
      <c r="BJ45" s="14">
        <v>1</v>
      </c>
      <c r="BK45" s="14">
        <v>1</v>
      </c>
      <c r="BL45" s="14">
        <v>1</v>
      </c>
      <c r="BM45" s="14">
        <v>1</v>
      </c>
      <c r="BN45" s="14">
        <v>1</v>
      </c>
      <c r="BO45" s="14">
        <v>1</v>
      </c>
      <c r="BP45" s="14">
        <v>1</v>
      </c>
      <c r="BQ45" s="14">
        <v>1</v>
      </c>
      <c r="BR45" s="14">
        <v>1</v>
      </c>
      <c r="BS45" s="14">
        <v>1</v>
      </c>
      <c r="BT45" s="14">
        <v>1</v>
      </c>
      <c r="BU45" s="14">
        <v>1</v>
      </c>
      <c r="BV45" s="14">
        <v>1</v>
      </c>
      <c r="BW45" s="14">
        <v>1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552.67870000000005</v>
      </c>
      <c r="CI45">
        <v>552.67870000000005</v>
      </c>
      <c r="CJ45">
        <v>552.67870000000005</v>
      </c>
      <c r="CK45">
        <v>396.26020000000005</v>
      </c>
      <c r="CL45">
        <v>396.26020000000005</v>
      </c>
      <c r="CM45">
        <v>396.26020000000005</v>
      </c>
      <c r="CN45">
        <v>344.12070000000006</v>
      </c>
      <c r="CO45">
        <v>312.83700000000005</v>
      </c>
      <c r="CP45">
        <v>312.83700000000005</v>
      </c>
      <c r="CQ45">
        <v>312.83700000000005</v>
      </c>
      <c r="CR45">
        <v>9.1244125000000018</v>
      </c>
      <c r="CS45">
        <v>9.1244125000000018</v>
      </c>
      <c r="CT45">
        <v>9.1244125000000018</v>
      </c>
      <c r="CU45">
        <v>7.5602274999999999</v>
      </c>
      <c r="CV45">
        <v>7.5602275000000008</v>
      </c>
      <c r="CW45">
        <v>7.5602275000000008</v>
      </c>
      <c r="CX45">
        <v>6.9084837500000003</v>
      </c>
      <c r="CY45">
        <v>6.5174375000000007</v>
      </c>
      <c r="CZ45">
        <v>6.5174375000000007</v>
      </c>
      <c r="DA45">
        <v>6.5174374999999998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90.584795321637415</v>
      </c>
      <c r="EG45">
        <v>90.584795321637415</v>
      </c>
      <c r="EH45">
        <v>90.584795321637415</v>
      </c>
      <c r="EI45">
        <v>0</v>
      </c>
      <c r="EJ45">
        <f t="shared" si="103"/>
        <v>90.584795321637415</v>
      </c>
      <c r="EK45">
        <v>0</v>
      </c>
      <c r="EL45">
        <f t="shared" si="104"/>
        <v>90.584795321637415</v>
      </c>
      <c r="EM45">
        <v>0</v>
      </c>
      <c r="EN45">
        <f t="shared" si="105"/>
        <v>90.584795321637415</v>
      </c>
      <c r="EO45">
        <v>0</v>
      </c>
      <c r="EP45">
        <v>0</v>
      </c>
      <c r="EQ45">
        <v>0</v>
      </c>
      <c r="ER45">
        <v>0</v>
      </c>
      <c r="ES45">
        <v>0</v>
      </c>
      <c r="ET45">
        <f t="shared" ref="ET45:ET58" si="106">$EQ45*B$3</f>
        <v>0</v>
      </c>
      <c r="EU45">
        <v>0</v>
      </c>
      <c r="EV45">
        <f t="shared" ref="EV45:EV58" si="107">$EQ45*C$3</f>
        <v>0</v>
      </c>
      <c r="EW45">
        <v>0</v>
      </c>
      <c r="EX45">
        <f t="shared" ref="EX45:EX58" si="108">$EQ45*D$3</f>
        <v>0</v>
      </c>
      <c r="EY45">
        <v>0</v>
      </c>
      <c r="EZ45">
        <v>13.75</v>
      </c>
      <c r="FA45">
        <v>13.75</v>
      </c>
      <c r="FB45">
        <v>13.75</v>
      </c>
      <c r="FC45">
        <v>0</v>
      </c>
      <c r="FD45">
        <v>12.26</v>
      </c>
      <c r="FE45">
        <v>0</v>
      </c>
      <c r="FF45">
        <v>11.51</v>
      </c>
      <c r="FG45">
        <v>0</v>
      </c>
      <c r="FH45">
        <v>10.84</v>
      </c>
      <c r="FI45">
        <v>0</v>
      </c>
      <c r="FJ45">
        <v>8.5803264560679798E-2</v>
      </c>
      <c r="FK45">
        <v>8.5803264560679798E-2</v>
      </c>
      <c r="FL45">
        <v>8.5803264560679798E-2</v>
      </c>
      <c r="FM45">
        <v>8.3860161500585326E-2</v>
      </c>
      <c r="FN45">
        <v>8.3860161500585326E-2</v>
      </c>
      <c r="FO45">
        <v>8.3860161500585326E-2</v>
      </c>
      <c r="FP45">
        <v>8.3860161500585326E-2</v>
      </c>
      <c r="FQ45">
        <v>8.3860161500585326E-2</v>
      </c>
      <c r="FR45">
        <v>8.3860161500585326E-2</v>
      </c>
      <c r="FS45">
        <v>8.3860161500585326E-2</v>
      </c>
    </row>
    <row r="46" spans="1:175" ht="14.55" customHeight="1" x14ac:dyDescent="0.3">
      <c r="A46" s="171"/>
      <c r="B46" s="12" t="s">
        <v>51</v>
      </c>
      <c r="C46" s="11" t="s">
        <v>276</v>
      </c>
      <c r="D46" s="6" t="s">
        <v>49</v>
      </c>
      <c r="E46" s="9">
        <f>ROW(D46)-ROW($E$8)</f>
        <v>38</v>
      </c>
      <c r="F46" s="13">
        <v>1</v>
      </c>
      <c r="G46" s="13" t="s">
        <v>50</v>
      </c>
      <c r="H46">
        <v>0</v>
      </c>
      <c r="I46" t="s">
        <v>12</v>
      </c>
      <c r="J46">
        <v>1</v>
      </c>
      <c r="K46">
        <v>0</v>
      </c>
      <c r="L46" s="10">
        <v>0</v>
      </c>
      <c r="M46">
        <v>0</v>
      </c>
      <c r="N46">
        <v>0</v>
      </c>
      <c r="O46">
        <f t="shared" ref="O46:O64" si="109">$O$45</f>
        <v>2000000</v>
      </c>
      <c r="P46" s="10">
        <v>0</v>
      </c>
      <c r="Q46" s="10">
        <v>0</v>
      </c>
      <c r="R46" s="10">
        <v>0</v>
      </c>
      <c r="S46" s="10">
        <v>0</v>
      </c>
      <c r="T46" s="10">
        <v>0</v>
      </c>
      <c r="U46" s="10">
        <v>0</v>
      </c>
      <c r="V46" s="10">
        <v>0</v>
      </c>
      <c r="W46" s="10">
        <v>0</v>
      </c>
      <c r="X46" s="10">
        <v>0</v>
      </c>
      <c r="Y46" s="10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 s="14">
        <v>0</v>
      </c>
      <c r="AU46" s="14">
        <v>0</v>
      </c>
      <c r="AV46" s="14">
        <v>0</v>
      </c>
      <c r="AW46" s="14">
        <v>0</v>
      </c>
      <c r="AX46" s="14">
        <v>0</v>
      </c>
      <c r="AY46" s="14">
        <v>0</v>
      </c>
      <c r="AZ46" s="14">
        <v>0</v>
      </c>
      <c r="BA46" s="14">
        <v>0</v>
      </c>
      <c r="BB46" s="14">
        <v>0</v>
      </c>
      <c r="BC46" s="14">
        <v>0</v>
      </c>
      <c r="BD46" s="14">
        <v>1</v>
      </c>
      <c r="BE46" s="14">
        <v>1</v>
      </c>
      <c r="BF46" s="14">
        <v>1</v>
      </c>
      <c r="BG46" s="14">
        <v>1</v>
      </c>
      <c r="BH46" s="14">
        <v>1</v>
      </c>
      <c r="BI46" s="14">
        <v>1</v>
      </c>
      <c r="BJ46" s="14">
        <v>1</v>
      </c>
      <c r="BK46" s="14">
        <v>1</v>
      </c>
      <c r="BL46" s="14">
        <v>1</v>
      </c>
      <c r="BM46" s="14">
        <v>1</v>
      </c>
      <c r="BN46" s="14">
        <v>1</v>
      </c>
      <c r="BO46" s="14">
        <v>1</v>
      </c>
      <c r="BP46" s="14">
        <v>1</v>
      </c>
      <c r="BQ46" s="14">
        <v>1</v>
      </c>
      <c r="BR46" s="14">
        <v>1</v>
      </c>
      <c r="BS46" s="14">
        <v>1</v>
      </c>
      <c r="BT46" s="14">
        <v>1</v>
      </c>
      <c r="BU46" s="14">
        <v>1</v>
      </c>
      <c r="BV46" s="14">
        <v>1</v>
      </c>
      <c r="BW46" s="14">
        <v>1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761.23670000000004</v>
      </c>
      <c r="CI46">
        <v>646.52980000000002</v>
      </c>
      <c r="CJ46">
        <v>583.96240000000012</v>
      </c>
      <c r="CK46">
        <v>458.82760000000007</v>
      </c>
      <c r="CL46">
        <v>458.82760000000007</v>
      </c>
      <c r="CM46">
        <v>458.82760000000007</v>
      </c>
      <c r="CN46">
        <v>406.68810000000002</v>
      </c>
      <c r="CO46">
        <v>375.40440000000001</v>
      </c>
      <c r="CP46">
        <v>375.40440000000001</v>
      </c>
      <c r="CQ46">
        <v>375.40440000000001</v>
      </c>
      <c r="CR46">
        <v>11.601038750000001</v>
      </c>
      <c r="CS46">
        <v>11.157853000000001</v>
      </c>
      <c r="CT46">
        <v>7.6905762500000012</v>
      </c>
      <c r="CU46">
        <v>9.2808309999999992</v>
      </c>
      <c r="CV46">
        <v>9.2808310000000009</v>
      </c>
      <c r="CW46">
        <v>9.2808310000000009</v>
      </c>
      <c r="CX46">
        <v>8.5508780000000009</v>
      </c>
      <c r="CY46">
        <v>8.1337620000000008</v>
      </c>
      <c r="CZ46">
        <v>8.1337620000000008</v>
      </c>
      <c r="DA46">
        <v>8.1337620000000008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90.584795321637415</v>
      </c>
      <c r="EG46">
        <v>90.584795321637415</v>
      </c>
      <c r="EH46">
        <v>90.584795321637415</v>
      </c>
      <c r="EI46">
        <v>0</v>
      </c>
      <c r="EJ46">
        <f t="shared" si="103"/>
        <v>90.584795321637415</v>
      </c>
      <c r="EK46">
        <v>0</v>
      </c>
      <c r="EL46">
        <f t="shared" si="104"/>
        <v>90.584795321637415</v>
      </c>
      <c r="EM46">
        <v>0</v>
      </c>
      <c r="EN46">
        <f t="shared" si="105"/>
        <v>90.584795321637415</v>
      </c>
      <c r="EO46">
        <v>0</v>
      </c>
      <c r="EP46">
        <v>0</v>
      </c>
      <c r="EQ46">
        <v>0</v>
      </c>
      <c r="ER46">
        <v>0</v>
      </c>
      <c r="ES46">
        <v>0</v>
      </c>
      <c r="ET46">
        <f t="shared" si="106"/>
        <v>0</v>
      </c>
      <c r="EU46">
        <v>0</v>
      </c>
      <c r="EV46">
        <f t="shared" si="107"/>
        <v>0</v>
      </c>
      <c r="EW46">
        <v>0</v>
      </c>
      <c r="EX46">
        <f t="shared" si="108"/>
        <v>0</v>
      </c>
      <c r="EY46">
        <v>0</v>
      </c>
      <c r="EZ46">
        <v>17.88</v>
      </c>
      <c r="FA46">
        <v>17.88</v>
      </c>
      <c r="FB46">
        <v>17.88</v>
      </c>
      <c r="FC46">
        <v>0</v>
      </c>
      <c r="FD46">
        <v>15.93</v>
      </c>
      <c r="FE46">
        <v>0</v>
      </c>
      <c r="FF46">
        <v>14.96</v>
      </c>
      <c r="FG46">
        <v>0</v>
      </c>
      <c r="FH46">
        <v>14.09</v>
      </c>
      <c r="FI46">
        <v>0</v>
      </c>
      <c r="FJ46">
        <v>8.5803264560679798E-2</v>
      </c>
      <c r="FK46">
        <v>8.5803264560679798E-2</v>
      </c>
      <c r="FL46">
        <v>8.5803264560679798E-2</v>
      </c>
      <c r="FM46">
        <v>8.3860161500585326E-2</v>
      </c>
      <c r="FN46">
        <v>8.3860161500585326E-2</v>
      </c>
      <c r="FO46">
        <v>8.3860161500585326E-2</v>
      </c>
      <c r="FP46">
        <v>8.3860161500585326E-2</v>
      </c>
      <c r="FQ46">
        <v>8.3860161500585326E-2</v>
      </c>
      <c r="FR46">
        <v>8.3860161500585326E-2</v>
      </c>
      <c r="FS46">
        <v>8.3860161500585326E-2</v>
      </c>
    </row>
    <row r="47" spans="1:175" x14ac:dyDescent="0.3">
      <c r="A47" s="171"/>
      <c r="B47" s="12" t="str">
        <f>CONCATENATE("RPU_"&amp;D47)</f>
        <v>RPU_ON_SP198-HH100</v>
      </c>
      <c r="C47" s="11" t="s">
        <v>276</v>
      </c>
      <c r="D47" s="2" t="s">
        <v>164</v>
      </c>
      <c r="E47" s="9">
        <f t="shared" si="5"/>
        <v>39</v>
      </c>
      <c r="F47" s="13">
        <v>1</v>
      </c>
      <c r="G47" s="13" t="s">
        <v>53</v>
      </c>
      <c r="H47">
        <v>0</v>
      </c>
      <c r="I47" t="s">
        <v>12</v>
      </c>
      <c r="J47">
        <v>1</v>
      </c>
      <c r="K47">
        <v>0</v>
      </c>
      <c r="L47" s="10">
        <v>0</v>
      </c>
      <c r="M47">
        <v>0</v>
      </c>
      <c r="N47">
        <v>0</v>
      </c>
      <c r="O47">
        <f t="shared" si="109"/>
        <v>2000000</v>
      </c>
      <c r="P47" s="10">
        <v>0</v>
      </c>
      <c r="Q47" s="10">
        <v>0</v>
      </c>
      <c r="R47" s="10">
        <v>0</v>
      </c>
      <c r="S47" s="10">
        <v>0</v>
      </c>
      <c r="T47" s="10">
        <v>0</v>
      </c>
      <c r="U47" s="10">
        <v>0</v>
      </c>
      <c r="V47" s="10">
        <v>0</v>
      </c>
      <c r="W47" s="10">
        <v>0</v>
      </c>
      <c r="X47" s="10">
        <v>0</v>
      </c>
      <c r="Y47" s="10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 s="14">
        <v>0</v>
      </c>
      <c r="AU47" s="14">
        <v>0</v>
      </c>
      <c r="AV47" s="14">
        <v>0</v>
      </c>
      <c r="AW47" s="14">
        <v>0</v>
      </c>
      <c r="AX47" s="14">
        <v>0</v>
      </c>
      <c r="AY47" s="14">
        <v>0</v>
      </c>
      <c r="AZ47" s="14">
        <v>0</v>
      </c>
      <c r="BA47" s="14">
        <v>0</v>
      </c>
      <c r="BB47" s="14">
        <v>0</v>
      </c>
      <c r="BC47" s="14">
        <v>0</v>
      </c>
      <c r="BD47" s="14">
        <v>1</v>
      </c>
      <c r="BE47" s="14">
        <v>1</v>
      </c>
      <c r="BF47" s="14">
        <v>1</v>
      </c>
      <c r="BG47" s="14">
        <v>1</v>
      </c>
      <c r="BH47" s="14">
        <v>1</v>
      </c>
      <c r="BI47" s="14">
        <v>1</v>
      </c>
      <c r="BJ47" s="14">
        <v>1</v>
      </c>
      <c r="BK47" s="14">
        <v>1</v>
      </c>
      <c r="BL47" s="14">
        <v>1</v>
      </c>
      <c r="BM47" s="14">
        <v>1</v>
      </c>
      <c r="BN47" s="14">
        <v>1</v>
      </c>
      <c r="BO47" s="14">
        <v>1</v>
      </c>
      <c r="BP47" s="14">
        <v>1</v>
      </c>
      <c r="BQ47" s="14">
        <v>1</v>
      </c>
      <c r="BR47" s="14">
        <v>1</v>
      </c>
      <c r="BS47" s="14">
        <v>1</v>
      </c>
      <c r="BT47" s="14">
        <v>1</v>
      </c>
      <c r="BU47" s="14">
        <v>1</v>
      </c>
      <c r="BV47" s="14">
        <v>1</v>
      </c>
      <c r="BW47" s="14">
        <v>1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1758.6807528485745</v>
      </c>
      <c r="CI47">
        <v>1758.6807528485745</v>
      </c>
      <c r="CJ47">
        <v>1758.6807528485745</v>
      </c>
      <c r="CK47">
        <v>1633.060699073676</v>
      </c>
      <c r="CL47">
        <v>1633.060699073676</v>
      </c>
      <c r="CM47">
        <v>1633.060699073676</v>
      </c>
      <c r="CN47">
        <v>1538.8456587425023</v>
      </c>
      <c r="CO47">
        <v>1507.4406452987776</v>
      </c>
      <c r="CP47">
        <v>1507.4406452987776</v>
      </c>
      <c r="CQ47">
        <v>1507.4406452987776</v>
      </c>
      <c r="CR47">
        <v>14.599060000000001</v>
      </c>
      <c r="CS47">
        <v>14.599060000000001</v>
      </c>
      <c r="CT47">
        <v>14.599060000000001</v>
      </c>
      <c r="CU47">
        <v>13.139154</v>
      </c>
      <c r="CV47">
        <v>13.139154000000001</v>
      </c>
      <c r="CW47">
        <v>13.139154000000001</v>
      </c>
      <c r="CX47">
        <v>12.088021680000002</v>
      </c>
      <c r="CY47">
        <v>11.8252386</v>
      </c>
      <c r="CZ47">
        <v>11.8252386</v>
      </c>
      <c r="DA47">
        <v>11.8252386</v>
      </c>
      <c r="DB47">
        <v>1.5641850000000001E-3</v>
      </c>
      <c r="DC47">
        <v>1.5641850000000001E-3</v>
      </c>
      <c r="DD47">
        <v>1.5641850000000001E-3</v>
      </c>
      <c r="DE47">
        <v>1.4077665000000001E-3</v>
      </c>
      <c r="DF47">
        <v>1.4077665000000001E-3</v>
      </c>
      <c r="DG47">
        <v>1.4077664999999999E-3</v>
      </c>
      <c r="DH47">
        <v>1.2930596E-3</v>
      </c>
      <c r="DI47">
        <v>1.2722038E-3</v>
      </c>
      <c r="DJ47">
        <v>1.2722038E-3</v>
      </c>
      <c r="DK47">
        <v>1.2722038E-3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 s="16">
        <v>55.12222222222222</v>
      </c>
      <c r="EG47" s="16">
        <v>55.12222222222222</v>
      </c>
      <c r="EH47" s="16">
        <v>55.12222222222222</v>
      </c>
      <c r="EI47">
        <v>0</v>
      </c>
      <c r="EJ47">
        <f t="shared" si="103"/>
        <v>55.12222222222222</v>
      </c>
      <c r="EK47">
        <v>0</v>
      </c>
      <c r="EL47">
        <f t="shared" si="104"/>
        <v>55.12222222222222</v>
      </c>
      <c r="EM47">
        <v>0</v>
      </c>
      <c r="EN47">
        <f t="shared" si="105"/>
        <v>55.12222222222222</v>
      </c>
      <c r="EO47">
        <v>0</v>
      </c>
      <c r="EP47">
        <v>0</v>
      </c>
      <c r="EQ47">
        <v>0</v>
      </c>
      <c r="ER47">
        <v>0</v>
      </c>
      <c r="ES47">
        <v>0</v>
      </c>
      <c r="ET47">
        <f t="shared" si="106"/>
        <v>0</v>
      </c>
      <c r="EU47">
        <v>0</v>
      </c>
      <c r="EV47">
        <f t="shared" si="107"/>
        <v>0</v>
      </c>
      <c r="EW47">
        <v>0</v>
      </c>
      <c r="EX47">
        <f t="shared" si="108"/>
        <v>0</v>
      </c>
      <c r="EY47">
        <v>0</v>
      </c>
      <c r="EZ47">
        <v>203.96</v>
      </c>
      <c r="FA47">
        <v>177.36</v>
      </c>
      <c r="FB47">
        <v>150.76</v>
      </c>
      <c r="FC47">
        <v>0</v>
      </c>
      <c r="FD47">
        <v>171.96</v>
      </c>
      <c r="FE47">
        <v>0</v>
      </c>
      <c r="FF47">
        <v>169.84</v>
      </c>
      <c r="FG47">
        <v>0</v>
      </c>
      <c r="FH47">
        <v>171.26</v>
      </c>
      <c r="FI47">
        <v>0</v>
      </c>
      <c r="FJ47">
        <v>9.1448096207564403E-2</v>
      </c>
      <c r="FK47">
        <v>9.1448096207564403E-2</v>
      </c>
      <c r="FL47">
        <v>9.1448096207564403E-2</v>
      </c>
      <c r="FM47">
        <v>8.8827433387272267E-2</v>
      </c>
      <c r="FN47">
        <v>8.8827433387272267E-2</v>
      </c>
      <c r="FO47">
        <v>8.8827433387272267E-2</v>
      </c>
      <c r="FP47">
        <v>8.8827433387272267E-2</v>
      </c>
      <c r="FQ47">
        <v>8.8827433387272267E-2</v>
      </c>
      <c r="FR47">
        <v>8.8827433387272267E-2</v>
      </c>
      <c r="FS47">
        <v>8.8827433387272267E-2</v>
      </c>
    </row>
    <row r="48" spans="1:175" x14ac:dyDescent="0.3">
      <c r="A48" s="171"/>
      <c r="B48" s="12" t="str">
        <f t="shared" ref="B48:B58" si="110">CONCATENATE("RPU_"&amp;D48)</f>
        <v>RPU_ON_SP198-HH150</v>
      </c>
      <c r="C48" s="11" t="s">
        <v>276</v>
      </c>
      <c r="D48" s="2" t="s">
        <v>54</v>
      </c>
      <c r="E48" s="9">
        <f t="shared" si="5"/>
        <v>40</v>
      </c>
      <c r="F48" s="13">
        <v>1</v>
      </c>
      <c r="G48" s="13" t="s">
        <v>55</v>
      </c>
      <c r="H48">
        <v>0</v>
      </c>
      <c r="I48" t="s">
        <v>12</v>
      </c>
      <c r="J48">
        <v>1</v>
      </c>
      <c r="K48">
        <v>0</v>
      </c>
      <c r="L48" s="10">
        <v>0</v>
      </c>
      <c r="M48">
        <v>0</v>
      </c>
      <c r="N48">
        <v>0</v>
      </c>
      <c r="O48">
        <f t="shared" si="109"/>
        <v>2000000</v>
      </c>
      <c r="P48" s="10">
        <v>0</v>
      </c>
      <c r="Q48" s="10">
        <v>0</v>
      </c>
      <c r="R48" s="10">
        <v>0</v>
      </c>
      <c r="S48" s="10">
        <v>0</v>
      </c>
      <c r="T48" s="10">
        <v>0</v>
      </c>
      <c r="U48" s="10">
        <v>0</v>
      </c>
      <c r="V48" s="10">
        <v>0</v>
      </c>
      <c r="W48" s="10">
        <v>0</v>
      </c>
      <c r="X48" s="10">
        <v>0</v>
      </c>
      <c r="Y48" s="10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 s="14">
        <v>0</v>
      </c>
      <c r="AU48" s="14">
        <v>0</v>
      </c>
      <c r="AV48" s="14">
        <v>0</v>
      </c>
      <c r="AW48" s="14">
        <v>0</v>
      </c>
      <c r="AX48" s="14">
        <v>0</v>
      </c>
      <c r="AY48" s="14">
        <v>0</v>
      </c>
      <c r="AZ48" s="14">
        <v>0</v>
      </c>
      <c r="BA48" s="14">
        <v>0</v>
      </c>
      <c r="BB48" s="14">
        <v>0</v>
      </c>
      <c r="BC48" s="14">
        <v>0</v>
      </c>
      <c r="BD48" s="14">
        <v>1</v>
      </c>
      <c r="BE48" s="14">
        <v>1</v>
      </c>
      <c r="BF48" s="14">
        <v>1</v>
      </c>
      <c r="BG48" s="14">
        <v>1</v>
      </c>
      <c r="BH48" s="14">
        <v>1</v>
      </c>
      <c r="BI48" s="14">
        <v>1</v>
      </c>
      <c r="BJ48" s="14">
        <v>1</v>
      </c>
      <c r="BK48" s="14">
        <v>1</v>
      </c>
      <c r="BL48" s="14">
        <v>1</v>
      </c>
      <c r="BM48" s="14">
        <v>1</v>
      </c>
      <c r="BN48" s="14">
        <v>1</v>
      </c>
      <c r="BO48" s="14">
        <v>1</v>
      </c>
      <c r="BP48" s="14">
        <v>1</v>
      </c>
      <c r="BQ48" s="14">
        <v>1</v>
      </c>
      <c r="BR48" s="14">
        <v>1</v>
      </c>
      <c r="BS48" s="14">
        <v>1</v>
      </c>
      <c r="BT48" s="14">
        <v>1</v>
      </c>
      <c r="BU48" s="14">
        <v>1</v>
      </c>
      <c r="BV48" s="14">
        <v>1</v>
      </c>
      <c r="BW48" s="14">
        <v>1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2188.7934195531479</v>
      </c>
      <c r="CI48">
        <v>2188.7934195531479</v>
      </c>
      <c r="CJ48">
        <v>2188.7934195531479</v>
      </c>
      <c r="CK48">
        <v>2032.4510324422088</v>
      </c>
      <c r="CL48">
        <v>2032.4510324422088</v>
      </c>
      <c r="CM48">
        <v>2032.4510324422088</v>
      </c>
      <c r="CN48">
        <v>1915.1942421090046</v>
      </c>
      <c r="CO48">
        <v>1876.1086453312696</v>
      </c>
      <c r="CP48">
        <v>1876.1086453312696</v>
      </c>
      <c r="CQ48">
        <v>1876.1086453312696</v>
      </c>
      <c r="CR48">
        <v>14.599060000000001</v>
      </c>
      <c r="CS48">
        <v>14.599060000000001</v>
      </c>
      <c r="CT48">
        <v>14.599060000000001</v>
      </c>
      <c r="CU48">
        <v>13.139154</v>
      </c>
      <c r="CV48">
        <v>13.139154000000001</v>
      </c>
      <c r="CW48">
        <v>13.139154000000001</v>
      </c>
      <c r="CX48">
        <v>12.088021680000002</v>
      </c>
      <c r="CY48">
        <v>11.8252386</v>
      </c>
      <c r="CZ48">
        <v>11.8252386</v>
      </c>
      <c r="DA48">
        <v>11.8252386</v>
      </c>
      <c r="DB48">
        <v>1.5641850000000001E-3</v>
      </c>
      <c r="DC48">
        <v>1.5641850000000001E-3</v>
      </c>
      <c r="DD48">
        <v>1.5641850000000001E-3</v>
      </c>
      <c r="DE48">
        <v>1.4077665000000001E-3</v>
      </c>
      <c r="DF48">
        <v>1.4077665000000001E-3</v>
      </c>
      <c r="DG48">
        <v>1.4077664999999999E-3</v>
      </c>
      <c r="DH48">
        <v>1.2930596E-3</v>
      </c>
      <c r="DI48">
        <v>1.2722038E-3</v>
      </c>
      <c r="DJ48">
        <v>1.2722038E-3</v>
      </c>
      <c r="DK48">
        <v>1.2722038E-3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 s="16">
        <v>55.12222222222222</v>
      </c>
      <c r="EG48" s="16">
        <v>55.12222222222222</v>
      </c>
      <c r="EH48" s="16">
        <v>55.12222222222222</v>
      </c>
      <c r="EI48">
        <v>0</v>
      </c>
      <c r="EJ48">
        <f t="shared" si="103"/>
        <v>55.12222222222222</v>
      </c>
      <c r="EK48">
        <v>0</v>
      </c>
      <c r="EL48">
        <f t="shared" si="104"/>
        <v>55.12222222222222</v>
      </c>
      <c r="EM48">
        <v>0</v>
      </c>
      <c r="EN48">
        <f t="shared" si="105"/>
        <v>55.12222222222222</v>
      </c>
      <c r="EO48">
        <v>0</v>
      </c>
      <c r="EP48">
        <v>0</v>
      </c>
      <c r="EQ48">
        <v>0</v>
      </c>
      <c r="ER48">
        <v>0</v>
      </c>
      <c r="ES48">
        <v>0</v>
      </c>
      <c r="ET48">
        <f t="shared" si="106"/>
        <v>0</v>
      </c>
      <c r="EU48">
        <v>0</v>
      </c>
      <c r="EV48">
        <f t="shared" si="107"/>
        <v>0</v>
      </c>
      <c r="EW48">
        <v>0</v>
      </c>
      <c r="EX48">
        <f t="shared" si="108"/>
        <v>0</v>
      </c>
      <c r="EY48">
        <v>0</v>
      </c>
      <c r="EZ48">
        <v>203.96</v>
      </c>
      <c r="FA48">
        <v>177.36</v>
      </c>
      <c r="FB48">
        <v>150.76</v>
      </c>
      <c r="FC48">
        <v>0</v>
      </c>
      <c r="FD48">
        <v>171.96</v>
      </c>
      <c r="FE48">
        <v>0</v>
      </c>
      <c r="FF48">
        <v>169.84</v>
      </c>
      <c r="FG48">
        <v>0</v>
      </c>
      <c r="FH48">
        <v>171.26</v>
      </c>
      <c r="FI48">
        <v>0</v>
      </c>
      <c r="FJ48">
        <v>9.1448096207564403E-2</v>
      </c>
      <c r="FK48">
        <v>9.1448096207564403E-2</v>
      </c>
      <c r="FL48">
        <v>9.1448096207564403E-2</v>
      </c>
      <c r="FM48">
        <v>8.8827433387272267E-2</v>
      </c>
      <c r="FN48">
        <v>8.8827433387272267E-2</v>
      </c>
      <c r="FO48">
        <v>8.8827433387272267E-2</v>
      </c>
      <c r="FP48">
        <v>8.8827433387272267E-2</v>
      </c>
      <c r="FQ48">
        <v>8.8827433387272267E-2</v>
      </c>
      <c r="FR48">
        <v>8.8827433387272267E-2</v>
      </c>
      <c r="FS48">
        <v>8.8827433387272267E-2</v>
      </c>
    </row>
    <row r="49" spans="1:175" x14ac:dyDescent="0.3">
      <c r="A49" s="171"/>
      <c r="B49" s="12" t="str">
        <f t="shared" si="110"/>
        <v>RPU_ON_SP237-HH100</v>
      </c>
      <c r="C49" s="11" t="s">
        <v>276</v>
      </c>
      <c r="D49" s="2" t="s">
        <v>56</v>
      </c>
      <c r="E49" s="9">
        <f t="shared" si="5"/>
        <v>41</v>
      </c>
      <c r="F49" s="13">
        <v>1</v>
      </c>
      <c r="G49" s="13" t="s">
        <v>57</v>
      </c>
      <c r="H49">
        <v>0</v>
      </c>
      <c r="I49" t="s">
        <v>12</v>
      </c>
      <c r="J49">
        <v>1</v>
      </c>
      <c r="K49">
        <v>0</v>
      </c>
      <c r="L49" s="10">
        <v>0</v>
      </c>
      <c r="M49">
        <v>0</v>
      </c>
      <c r="N49">
        <v>0</v>
      </c>
      <c r="O49">
        <f t="shared" si="109"/>
        <v>2000000</v>
      </c>
      <c r="P49" s="10">
        <v>0</v>
      </c>
      <c r="Q49" s="10">
        <v>0</v>
      </c>
      <c r="R49" s="10">
        <v>0</v>
      </c>
      <c r="S49" s="10">
        <v>0</v>
      </c>
      <c r="T49" s="10">
        <v>0</v>
      </c>
      <c r="U49" s="10">
        <v>0</v>
      </c>
      <c r="V49" s="10">
        <v>0</v>
      </c>
      <c r="W49" s="10">
        <v>0</v>
      </c>
      <c r="X49" s="10">
        <v>0</v>
      </c>
      <c r="Y49" s="10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 s="14">
        <v>0</v>
      </c>
      <c r="AU49" s="14">
        <v>0</v>
      </c>
      <c r="AV49" s="14">
        <v>0</v>
      </c>
      <c r="AW49" s="14">
        <v>0</v>
      </c>
      <c r="AX49" s="14">
        <v>0</v>
      </c>
      <c r="AY49" s="14">
        <v>0</v>
      </c>
      <c r="AZ49" s="14">
        <v>0</v>
      </c>
      <c r="BA49" s="14">
        <v>0</v>
      </c>
      <c r="BB49" s="14">
        <v>0</v>
      </c>
      <c r="BC49" s="14">
        <v>0</v>
      </c>
      <c r="BD49" s="14">
        <v>1</v>
      </c>
      <c r="BE49" s="14">
        <v>1</v>
      </c>
      <c r="BF49" s="14">
        <v>1</v>
      </c>
      <c r="BG49" s="14">
        <v>1</v>
      </c>
      <c r="BH49" s="14">
        <v>1</v>
      </c>
      <c r="BI49" s="14">
        <v>1</v>
      </c>
      <c r="BJ49" s="14">
        <v>1</v>
      </c>
      <c r="BK49" s="14">
        <v>1</v>
      </c>
      <c r="BL49" s="14">
        <v>1</v>
      </c>
      <c r="BM49" s="14">
        <v>1</v>
      </c>
      <c r="BN49" s="14">
        <v>1</v>
      </c>
      <c r="BO49" s="14">
        <v>1</v>
      </c>
      <c r="BP49" s="14">
        <v>1</v>
      </c>
      <c r="BQ49" s="14">
        <v>1</v>
      </c>
      <c r="BR49" s="14">
        <v>1</v>
      </c>
      <c r="BS49" s="14">
        <v>1</v>
      </c>
      <c r="BT49" s="14">
        <v>1</v>
      </c>
      <c r="BU49" s="14">
        <v>1</v>
      </c>
      <c r="BV49" s="14">
        <v>1</v>
      </c>
      <c r="BW49" s="14">
        <v>1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1554.7627916706663</v>
      </c>
      <c r="CI49">
        <v>1554.7627916706663</v>
      </c>
      <c r="CJ49">
        <v>1554.7627916706663</v>
      </c>
      <c r="CK49">
        <v>1443.7083065513327</v>
      </c>
      <c r="CL49">
        <v>1443.7083065513327</v>
      </c>
      <c r="CM49">
        <v>1443.7083065513327</v>
      </c>
      <c r="CN49">
        <v>1360.4174427118328</v>
      </c>
      <c r="CO49">
        <v>1332.6538214319989</v>
      </c>
      <c r="CP49">
        <v>1332.6538214319989</v>
      </c>
      <c r="CQ49">
        <v>1332.6538214319989</v>
      </c>
      <c r="CR49">
        <v>14.599060000000001</v>
      </c>
      <c r="CS49">
        <v>14.599060000000001</v>
      </c>
      <c r="CT49">
        <v>14.599060000000001</v>
      </c>
      <c r="CU49">
        <v>13.139154</v>
      </c>
      <c r="CV49">
        <v>13.139154000000001</v>
      </c>
      <c r="CW49">
        <v>13.139154000000001</v>
      </c>
      <c r="CX49">
        <v>12.088021680000002</v>
      </c>
      <c r="CY49">
        <v>11.8252386</v>
      </c>
      <c r="CZ49">
        <v>11.8252386</v>
      </c>
      <c r="DA49">
        <v>11.8252386</v>
      </c>
      <c r="DB49">
        <v>1.5641850000000001E-3</v>
      </c>
      <c r="DC49">
        <v>1.5641850000000001E-3</v>
      </c>
      <c r="DD49">
        <v>1.5641850000000001E-3</v>
      </c>
      <c r="DE49">
        <v>1.4077665000000001E-3</v>
      </c>
      <c r="DF49">
        <v>1.4077665000000001E-3</v>
      </c>
      <c r="DG49">
        <v>1.4077664999999999E-3</v>
      </c>
      <c r="DH49">
        <v>1.2930596E-3</v>
      </c>
      <c r="DI49">
        <v>1.2722038E-3</v>
      </c>
      <c r="DJ49">
        <v>1.2722038E-3</v>
      </c>
      <c r="DK49">
        <v>1.2722038E-3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 s="16">
        <v>55.12222222222222</v>
      </c>
      <c r="EG49" s="16">
        <v>55.12222222222222</v>
      </c>
      <c r="EH49" s="16">
        <v>55.12222222222222</v>
      </c>
      <c r="EI49">
        <v>0</v>
      </c>
      <c r="EJ49">
        <f t="shared" si="103"/>
        <v>55.12222222222222</v>
      </c>
      <c r="EK49">
        <v>0</v>
      </c>
      <c r="EL49">
        <f t="shared" si="104"/>
        <v>55.12222222222222</v>
      </c>
      <c r="EM49">
        <v>0</v>
      </c>
      <c r="EN49">
        <f t="shared" si="105"/>
        <v>55.12222222222222</v>
      </c>
      <c r="EO49">
        <v>0</v>
      </c>
      <c r="EP49">
        <v>0</v>
      </c>
      <c r="EQ49">
        <v>0</v>
      </c>
      <c r="ER49">
        <v>0</v>
      </c>
      <c r="ES49">
        <v>0</v>
      </c>
      <c r="ET49">
        <f t="shared" si="106"/>
        <v>0</v>
      </c>
      <c r="EU49">
        <v>0</v>
      </c>
      <c r="EV49">
        <f t="shared" si="107"/>
        <v>0</v>
      </c>
      <c r="EW49">
        <v>0</v>
      </c>
      <c r="EX49">
        <f t="shared" si="108"/>
        <v>0</v>
      </c>
      <c r="EY49">
        <v>0</v>
      </c>
      <c r="EZ49">
        <v>203.96</v>
      </c>
      <c r="FA49">
        <v>177.36</v>
      </c>
      <c r="FB49">
        <v>150.76</v>
      </c>
      <c r="FC49">
        <v>0</v>
      </c>
      <c r="FD49">
        <v>171.96</v>
      </c>
      <c r="FE49">
        <v>0</v>
      </c>
      <c r="FF49">
        <v>169.84</v>
      </c>
      <c r="FG49">
        <v>0</v>
      </c>
      <c r="FH49">
        <v>171.26</v>
      </c>
      <c r="FI49">
        <v>0</v>
      </c>
      <c r="FJ49">
        <v>9.1448096207564403E-2</v>
      </c>
      <c r="FK49">
        <v>9.1448096207564403E-2</v>
      </c>
      <c r="FL49">
        <v>9.1448096207564403E-2</v>
      </c>
      <c r="FM49">
        <v>8.8827433387272267E-2</v>
      </c>
      <c r="FN49">
        <v>8.8827433387272267E-2</v>
      </c>
      <c r="FO49">
        <v>8.8827433387272267E-2</v>
      </c>
      <c r="FP49">
        <v>8.8827433387272267E-2</v>
      </c>
      <c r="FQ49">
        <v>8.8827433387272267E-2</v>
      </c>
      <c r="FR49">
        <v>8.8827433387272267E-2</v>
      </c>
      <c r="FS49">
        <v>8.8827433387272267E-2</v>
      </c>
    </row>
    <row r="50" spans="1:175" x14ac:dyDescent="0.3">
      <c r="A50" s="171"/>
      <c r="B50" s="12" t="str">
        <f t="shared" si="110"/>
        <v>RPU_ON_SP237-HH150</v>
      </c>
      <c r="C50" s="11" t="s">
        <v>276</v>
      </c>
      <c r="D50" s="2" t="s">
        <v>58</v>
      </c>
      <c r="E50" s="9">
        <f t="shared" si="5"/>
        <v>42</v>
      </c>
      <c r="F50" s="13">
        <v>1</v>
      </c>
      <c r="G50" s="13" t="s">
        <v>59</v>
      </c>
      <c r="H50">
        <v>0</v>
      </c>
      <c r="I50" t="s">
        <v>12</v>
      </c>
      <c r="J50">
        <v>1</v>
      </c>
      <c r="K50">
        <v>0</v>
      </c>
      <c r="L50" s="10">
        <v>0</v>
      </c>
      <c r="M50">
        <v>0</v>
      </c>
      <c r="N50">
        <v>0</v>
      </c>
      <c r="O50">
        <f t="shared" si="109"/>
        <v>2000000</v>
      </c>
      <c r="P50" s="10">
        <v>0</v>
      </c>
      <c r="Q50" s="10">
        <v>0</v>
      </c>
      <c r="R50" s="10">
        <v>0</v>
      </c>
      <c r="S50" s="10">
        <v>0</v>
      </c>
      <c r="T50" s="10">
        <v>0</v>
      </c>
      <c r="U50" s="10">
        <v>0</v>
      </c>
      <c r="V50" s="10">
        <v>0</v>
      </c>
      <c r="W50" s="10">
        <v>0</v>
      </c>
      <c r="X50" s="10">
        <v>0</v>
      </c>
      <c r="Y50" s="1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 s="14">
        <v>0</v>
      </c>
      <c r="AU50" s="14">
        <v>0</v>
      </c>
      <c r="AV50" s="14">
        <v>0</v>
      </c>
      <c r="AW50" s="14">
        <v>0</v>
      </c>
      <c r="AX50" s="14">
        <v>0</v>
      </c>
      <c r="AY50" s="14">
        <v>0</v>
      </c>
      <c r="AZ50" s="14">
        <v>0</v>
      </c>
      <c r="BA50" s="14">
        <v>0</v>
      </c>
      <c r="BB50" s="14">
        <v>0</v>
      </c>
      <c r="BC50" s="14">
        <v>0</v>
      </c>
      <c r="BD50" s="14">
        <v>1</v>
      </c>
      <c r="BE50" s="14">
        <v>1</v>
      </c>
      <c r="BF50" s="14">
        <v>1</v>
      </c>
      <c r="BG50" s="14">
        <v>1</v>
      </c>
      <c r="BH50" s="14">
        <v>1</v>
      </c>
      <c r="BI50" s="14">
        <v>1</v>
      </c>
      <c r="BJ50" s="14">
        <v>1</v>
      </c>
      <c r="BK50" s="14">
        <v>1</v>
      </c>
      <c r="BL50" s="14">
        <v>1</v>
      </c>
      <c r="BM50" s="14">
        <v>1</v>
      </c>
      <c r="BN50" s="14">
        <v>1</v>
      </c>
      <c r="BO50" s="14">
        <v>1</v>
      </c>
      <c r="BP50" s="14">
        <v>1</v>
      </c>
      <c r="BQ50" s="14">
        <v>1</v>
      </c>
      <c r="BR50" s="14">
        <v>1</v>
      </c>
      <c r="BS50" s="14">
        <v>1</v>
      </c>
      <c r="BT50" s="14">
        <v>1</v>
      </c>
      <c r="BU50" s="14">
        <v>1</v>
      </c>
      <c r="BV50" s="14">
        <v>1</v>
      </c>
      <c r="BW50" s="14">
        <v>1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1947.4738868244795</v>
      </c>
      <c r="CI50">
        <v>1947.4738868244795</v>
      </c>
      <c r="CJ50">
        <v>1947.4738868244795</v>
      </c>
      <c r="CK50">
        <v>1808.3686091941595</v>
      </c>
      <c r="CL50">
        <v>1808.3686091941595</v>
      </c>
      <c r="CM50">
        <v>1808.3686091941595</v>
      </c>
      <c r="CN50">
        <v>1704.0396509714192</v>
      </c>
      <c r="CO50">
        <v>1669.2633315638391</v>
      </c>
      <c r="CP50">
        <v>1669.2633315638391</v>
      </c>
      <c r="CQ50">
        <v>1669.2633315638391</v>
      </c>
      <c r="CR50">
        <v>14.599060000000001</v>
      </c>
      <c r="CS50">
        <v>14.599060000000001</v>
      </c>
      <c r="CT50">
        <v>14.599060000000001</v>
      </c>
      <c r="CU50">
        <v>13.139154</v>
      </c>
      <c r="CV50">
        <v>13.139154000000001</v>
      </c>
      <c r="CW50">
        <v>13.139154000000001</v>
      </c>
      <c r="CX50">
        <v>12.088021680000002</v>
      </c>
      <c r="CY50">
        <v>11.8252386</v>
      </c>
      <c r="CZ50">
        <v>11.8252386</v>
      </c>
      <c r="DA50">
        <v>11.8252386</v>
      </c>
      <c r="DB50">
        <v>1.5641850000000001E-3</v>
      </c>
      <c r="DC50">
        <v>1.5641850000000001E-3</v>
      </c>
      <c r="DD50">
        <v>1.5641850000000001E-3</v>
      </c>
      <c r="DE50">
        <v>1.4077665000000001E-3</v>
      </c>
      <c r="DF50">
        <v>1.4077665000000001E-3</v>
      </c>
      <c r="DG50">
        <v>1.4077664999999999E-3</v>
      </c>
      <c r="DH50">
        <v>1.2930596E-3</v>
      </c>
      <c r="DI50">
        <v>1.2722038E-3</v>
      </c>
      <c r="DJ50">
        <v>1.2722038E-3</v>
      </c>
      <c r="DK50">
        <v>1.2722038E-3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 s="16">
        <v>55.12222222222222</v>
      </c>
      <c r="EG50" s="16">
        <v>55.12222222222222</v>
      </c>
      <c r="EH50" s="16">
        <v>55.12222222222222</v>
      </c>
      <c r="EI50">
        <v>0</v>
      </c>
      <c r="EJ50">
        <f t="shared" si="103"/>
        <v>55.12222222222222</v>
      </c>
      <c r="EK50">
        <v>0</v>
      </c>
      <c r="EL50">
        <f t="shared" si="104"/>
        <v>55.12222222222222</v>
      </c>
      <c r="EM50">
        <v>0</v>
      </c>
      <c r="EN50">
        <f t="shared" si="105"/>
        <v>55.12222222222222</v>
      </c>
      <c r="EO50">
        <v>0</v>
      </c>
      <c r="EP50">
        <v>0</v>
      </c>
      <c r="EQ50">
        <v>0</v>
      </c>
      <c r="ER50">
        <v>0</v>
      </c>
      <c r="ES50">
        <v>0</v>
      </c>
      <c r="ET50">
        <f t="shared" si="106"/>
        <v>0</v>
      </c>
      <c r="EU50">
        <v>0</v>
      </c>
      <c r="EV50">
        <f t="shared" si="107"/>
        <v>0</v>
      </c>
      <c r="EW50">
        <v>0</v>
      </c>
      <c r="EX50">
        <f t="shared" si="108"/>
        <v>0</v>
      </c>
      <c r="EY50">
        <v>0</v>
      </c>
      <c r="EZ50">
        <v>203.96</v>
      </c>
      <c r="FA50">
        <v>177.36</v>
      </c>
      <c r="FB50">
        <v>150.76</v>
      </c>
      <c r="FC50">
        <v>0</v>
      </c>
      <c r="FD50">
        <v>171.96</v>
      </c>
      <c r="FE50">
        <v>0</v>
      </c>
      <c r="FF50">
        <v>169.84</v>
      </c>
      <c r="FG50">
        <v>0</v>
      </c>
      <c r="FH50">
        <v>171.26</v>
      </c>
      <c r="FI50">
        <v>0</v>
      </c>
      <c r="FJ50">
        <v>9.1448096207564403E-2</v>
      </c>
      <c r="FK50">
        <v>9.1448096207564403E-2</v>
      </c>
      <c r="FL50">
        <v>9.1448096207564403E-2</v>
      </c>
      <c r="FM50">
        <v>8.8827433387272267E-2</v>
      </c>
      <c r="FN50">
        <v>8.8827433387272267E-2</v>
      </c>
      <c r="FO50">
        <v>8.8827433387272267E-2</v>
      </c>
      <c r="FP50">
        <v>8.8827433387272267E-2</v>
      </c>
      <c r="FQ50">
        <v>8.8827433387272267E-2</v>
      </c>
      <c r="FR50">
        <v>8.8827433387272267E-2</v>
      </c>
      <c r="FS50">
        <v>8.8827433387272267E-2</v>
      </c>
    </row>
    <row r="51" spans="1:175" x14ac:dyDescent="0.3">
      <c r="A51" s="171"/>
      <c r="B51" s="12" t="str">
        <f t="shared" si="110"/>
        <v>RPU_ON_SP277-HH100</v>
      </c>
      <c r="C51" s="11" t="s">
        <v>276</v>
      </c>
      <c r="D51" s="2" t="s">
        <v>60</v>
      </c>
      <c r="E51" s="9">
        <f t="shared" si="5"/>
        <v>43</v>
      </c>
      <c r="F51" s="13">
        <v>1</v>
      </c>
      <c r="G51" s="13" t="s">
        <v>61</v>
      </c>
      <c r="H51">
        <v>0</v>
      </c>
      <c r="I51" t="s">
        <v>12</v>
      </c>
      <c r="J51">
        <v>1</v>
      </c>
      <c r="K51">
        <v>0</v>
      </c>
      <c r="L51" s="10">
        <v>0</v>
      </c>
      <c r="M51">
        <v>0</v>
      </c>
      <c r="N51">
        <v>0</v>
      </c>
      <c r="O51">
        <f t="shared" si="109"/>
        <v>2000000</v>
      </c>
      <c r="P51" s="10">
        <v>0</v>
      </c>
      <c r="Q51" s="10">
        <v>0</v>
      </c>
      <c r="R51" s="10">
        <v>0</v>
      </c>
      <c r="S51" s="10">
        <v>0</v>
      </c>
      <c r="T51" s="10">
        <v>0</v>
      </c>
      <c r="U51" s="10">
        <v>0</v>
      </c>
      <c r="V51" s="10">
        <v>0</v>
      </c>
      <c r="W51" s="10">
        <v>0</v>
      </c>
      <c r="X51" s="10">
        <v>0</v>
      </c>
      <c r="Y51" s="10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 s="14">
        <v>0</v>
      </c>
      <c r="AU51" s="14">
        <v>0</v>
      </c>
      <c r="AV51" s="14">
        <v>0</v>
      </c>
      <c r="AW51" s="14">
        <v>0</v>
      </c>
      <c r="AX51" s="14">
        <v>0</v>
      </c>
      <c r="AY51" s="14">
        <v>0</v>
      </c>
      <c r="AZ51" s="14">
        <v>0</v>
      </c>
      <c r="BA51" s="14">
        <v>0</v>
      </c>
      <c r="BB51" s="14">
        <v>0</v>
      </c>
      <c r="BC51" s="14">
        <v>0</v>
      </c>
      <c r="BD51" s="14">
        <v>1</v>
      </c>
      <c r="BE51" s="14">
        <v>1</v>
      </c>
      <c r="BF51" s="14">
        <v>1</v>
      </c>
      <c r="BG51" s="14">
        <v>1</v>
      </c>
      <c r="BH51" s="14">
        <v>1</v>
      </c>
      <c r="BI51" s="14">
        <v>1</v>
      </c>
      <c r="BJ51" s="14">
        <v>1</v>
      </c>
      <c r="BK51" s="14">
        <v>1</v>
      </c>
      <c r="BL51" s="14">
        <v>1</v>
      </c>
      <c r="BM51" s="14">
        <v>1</v>
      </c>
      <c r="BN51" s="14">
        <v>1</v>
      </c>
      <c r="BO51" s="14">
        <v>1</v>
      </c>
      <c r="BP51" s="14">
        <v>1</v>
      </c>
      <c r="BQ51" s="14">
        <v>1</v>
      </c>
      <c r="BR51" s="14">
        <v>1</v>
      </c>
      <c r="BS51" s="14">
        <v>1</v>
      </c>
      <c r="BT51" s="14">
        <v>1</v>
      </c>
      <c r="BU51" s="14">
        <v>1</v>
      </c>
      <c r="BV51" s="14">
        <v>1</v>
      </c>
      <c r="BW51" s="14">
        <v>1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1414.9828559823698</v>
      </c>
      <c r="CI51">
        <v>1414.9828559823698</v>
      </c>
      <c r="CJ51">
        <v>1414.9828559823698</v>
      </c>
      <c r="CK51">
        <v>1313.9126519836288</v>
      </c>
      <c r="CL51">
        <v>1313.9126519836288</v>
      </c>
      <c r="CM51">
        <v>1313.9126519836288</v>
      </c>
      <c r="CN51">
        <v>1238.1099989845734</v>
      </c>
      <c r="CO51">
        <v>1212.8424479848879</v>
      </c>
      <c r="CP51">
        <v>1212.8424479848879</v>
      </c>
      <c r="CQ51">
        <v>1212.8424479848879</v>
      </c>
      <c r="CR51">
        <v>14.599060000000001</v>
      </c>
      <c r="CS51">
        <v>14.599060000000001</v>
      </c>
      <c r="CT51">
        <v>14.599060000000001</v>
      </c>
      <c r="CU51">
        <v>13.139154</v>
      </c>
      <c r="CV51">
        <v>13.139154000000001</v>
      </c>
      <c r="CW51">
        <v>13.139154000000001</v>
      </c>
      <c r="CX51">
        <v>12.088021680000002</v>
      </c>
      <c r="CY51">
        <v>11.8252386</v>
      </c>
      <c r="CZ51">
        <v>11.8252386</v>
      </c>
      <c r="DA51">
        <v>11.8252386</v>
      </c>
      <c r="DB51">
        <v>1.5641850000000001E-3</v>
      </c>
      <c r="DC51">
        <v>1.5641850000000001E-3</v>
      </c>
      <c r="DD51">
        <v>1.5641850000000001E-3</v>
      </c>
      <c r="DE51">
        <v>1.4077665000000001E-3</v>
      </c>
      <c r="DF51">
        <v>1.4077665000000001E-3</v>
      </c>
      <c r="DG51">
        <v>1.4077664999999999E-3</v>
      </c>
      <c r="DH51">
        <v>1.2930596E-3</v>
      </c>
      <c r="DI51">
        <v>1.2722038E-3</v>
      </c>
      <c r="DJ51">
        <v>1.2722038E-3</v>
      </c>
      <c r="DK51">
        <v>1.2722038E-3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 s="16">
        <v>55.12222222222222</v>
      </c>
      <c r="EG51" s="16">
        <v>55.12222222222222</v>
      </c>
      <c r="EH51" s="16">
        <v>55.12222222222222</v>
      </c>
      <c r="EI51">
        <v>0</v>
      </c>
      <c r="EJ51">
        <f t="shared" si="103"/>
        <v>55.12222222222222</v>
      </c>
      <c r="EK51">
        <v>0</v>
      </c>
      <c r="EL51">
        <f t="shared" si="104"/>
        <v>55.12222222222222</v>
      </c>
      <c r="EM51">
        <v>0</v>
      </c>
      <c r="EN51">
        <f t="shared" si="105"/>
        <v>55.12222222222222</v>
      </c>
      <c r="EO51">
        <v>0</v>
      </c>
      <c r="EP51">
        <v>0</v>
      </c>
      <c r="EQ51">
        <v>0</v>
      </c>
      <c r="ER51">
        <v>0</v>
      </c>
      <c r="ES51">
        <v>0</v>
      </c>
      <c r="ET51">
        <f t="shared" si="106"/>
        <v>0</v>
      </c>
      <c r="EU51">
        <v>0</v>
      </c>
      <c r="EV51">
        <f t="shared" si="107"/>
        <v>0</v>
      </c>
      <c r="EW51">
        <v>0</v>
      </c>
      <c r="EX51">
        <f t="shared" si="108"/>
        <v>0</v>
      </c>
      <c r="EY51">
        <v>0</v>
      </c>
      <c r="EZ51">
        <v>203.96</v>
      </c>
      <c r="FA51">
        <v>177.36</v>
      </c>
      <c r="FB51">
        <v>150.76</v>
      </c>
      <c r="FC51">
        <v>0</v>
      </c>
      <c r="FD51">
        <v>171.96</v>
      </c>
      <c r="FE51">
        <v>0</v>
      </c>
      <c r="FF51">
        <v>169.84</v>
      </c>
      <c r="FG51">
        <v>0</v>
      </c>
      <c r="FH51">
        <v>171.26</v>
      </c>
      <c r="FI51">
        <v>0</v>
      </c>
      <c r="FJ51">
        <v>9.1448096207564403E-2</v>
      </c>
      <c r="FK51">
        <v>9.1448096207564403E-2</v>
      </c>
      <c r="FL51">
        <v>9.1448096207564403E-2</v>
      </c>
      <c r="FM51">
        <v>8.8827433387272267E-2</v>
      </c>
      <c r="FN51">
        <v>8.8827433387272267E-2</v>
      </c>
      <c r="FO51">
        <v>8.8827433387272267E-2</v>
      </c>
      <c r="FP51">
        <v>8.8827433387272267E-2</v>
      </c>
      <c r="FQ51">
        <v>8.8827433387272267E-2</v>
      </c>
      <c r="FR51">
        <v>8.8827433387272267E-2</v>
      </c>
      <c r="FS51">
        <v>8.8827433387272267E-2</v>
      </c>
    </row>
    <row r="52" spans="1:175" x14ac:dyDescent="0.3">
      <c r="A52" s="171"/>
      <c r="B52" s="12" t="str">
        <f t="shared" si="110"/>
        <v>RPU_ON_SP277-HH150</v>
      </c>
      <c r="C52" s="11" t="s">
        <v>276</v>
      </c>
      <c r="D52" s="2" t="s">
        <v>62</v>
      </c>
      <c r="E52" s="9">
        <f t="shared" si="5"/>
        <v>44</v>
      </c>
      <c r="F52" s="13">
        <v>1</v>
      </c>
      <c r="G52" s="13" t="s">
        <v>63</v>
      </c>
      <c r="H52">
        <v>0</v>
      </c>
      <c r="I52" t="s">
        <v>12</v>
      </c>
      <c r="J52">
        <v>1</v>
      </c>
      <c r="K52">
        <v>0</v>
      </c>
      <c r="L52" s="10">
        <v>0</v>
      </c>
      <c r="M52">
        <v>0</v>
      </c>
      <c r="N52">
        <v>0</v>
      </c>
      <c r="O52">
        <f t="shared" si="109"/>
        <v>2000000</v>
      </c>
      <c r="P52" s="10">
        <v>0</v>
      </c>
      <c r="Q52" s="10">
        <v>0</v>
      </c>
      <c r="R52" s="10">
        <v>0</v>
      </c>
      <c r="S52" s="10">
        <v>0</v>
      </c>
      <c r="T52" s="10">
        <v>0</v>
      </c>
      <c r="U52" s="10">
        <v>0</v>
      </c>
      <c r="V52" s="10">
        <v>0</v>
      </c>
      <c r="W52" s="10">
        <v>0</v>
      </c>
      <c r="X52" s="10">
        <v>0</v>
      </c>
      <c r="Y52" s="10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 s="14">
        <v>0</v>
      </c>
      <c r="AU52" s="14">
        <v>0</v>
      </c>
      <c r="AV52" s="14">
        <v>0</v>
      </c>
      <c r="AW52" s="14">
        <v>0</v>
      </c>
      <c r="AX52" s="14">
        <v>0</v>
      </c>
      <c r="AY52" s="14">
        <v>0</v>
      </c>
      <c r="AZ52" s="14">
        <v>0</v>
      </c>
      <c r="BA52" s="14">
        <v>0</v>
      </c>
      <c r="BB52" s="14">
        <v>0</v>
      </c>
      <c r="BC52" s="14">
        <v>0</v>
      </c>
      <c r="BD52" s="14">
        <v>1</v>
      </c>
      <c r="BE52" s="14">
        <v>1</v>
      </c>
      <c r="BF52" s="14">
        <v>1</v>
      </c>
      <c r="BG52" s="14">
        <v>1</v>
      </c>
      <c r="BH52" s="14">
        <v>1</v>
      </c>
      <c r="BI52" s="14">
        <v>1</v>
      </c>
      <c r="BJ52" s="14">
        <v>1</v>
      </c>
      <c r="BK52" s="14">
        <v>1</v>
      </c>
      <c r="BL52" s="14">
        <v>1</v>
      </c>
      <c r="BM52" s="14">
        <v>1</v>
      </c>
      <c r="BN52" s="14">
        <v>1</v>
      </c>
      <c r="BO52" s="14">
        <v>1</v>
      </c>
      <c r="BP52" s="14">
        <v>1</v>
      </c>
      <c r="BQ52" s="14">
        <v>1</v>
      </c>
      <c r="BR52" s="14">
        <v>1</v>
      </c>
      <c r="BS52" s="14">
        <v>1</v>
      </c>
      <c r="BT52" s="14">
        <v>1</v>
      </c>
      <c r="BU52" s="14">
        <v>1</v>
      </c>
      <c r="BV52" s="14">
        <v>1</v>
      </c>
      <c r="BW52" s="14">
        <v>1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1807.6939511361822</v>
      </c>
      <c r="CI52">
        <v>1807.6939511361822</v>
      </c>
      <c r="CJ52">
        <v>1807.6939511361822</v>
      </c>
      <c r="CK52">
        <v>1678.5729546264547</v>
      </c>
      <c r="CL52">
        <v>1678.5729546264547</v>
      </c>
      <c r="CM52">
        <v>1678.5729546264547</v>
      </c>
      <c r="CN52">
        <v>1581.7322072441593</v>
      </c>
      <c r="CO52">
        <v>1549.4519581167272</v>
      </c>
      <c r="CP52">
        <v>1549.4519581167272</v>
      </c>
      <c r="CQ52">
        <v>1549.4519581167272</v>
      </c>
      <c r="CR52">
        <v>14.599060000000001</v>
      </c>
      <c r="CS52">
        <v>14.599060000000001</v>
      </c>
      <c r="CT52">
        <v>14.599060000000001</v>
      </c>
      <c r="CU52">
        <v>13.139154</v>
      </c>
      <c r="CV52">
        <v>13.139154000000001</v>
      </c>
      <c r="CW52">
        <v>13.139154000000001</v>
      </c>
      <c r="CX52">
        <v>12.088021680000002</v>
      </c>
      <c r="CY52">
        <v>11.8252386</v>
      </c>
      <c r="CZ52">
        <v>11.8252386</v>
      </c>
      <c r="DA52">
        <v>11.8252386</v>
      </c>
      <c r="DB52">
        <v>1.5641850000000001E-3</v>
      </c>
      <c r="DC52">
        <v>1.5641850000000001E-3</v>
      </c>
      <c r="DD52">
        <v>1.5641850000000001E-3</v>
      </c>
      <c r="DE52">
        <v>1.4077665000000001E-3</v>
      </c>
      <c r="DF52">
        <v>1.4077665000000001E-3</v>
      </c>
      <c r="DG52">
        <v>1.4077664999999999E-3</v>
      </c>
      <c r="DH52">
        <v>1.2930596E-3</v>
      </c>
      <c r="DI52">
        <v>1.2722038E-3</v>
      </c>
      <c r="DJ52">
        <v>1.2722038E-3</v>
      </c>
      <c r="DK52">
        <v>1.2722038E-3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 s="16">
        <v>55.12222222222222</v>
      </c>
      <c r="EG52" s="16">
        <v>55.12222222222222</v>
      </c>
      <c r="EH52" s="16">
        <v>55.12222222222222</v>
      </c>
      <c r="EI52">
        <v>0</v>
      </c>
      <c r="EJ52">
        <f t="shared" si="103"/>
        <v>55.12222222222222</v>
      </c>
      <c r="EK52">
        <v>0</v>
      </c>
      <c r="EL52">
        <f t="shared" si="104"/>
        <v>55.12222222222222</v>
      </c>
      <c r="EM52">
        <v>0</v>
      </c>
      <c r="EN52">
        <f t="shared" si="105"/>
        <v>55.12222222222222</v>
      </c>
      <c r="EO52">
        <v>0</v>
      </c>
      <c r="EP52">
        <v>0</v>
      </c>
      <c r="EQ52">
        <v>0</v>
      </c>
      <c r="ER52">
        <v>0</v>
      </c>
      <c r="ES52">
        <v>0</v>
      </c>
      <c r="ET52">
        <f t="shared" si="106"/>
        <v>0</v>
      </c>
      <c r="EU52">
        <v>0</v>
      </c>
      <c r="EV52">
        <f t="shared" si="107"/>
        <v>0</v>
      </c>
      <c r="EW52">
        <v>0</v>
      </c>
      <c r="EX52">
        <f t="shared" si="108"/>
        <v>0</v>
      </c>
      <c r="EY52">
        <v>0</v>
      </c>
      <c r="EZ52">
        <v>203.96</v>
      </c>
      <c r="FA52">
        <v>177.36</v>
      </c>
      <c r="FB52">
        <v>150.76</v>
      </c>
      <c r="FC52">
        <v>0</v>
      </c>
      <c r="FD52">
        <v>171.96</v>
      </c>
      <c r="FE52">
        <v>0</v>
      </c>
      <c r="FF52">
        <v>169.84</v>
      </c>
      <c r="FG52">
        <v>0</v>
      </c>
      <c r="FH52">
        <v>171.26</v>
      </c>
      <c r="FI52">
        <v>0</v>
      </c>
      <c r="FJ52">
        <v>9.1448096207564403E-2</v>
      </c>
      <c r="FK52">
        <v>9.1448096207564403E-2</v>
      </c>
      <c r="FL52">
        <v>9.1448096207564403E-2</v>
      </c>
      <c r="FM52">
        <v>8.8827433387272267E-2</v>
      </c>
      <c r="FN52">
        <v>8.8827433387272267E-2</v>
      </c>
      <c r="FO52">
        <v>8.8827433387272267E-2</v>
      </c>
      <c r="FP52">
        <v>8.8827433387272267E-2</v>
      </c>
      <c r="FQ52">
        <v>8.8827433387272267E-2</v>
      </c>
      <c r="FR52">
        <v>8.8827433387272267E-2</v>
      </c>
      <c r="FS52">
        <v>8.8827433387272267E-2</v>
      </c>
    </row>
    <row r="53" spans="1:175" x14ac:dyDescent="0.3">
      <c r="A53" s="171"/>
      <c r="B53" s="12" t="str">
        <f t="shared" si="110"/>
        <v>RPU_ON_SP321-HH100</v>
      </c>
      <c r="C53" s="11" t="s">
        <v>276</v>
      </c>
      <c r="D53" s="2" t="s">
        <v>64</v>
      </c>
      <c r="E53" s="9">
        <f t="shared" si="5"/>
        <v>45</v>
      </c>
      <c r="F53" s="13">
        <v>1</v>
      </c>
      <c r="G53" s="13" t="s">
        <v>65</v>
      </c>
      <c r="H53">
        <v>0</v>
      </c>
      <c r="I53" t="s">
        <v>12</v>
      </c>
      <c r="J53">
        <v>1</v>
      </c>
      <c r="K53">
        <v>0</v>
      </c>
      <c r="L53" s="10">
        <v>0</v>
      </c>
      <c r="M53">
        <v>0</v>
      </c>
      <c r="N53">
        <v>0</v>
      </c>
      <c r="O53">
        <f t="shared" si="109"/>
        <v>2000000</v>
      </c>
      <c r="P53" s="10">
        <v>0</v>
      </c>
      <c r="Q53" s="10">
        <v>0</v>
      </c>
      <c r="R53" s="10">
        <v>0</v>
      </c>
      <c r="S53" s="10">
        <v>0</v>
      </c>
      <c r="T53" s="10">
        <v>0</v>
      </c>
      <c r="U53" s="10">
        <v>0</v>
      </c>
      <c r="V53" s="10">
        <v>0</v>
      </c>
      <c r="W53" s="10">
        <v>0</v>
      </c>
      <c r="X53" s="10">
        <v>0</v>
      </c>
      <c r="Y53" s="10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 s="14">
        <v>0</v>
      </c>
      <c r="AU53" s="14">
        <v>0</v>
      </c>
      <c r="AV53" s="14">
        <v>0</v>
      </c>
      <c r="AW53" s="14">
        <v>0</v>
      </c>
      <c r="AX53" s="14">
        <v>0</v>
      </c>
      <c r="AY53" s="14">
        <v>0</v>
      </c>
      <c r="AZ53" s="14">
        <v>0</v>
      </c>
      <c r="BA53" s="14">
        <v>0</v>
      </c>
      <c r="BB53" s="14">
        <v>0</v>
      </c>
      <c r="BC53" s="14">
        <v>0</v>
      </c>
      <c r="BD53" s="14">
        <v>1</v>
      </c>
      <c r="BE53" s="14">
        <v>1</v>
      </c>
      <c r="BF53" s="14">
        <v>1</v>
      </c>
      <c r="BG53" s="14">
        <v>1</v>
      </c>
      <c r="BH53" s="14">
        <v>1</v>
      </c>
      <c r="BI53" s="14">
        <v>1</v>
      </c>
      <c r="BJ53" s="14">
        <v>1</v>
      </c>
      <c r="BK53" s="14">
        <v>1</v>
      </c>
      <c r="BL53" s="14">
        <v>1</v>
      </c>
      <c r="BM53" s="14">
        <v>1</v>
      </c>
      <c r="BN53" s="14">
        <v>1</v>
      </c>
      <c r="BO53" s="14">
        <v>1</v>
      </c>
      <c r="BP53" s="14">
        <v>1</v>
      </c>
      <c r="BQ53" s="14">
        <v>1</v>
      </c>
      <c r="BR53" s="14">
        <v>1</v>
      </c>
      <c r="BS53" s="14">
        <v>1</v>
      </c>
      <c r="BT53" s="14">
        <v>1</v>
      </c>
      <c r="BU53" s="14">
        <v>1</v>
      </c>
      <c r="BV53" s="14">
        <v>1</v>
      </c>
      <c r="BW53" s="14">
        <v>1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1301.2947800734096</v>
      </c>
      <c r="CI53">
        <v>1301.2947800734096</v>
      </c>
      <c r="CJ53">
        <v>1301.2947800734096</v>
      </c>
      <c r="CK53">
        <v>1208.3451529253089</v>
      </c>
      <c r="CL53">
        <v>1208.3451529253089</v>
      </c>
      <c r="CM53">
        <v>1208.3451529253089</v>
      </c>
      <c r="CN53">
        <v>1138.6329325642334</v>
      </c>
      <c r="CO53">
        <v>1115.3955257772077</v>
      </c>
      <c r="CP53">
        <v>1115.3955257772077</v>
      </c>
      <c r="CQ53">
        <v>1115.3955257772077</v>
      </c>
      <c r="CR53">
        <v>14.599060000000001</v>
      </c>
      <c r="CS53">
        <v>14.599060000000001</v>
      </c>
      <c r="CT53">
        <v>14.599060000000001</v>
      </c>
      <c r="CU53">
        <v>13.139154</v>
      </c>
      <c r="CV53">
        <v>13.139154000000001</v>
      </c>
      <c r="CW53">
        <v>13.139154000000001</v>
      </c>
      <c r="CX53">
        <v>12.088021680000002</v>
      </c>
      <c r="CY53">
        <v>11.8252386</v>
      </c>
      <c r="CZ53">
        <v>11.8252386</v>
      </c>
      <c r="DA53">
        <v>11.8252386</v>
      </c>
      <c r="DB53">
        <v>1.5641850000000001E-3</v>
      </c>
      <c r="DC53">
        <v>1.5641850000000001E-3</v>
      </c>
      <c r="DD53">
        <v>1.5641850000000001E-3</v>
      </c>
      <c r="DE53">
        <v>1.4077665000000001E-3</v>
      </c>
      <c r="DF53">
        <v>1.4077665000000001E-3</v>
      </c>
      <c r="DG53">
        <v>1.4077664999999999E-3</v>
      </c>
      <c r="DH53">
        <v>1.2930596E-3</v>
      </c>
      <c r="DI53">
        <v>1.2722038E-3</v>
      </c>
      <c r="DJ53">
        <v>1.2722038E-3</v>
      </c>
      <c r="DK53">
        <v>1.2722038E-3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 s="16">
        <v>55.12222222222222</v>
      </c>
      <c r="EG53" s="16">
        <v>55.12222222222222</v>
      </c>
      <c r="EH53" s="16">
        <v>55.12222222222222</v>
      </c>
      <c r="EI53">
        <v>0</v>
      </c>
      <c r="EJ53">
        <f t="shared" si="103"/>
        <v>55.12222222222222</v>
      </c>
      <c r="EK53">
        <v>0</v>
      </c>
      <c r="EL53">
        <f t="shared" si="104"/>
        <v>55.12222222222222</v>
      </c>
      <c r="EM53">
        <v>0</v>
      </c>
      <c r="EN53">
        <f t="shared" si="105"/>
        <v>55.12222222222222</v>
      </c>
      <c r="EO53">
        <v>0</v>
      </c>
      <c r="EP53">
        <v>0</v>
      </c>
      <c r="EQ53">
        <v>0</v>
      </c>
      <c r="ER53">
        <v>0</v>
      </c>
      <c r="ES53">
        <v>0</v>
      </c>
      <c r="ET53">
        <f t="shared" si="106"/>
        <v>0</v>
      </c>
      <c r="EU53">
        <v>0</v>
      </c>
      <c r="EV53">
        <f t="shared" si="107"/>
        <v>0</v>
      </c>
      <c r="EW53">
        <v>0</v>
      </c>
      <c r="EX53">
        <f t="shared" si="108"/>
        <v>0</v>
      </c>
      <c r="EY53">
        <v>0</v>
      </c>
      <c r="EZ53">
        <v>203.96</v>
      </c>
      <c r="FA53">
        <v>177.36</v>
      </c>
      <c r="FB53">
        <v>150.76</v>
      </c>
      <c r="FC53">
        <v>0</v>
      </c>
      <c r="FD53">
        <v>171.96</v>
      </c>
      <c r="FE53">
        <v>0</v>
      </c>
      <c r="FF53">
        <v>169.84</v>
      </c>
      <c r="FG53">
        <v>0</v>
      </c>
      <c r="FH53">
        <v>171.26</v>
      </c>
      <c r="FI53">
        <v>0</v>
      </c>
      <c r="FJ53">
        <v>9.1448096207564403E-2</v>
      </c>
      <c r="FK53">
        <v>9.1448096207564403E-2</v>
      </c>
      <c r="FL53">
        <v>9.1448096207564403E-2</v>
      </c>
      <c r="FM53">
        <v>8.8827433387272267E-2</v>
      </c>
      <c r="FN53">
        <v>8.8827433387272267E-2</v>
      </c>
      <c r="FO53">
        <v>8.8827433387272267E-2</v>
      </c>
      <c r="FP53">
        <v>8.8827433387272267E-2</v>
      </c>
      <c r="FQ53">
        <v>8.8827433387272267E-2</v>
      </c>
      <c r="FR53">
        <v>8.8827433387272267E-2</v>
      </c>
      <c r="FS53">
        <v>8.8827433387272267E-2</v>
      </c>
    </row>
    <row r="54" spans="1:175" x14ac:dyDescent="0.3">
      <c r="A54" s="171"/>
      <c r="B54" s="12" t="str">
        <f t="shared" si="110"/>
        <v>RPU_ON_SP321-HH150</v>
      </c>
      <c r="C54" s="11" t="s">
        <v>276</v>
      </c>
      <c r="D54" s="2" t="s">
        <v>66</v>
      </c>
      <c r="E54" s="9">
        <f t="shared" si="5"/>
        <v>46</v>
      </c>
      <c r="F54" s="13">
        <v>1</v>
      </c>
      <c r="G54" s="13" t="s">
        <v>67</v>
      </c>
      <c r="H54">
        <v>0</v>
      </c>
      <c r="I54" t="s">
        <v>12</v>
      </c>
      <c r="J54">
        <v>1</v>
      </c>
      <c r="K54">
        <v>0</v>
      </c>
      <c r="L54" s="10">
        <v>0</v>
      </c>
      <c r="M54">
        <v>0</v>
      </c>
      <c r="N54">
        <v>0</v>
      </c>
      <c r="O54">
        <f t="shared" si="109"/>
        <v>2000000</v>
      </c>
      <c r="P54" s="10">
        <v>0</v>
      </c>
      <c r="Q54" s="10">
        <v>0</v>
      </c>
      <c r="R54" s="10">
        <v>0</v>
      </c>
      <c r="S54" s="10">
        <v>0</v>
      </c>
      <c r="T54" s="10">
        <v>0</v>
      </c>
      <c r="U54" s="10">
        <v>0</v>
      </c>
      <c r="V54" s="10">
        <v>0</v>
      </c>
      <c r="W54" s="10">
        <v>0</v>
      </c>
      <c r="X54" s="10">
        <v>0</v>
      </c>
      <c r="Y54" s="10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 s="14">
        <v>0</v>
      </c>
      <c r="AU54" s="14">
        <v>0</v>
      </c>
      <c r="AV54" s="14">
        <v>0</v>
      </c>
      <c r="AW54" s="14">
        <v>0</v>
      </c>
      <c r="AX54" s="14">
        <v>0</v>
      </c>
      <c r="AY54" s="14">
        <v>0</v>
      </c>
      <c r="AZ54" s="14">
        <v>0</v>
      </c>
      <c r="BA54" s="14">
        <v>0</v>
      </c>
      <c r="BB54" s="14">
        <v>0</v>
      </c>
      <c r="BC54" s="14">
        <v>0</v>
      </c>
      <c r="BD54" s="14">
        <v>1</v>
      </c>
      <c r="BE54" s="14">
        <v>1</v>
      </c>
      <c r="BF54" s="14">
        <v>1</v>
      </c>
      <c r="BG54" s="14">
        <v>1</v>
      </c>
      <c r="BH54" s="14">
        <v>1</v>
      </c>
      <c r="BI54" s="14">
        <v>1</v>
      </c>
      <c r="BJ54" s="14">
        <v>1</v>
      </c>
      <c r="BK54" s="14">
        <v>1</v>
      </c>
      <c r="BL54" s="14">
        <v>1</v>
      </c>
      <c r="BM54" s="14">
        <v>1</v>
      </c>
      <c r="BN54" s="14">
        <v>1</v>
      </c>
      <c r="BO54" s="14">
        <v>1</v>
      </c>
      <c r="BP54" s="14">
        <v>1</v>
      </c>
      <c r="BQ54" s="14">
        <v>1</v>
      </c>
      <c r="BR54" s="14">
        <v>1</v>
      </c>
      <c r="BS54" s="14">
        <v>1</v>
      </c>
      <c r="BT54" s="14">
        <v>1</v>
      </c>
      <c r="BU54" s="14">
        <v>1</v>
      </c>
      <c r="BV54" s="14">
        <v>1</v>
      </c>
      <c r="BW54" s="14">
        <v>1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1694.0063453254108</v>
      </c>
      <c r="CI54">
        <v>1694.0063453254108</v>
      </c>
      <c r="CJ54">
        <v>1694.0063453254108</v>
      </c>
      <c r="CK54">
        <v>1573.0058920878812</v>
      </c>
      <c r="CL54">
        <v>1573.0058920878812</v>
      </c>
      <c r="CM54">
        <v>1573.0058920878812</v>
      </c>
      <c r="CN54">
        <v>1482.2555521597342</v>
      </c>
      <c r="CO54">
        <v>1452.0054388503518</v>
      </c>
      <c r="CP54">
        <v>1452.0054388503518</v>
      </c>
      <c r="CQ54">
        <v>1452.0054388503518</v>
      </c>
      <c r="CR54">
        <v>14.599060000000001</v>
      </c>
      <c r="CS54">
        <v>14.599060000000001</v>
      </c>
      <c r="CT54">
        <v>14.599060000000001</v>
      </c>
      <c r="CU54">
        <v>13.139154</v>
      </c>
      <c r="CV54">
        <v>13.139154000000001</v>
      </c>
      <c r="CW54">
        <v>13.139154000000001</v>
      </c>
      <c r="CX54">
        <v>12.088021680000002</v>
      </c>
      <c r="CY54">
        <v>11.8252386</v>
      </c>
      <c r="CZ54">
        <v>11.8252386</v>
      </c>
      <c r="DA54">
        <v>11.8252386</v>
      </c>
      <c r="DB54">
        <v>1.5641850000000001E-3</v>
      </c>
      <c r="DC54">
        <v>1.5641850000000001E-3</v>
      </c>
      <c r="DD54">
        <v>1.5641850000000001E-3</v>
      </c>
      <c r="DE54">
        <v>1.4077665000000001E-3</v>
      </c>
      <c r="DF54">
        <v>1.4077665000000001E-3</v>
      </c>
      <c r="DG54">
        <v>1.4077664999999999E-3</v>
      </c>
      <c r="DH54">
        <v>1.2930596E-3</v>
      </c>
      <c r="DI54">
        <v>1.2722038E-3</v>
      </c>
      <c r="DJ54">
        <v>1.2722038E-3</v>
      </c>
      <c r="DK54">
        <v>1.2722038E-3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 s="16">
        <v>55.12222222222222</v>
      </c>
      <c r="EG54" s="16">
        <v>55.12222222222222</v>
      </c>
      <c r="EH54" s="16">
        <v>55.12222222222222</v>
      </c>
      <c r="EI54">
        <v>0</v>
      </c>
      <c r="EJ54">
        <f t="shared" si="103"/>
        <v>55.12222222222222</v>
      </c>
      <c r="EK54">
        <v>0</v>
      </c>
      <c r="EL54">
        <f t="shared" si="104"/>
        <v>55.12222222222222</v>
      </c>
      <c r="EM54">
        <v>0</v>
      </c>
      <c r="EN54">
        <f t="shared" si="105"/>
        <v>55.12222222222222</v>
      </c>
      <c r="EO54">
        <v>0</v>
      </c>
      <c r="EP54">
        <v>0</v>
      </c>
      <c r="EQ54">
        <v>0</v>
      </c>
      <c r="ER54">
        <v>0</v>
      </c>
      <c r="ES54">
        <v>0</v>
      </c>
      <c r="ET54">
        <f t="shared" si="106"/>
        <v>0</v>
      </c>
      <c r="EU54">
        <v>0</v>
      </c>
      <c r="EV54">
        <f t="shared" si="107"/>
        <v>0</v>
      </c>
      <c r="EW54">
        <v>0</v>
      </c>
      <c r="EX54">
        <f t="shared" si="108"/>
        <v>0</v>
      </c>
      <c r="EY54">
        <v>0</v>
      </c>
      <c r="EZ54">
        <v>203.96</v>
      </c>
      <c r="FA54">
        <v>177.36</v>
      </c>
      <c r="FB54">
        <v>150.76</v>
      </c>
      <c r="FC54">
        <v>0</v>
      </c>
      <c r="FD54">
        <v>171.96</v>
      </c>
      <c r="FE54">
        <v>0</v>
      </c>
      <c r="FF54">
        <v>169.84</v>
      </c>
      <c r="FG54">
        <v>0</v>
      </c>
      <c r="FH54">
        <v>171.26</v>
      </c>
      <c r="FI54">
        <v>0</v>
      </c>
      <c r="FJ54">
        <v>9.1448096207564403E-2</v>
      </c>
      <c r="FK54">
        <v>9.1448096207564403E-2</v>
      </c>
      <c r="FL54">
        <v>9.1448096207564403E-2</v>
      </c>
      <c r="FM54">
        <v>8.8827433387272267E-2</v>
      </c>
      <c r="FN54">
        <v>8.8827433387272267E-2</v>
      </c>
      <c r="FO54">
        <v>8.8827433387272267E-2</v>
      </c>
      <c r="FP54">
        <v>8.8827433387272267E-2</v>
      </c>
      <c r="FQ54">
        <v>8.8827433387272267E-2</v>
      </c>
      <c r="FR54">
        <v>8.8827433387272267E-2</v>
      </c>
      <c r="FS54">
        <v>8.8827433387272267E-2</v>
      </c>
    </row>
    <row r="55" spans="1:175" x14ac:dyDescent="0.3">
      <c r="A55" s="171"/>
      <c r="B55" s="12" t="str">
        <f t="shared" si="110"/>
        <v>RPU_OFF_SP379-HH100</v>
      </c>
      <c r="C55" s="11" t="s">
        <v>276</v>
      </c>
      <c r="D55" s="2" t="s">
        <v>68</v>
      </c>
      <c r="E55" s="9">
        <f t="shared" si="5"/>
        <v>47</v>
      </c>
      <c r="F55" s="13">
        <v>1</v>
      </c>
      <c r="G55" s="13" t="s">
        <v>69</v>
      </c>
      <c r="H55">
        <v>0</v>
      </c>
      <c r="I55" t="s">
        <v>12</v>
      </c>
      <c r="J55">
        <v>1</v>
      </c>
      <c r="K55">
        <v>0</v>
      </c>
      <c r="L55" s="10">
        <v>0</v>
      </c>
      <c r="M55">
        <v>0</v>
      </c>
      <c r="N55">
        <v>0</v>
      </c>
      <c r="O55">
        <f t="shared" si="109"/>
        <v>2000000</v>
      </c>
      <c r="P55" s="10">
        <v>0</v>
      </c>
      <c r="Q55" s="10">
        <v>0</v>
      </c>
      <c r="R55" s="10">
        <v>0</v>
      </c>
      <c r="S55" s="10">
        <v>0</v>
      </c>
      <c r="T55" s="10">
        <v>0</v>
      </c>
      <c r="U55" s="10">
        <v>0</v>
      </c>
      <c r="V55" s="10">
        <v>0</v>
      </c>
      <c r="W55" s="10">
        <v>0</v>
      </c>
      <c r="X55" s="10">
        <v>0</v>
      </c>
      <c r="Y55" s="10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 s="14">
        <v>0</v>
      </c>
      <c r="AU55" s="14">
        <v>0</v>
      </c>
      <c r="AV55" s="14">
        <v>0</v>
      </c>
      <c r="AW55" s="14">
        <v>0</v>
      </c>
      <c r="AX55" s="14">
        <v>0</v>
      </c>
      <c r="AY55" s="14">
        <v>0</v>
      </c>
      <c r="AZ55" s="14">
        <v>0</v>
      </c>
      <c r="BA55" s="14">
        <v>0</v>
      </c>
      <c r="BB55" s="14">
        <v>0</v>
      </c>
      <c r="BC55" s="14">
        <v>0</v>
      </c>
      <c r="BD55" s="14">
        <v>1</v>
      </c>
      <c r="BE55" s="14">
        <v>1</v>
      </c>
      <c r="BF55" s="14">
        <v>1</v>
      </c>
      <c r="BG55" s="14">
        <v>1</v>
      </c>
      <c r="BH55" s="14">
        <v>1</v>
      </c>
      <c r="BI55" s="14">
        <v>1</v>
      </c>
      <c r="BJ55" s="14">
        <v>1</v>
      </c>
      <c r="BK55" s="14">
        <v>1</v>
      </c>
      <c r="BL55" s="14">
        <v>1</v>
      </c>
      <c r="BM55" s="14">
        <v>1</v>
      </c>
      <c r="BN55" s="14">
        <v>1</v>
      </c>
      <c r="BO55" s="14">
        <v>1</v>
      </c>
      <c r="BP55" s="14">
        <v>1</v>
      </c>
      <c r="BQ55" s="14">
        <v>1</v>
      </c>
      <c r="BR55" s="14">
        <v>1</v>
      </c>
      <c r="BS55" s="14">
        <v>1</v>
      </c>
      <c r="BT55" s="14">
        <v>1</v>
      </c>
      <c r="BU55" s="14">
        <v>1</v>
      </c>
      <c r="BV55" s="14">
        <v>1</v>
      </c>
      <c r="BW55" s="14">
        <v>1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2205.1904479084506</v>
      </c>
      <c r="CI55">
        <v>2205.1904479084506</v>
      </c>
      <c r="CJ55">
        <v>2205.1904479084506</v>
      </c>
      <c r="CK55">
        <v>1998.1303119546053</v>
      </c>
      <c r="CL55">
        <v>1998.1303119546053</v>
      </c>
      <c r="CM55">
        <v>1998.1303119546053</v>
      </c>
      <c r="CN55">
        <v>1873.8942303822985</v>
      </c>
      <c r="CO55">
        <v>1842.8352099892215</v>
      </c>
      <c r="CP55">
        <v>1842.8352099892215</v>
      </c>
      <c r="CQ55">
        <v>1842.8352099892215</v>
      </c>
      <c r="CR55">
        <v>41.773124610000004</v>
      </c>
      <c r="CS55">
        <v>41.773124610000004</v>
      </c>
      <c r="CT55">
        <v>41.773124610000004</v>
      </c>
      <c r="CU55">
        <v>37.595707869999998</v>
      </c>
      <c r="CV55">
        <v>37.595707870000005</v>
      </c>
      <c r="CW55">
        <v>37.595707870000005</v>
      </c>
      <c r="CX55">
        <v>34.588301510000008</v>
      </c>
      <c r="CY55">
        <v>33.836449920000007</v>
      </c>
      <c r="CZ55">
        <v>33.836449920000007</v>
      </c>
      <c r="DA55">
        <v>33.83644992</v>
      </c>
      <c r="DB55">
        <v>3.1283700000000001E-3</v>
      </c>
      <c r="DC55">
        <v>3.1283700000000001E-3</v>
      </c>
      <c r="DD55">
        <v>3.1283700000000001E-3</v>
      </c>
      <c r="DE55">
        <v>2.8155330000000003E-3</v>
      </c>
      <c r="DF55">
        <v>2.8155330000000003E-3</v>
      </c>
      <c r="DG55">
        <v>2.8155329999999998E-3</v>
      </c>
      <c r="DH55">
        <v>2.6069750000000001E-3</v>
      </c>
      <c r="DI55">
        <v>2.5026960000000004E-3</v>
      </c>
      <c r="DJ55">
        <v>2.5026960000000004E-3</v>
      </c>
      <c r="DK55">
        <v>2.502696E-3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53.529999999999994</v>
      </c>
      <c r="EG55">
        <v>53.53</v>
      </c>
      <c r="EH55">
        <v>53.529999999999994</v>
      </c>
      <c r="EI55">
        <v>0</v>
      </c>
      <c r="EJ55">
        <f t="shared" si="103"/>
        <v>53.53</v>
      </c>
      <c r="EK55">
        <v>0</v>
      </c>
      <c r="EL55">
        <f t="shared" si="104"/>
        <v>53.53</v>
      </c>
      <c r="EM55">
        <v>0</v>
      </c>
      <c r="EN55">
        <f t="shared" si="105"/>
        <v>53.53</v>
      </c>
      <c r="EO55">
        <v>0</v>
      </c>
      <c r="EP55">
        <v>0</v>
      </c>
      <c r="EQ55">
        <v>0</v>
      </c>
      <c r="ER55">
        <v>0</v>
      </c>
      <c r="ES55">
        <v>0</v>
      </c>
      <c r="ET55">
        <f t="shared" si="106"/>
        <v>0</v>
      </c>
      <c r="EU55">
        <v>0</v>
      </c>
      <c r="EV55">
        <f t="shared" si="107"/>
        <v>0</v>
      </c>
      <c r="EW55">
        <v>0</v>
      </c>
      <c r="EX55">
        <f t="shared" si="108"/>
        <v>0</v>
      </c>
      <c r="EY55">
        <v>0</v>
      </c>
      <c r="EZ55">
        <v>203.96</v>
      </c>
      <c r="FA55">
        <v>177.36</v>
      </c>
      <c r="FB55">
        <v>150.76</v>
      </c>
      <c r="FC55">
        <v>0</v>
      </c>
      <c r="FD55">
        <v>171.96</v>
      </c>
      <c r="FE55">
        <v>0</v>
      </c>
      <c r="FF55">
        <v>169.84</v>
      </c>
      <c r="FG55">
        <v>0</v>
      </c>
      <c r="FH55">
        <v>171.26</v>
      </c>
      <c r="FI55">
        <v>0</v>
      </c>
      <c r="FJ55">
        <v>9.1448096207564403E-2</v>
      </c>
      <c r="FK55">
        <v>9.1448096207564403E-2</v>
      </c>
      <c r="FL55">
        <v>9.1448096207564403E-2</v>
      </c>
      <c r="FM55">
        <v>8.8827433387272267E-2</v>
      </c>
      <c r="FN55">
        <v>8.8827433387272267E-2</v>
      </c>
      <c r="FO55">
        <v>8.8827433387272267E-2</v>
      </c>
      <c r="FP55">
        <v>8.8827433387272267E-2</v>
      </c>
      <c r="FQ55">
        <v>8.8827433387272267E-2</v>
      </c>
      <c r="FR55">
        <v>8.8827433387272267E-2</v>
      </c>
      <c r="FS55">
        <v>8.8827433387272267E-2</v>
      </c>
    </row>
    <row r="56" spans="1:175" x14ac:dyDescent="0.3">
      <c r="A56" s="171"/>
      <c r="B56" s="12" t="str">
        <f t="shared" si="110"/>
        <v>RPU_OFF_SP379-HH150</v>
      </c>
      <c r="C56" s="11" t="s">
        <v>276</v>
      </c>
      <c r="D56" s="2" t="s">
        <v>70</v>
      </c>
      <c r="E56" s="9">
        <f t="shared" si="5"/>
        <v>48</v>
      </c>
      <c r="F56" s="13">
        <v>1</v>
      </c>
      <c r="G56" s="13" t="s">
        <v>71</v>
      </c>
      <c r="H56">
        <v>0</v>
      </c>
      <c r="I56" t="s">
        <v>12</v>
      </c>
      <c r="J56">
        <v>1</v>
      </c>
      <c r="K56">
        <v>0</v>
      </c>
      <c r="L56" s="10">
        <v>0</v>
      </c>
      <c r="M56">
        <v>0</v>
      </c>
      <c r="N56">
        <v>0</v>
      </c>
      <c r="O56">
        <f t="shared" si="109"/>
        <v>2000000</v>
      </c>
      <c r="P56" s="10">
        <v>0</v>
      </c>
      <c r="Q56" s="10">
        <v>0</v>
      </c>
      <c r="R56" s="10">
        <v>0</v>
      </c>
      <c r="S56" s="10">
        <v>0</v>
      </c>
      <c r="T56" s="10">
        <v>0</v>
      </c>
      <c r="U56" s="10">
        <v>0</v>
      </c>
      <c r="V56" s="10">
        <v>0</v>
      </c>
      <c r="W56" s="10">
        <v>0</v>
      </c>
      <c r="X56" s="10">
        <v>0</v>
      </c>
      <c r="Y56" s="10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 s="14">
        <v>0</v>
      </c>
      <c r="AU56" s="14">
        <v>0</v>
      </c>
      <c r="AV56" s="14">
        <v>0</v>
      </c>
      <c r="AW56" s="14">
        <v>0</v>
      </c>
      <c r="AX56" s="14">
        <v>0</v>
      </c>
      <c r="AY56" s="14">
        <v>0</v>
      </c>
      <c r="AZ56" s="14">
        <v>0</v>
      </c>
      <c r="BA56" s="14">
        <v>0</v>
      </c>
      <c r="BB56" s="14">
        <v>0</v>
      </c>
      <c r="BC56" s="14">
        <v>0</v>
      </c>
      <c r="BD56" s="14">
        <v>1</v>
      </c>
      <c r="BE56" s="14">
        <v>1</v>
      </c>
      <c r="BF56" s="14">
        <v>1</v>
      </c>
      <c r="BG56" s="14">
        <v>1</v>
      </c>
      <c r="BH56" s="14">
        <v>1</v>
      </c>
      <c r="BI56" s="14">
        <v>1</v>
      </c>
      <c r="BJ56" s="14">
        <v>1</v>
      </c>
      <c r="BK56" s="14">
        <v>1</v>
      </c>
      <c r="BL56" s="14">
        <v>1</v>
      </c>
      <c r="BM56" s="14">
        <v>1</v>
      </c>
      <c r="BN56" s="14">
        <v>1</v>
      </c>
      <c r="BO56" s="14">
        <v>1</v>
      </c>
      <c r="BP56" s="14">
        <v>1</v>
      </c>
      <c r="BQ56" s="14">
        <v>1</v>
      </c>
      <c r="BR56" s="14">
        <v>1</v>
      </c>
      <c r="BS56" s="14">
        <v>1</v>
      </c>
      <c r="BT56" s="14">
        <v>1</v>
      </c>
      <c r="BU56" s="14">
        <v>1</v>
      </c>
      <c r="BV56" s="14">
        <v>1</v>
      </c>
      <c r="BW56" s="14">
        <v>1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2534.6071744804217</v>
      </c>
      <c r="CI56">
        <v>2534.6071744804217</v>
      </c>
      <c r="CJ56">
        <v>2534.6071744804217</v>
      </c>
      <c r="CK56">
        <v>2296.6158904916497</v>
      </c>
      <c r="CL56">
        <v>2296.6158904916497</v>
      </c>
      <c r="CM56">
        <v>2296.6158904916497</v>
      </c>
      <c r="CN56">
        <v>2153.8211200983869</v>
      </c>
      <c r="CO56">
        <v>2118.1224275000709</v>
      </c>
      <c r="CP56">
        <v>2118.1224275000709</v>
      </c>
      <c r="CQ56">
        <v>2118.1224275000709</v>
      </c>
      <c r="CR56">
        <v>41.773124610000004</v>
      </c>
      <c r="CS56">
        <v>41.773124610000004</v>
      </c>
      <c r="CT56">
        <v>41.773124610000004</v>
      </c>
      <c r="CU56">
        <v>37.595707869999998</v>
      </c>
      <c r="CV56">
        <v>37.595707870000005</v>
      </c>
      <c r="CW56">
        <v>37.595707870000005</v>
      </c>
      <c r="CX56">
        <v>34.588301510000008</v>
      </c>
      <c r="CY56">
        <v>33.836449920000007</v>
      </c>
      <c r="CZ56">
        <v>33.836449920000007</v>
      </c>
      <c r="DA56">
        <v>33.83644992</v>
      </c>
      <c r="DB56">
        <v>3.1283700000000001E-3</v>
      </c>
      <c r="DC56">
        <v>3.1283700000000001E-3</v>
      </c>
      <c r="DD56">
        <v>3.1283700000000001E-3</v>
      </c>
      <c r="DE56">
        <v>2.8155330000000003E-3</v>
      </c>
      <c r="DF56">
        <v>2.8155330000000003E-3</v>
      </c>
      <c r="DG56">
        <v>2.8155329999999998E-3</v>
      </c>
      <c r="DH56">
        <v>2.6069750000000001E-3</v>
      </c>
      <c r="DI56">
        <v>2.5026960000000004E-3</v>
      </c>
      <c r="DJ56">
        <v>2.5026960000000004E-3</v>
      </c>
      <c r="DK56">
        <v>2.502696E-3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53.529999999999994</v>
      </c>
      <c r="EG56">
        <v>53.529999999999994</v>
      </c>
      <c r="EH56">
        <v>53.529999999999994</v>
      </c>
      <c r="EI56">
        <v>0</v>
      </c>
      <c r="EJ56">
        <f t="shared" si="103"/>
        <v>53.529999999999994</v>
      </c>
      <c r="EK56">
        <v>0</v>
      </c>
      <c r="EL56">
        <f t="shared" si="104"/>
        <v>53.529999999999994</v>
      </c>
      <c r="EM56">
        <v>0</v>
      </c>
      <c r="EN56">
        <f t="shared" si="105"/>
        <v>53.529999999999994</v>
      </c>
      <c r="EO56">
        <v>0</v>
      </c>
      <c r="EP56">
        <v>0</v>
      </c>
      <c r="EQ56">
        <v>0</v>
      </c>
      <c r="ER56">
        <v>0</v>
      </c>
      <c r="ES56">
        <v>0</v>
      </c>
      <c r="ET56">
        <f t="shared" si="106"/>
        <v>0</v>
      </c>
      <c r="EU56">
        <v>0</v>
      </c>
      <c r="EV56">
        <f t="shared" si="107"/>
        <v>0</v>
      </c>
      <c r="EW56">
        <v>0</v>
      </c>
      <c r="EX56">
        <f t="shared" si="108"/>
        <v>0</v>
      </c>
      <c r="EY56">
        <v>0</v>
      </c>
      <c r="EZ56">
        <v>203.96</v>
      </c>
      <c r="FA56">
        <v>177.36</v>
      </c>
      <c r="FB56">
        <v>150.76</v>
      </c>
      <c r="FC56">
        <v>0</v>
      </c>
      <c r="FD56">
        <v>171.96</v>
      </c>
      <c r="FE56">
        <v>0</v>
      </c>
      <c r="FF56">
        <v>169.84</v>
      </c>
      <c r="FG56">
        <v>0</v>
      </c>
      <c r="FH56">
        <v>171.26</v>
      </c>
      <c r="FI56">
        <v>0</v>
      </c>
      <c r="FJ56">
        <v>9.1448096207564403E-2</v>
      </c>
      <c r="FK56">
        <v>9.1448096207564403E-2</v>
      </c>
      <c r="FL56">
        <v>9.1448096207564403E-2</v>
      </c>
      <c r="FM56">
        <v>8.8827433387272267E-2</v>
      </c>
      <c r="FN56">
        <v>8.8827433387272267E-2</v>
      </c>
      <c r="FO56">
        <v>8.8827433387272267E-2</v>
      </c>
      <c r="FP56">
        <v>8.8827433387272267E-2</v>
      </c>
      <c r="FQ56">
        <v>8.8827433387272267E-2</v>
      </c>
      <c r="FR56">
        <v>8.8827433387272267E-2</v>
      </c>
      <c r="FS56">
        <v>8.8827433387272267E-2</v>
      </c>
    </row>
    <row r="57" spans="1:175" x14ac:dyDescent="0.3">
      <c r="A57" s="171"/>
      <c r="B57" s="12" t="str">
        <f t="shared" si="110"/>
        <v>RPU_OFF_SP450-HH100</v>
      </c>
      <c r="C57" s="11" t="s">
        <v>276</v>
      </c>
      <c r="D57" s="2" t="s">
        <v>72</v>
      </c>
      <c r="E57" s="9">
        <f t="shared" si="5"/>
        <v>49</v>
      </c>
      <c r="F57" s="13">
        <v>1</v>
      </c>
      <c r="G57" s="13" t="s">
        <v>73</v>
      </c>
      <c r="H57">
        <v>0</v>
      </c>
      <c r="I57" t="s">
        <v>12</v>
      </c>
      <c r="J57">
        <v>1</v>
      </c>
      <c r="K57">
        <v>0</v>
      </c>
      <c r="L57" s="10">
        <v>0</v>
      </c>
      <c r="M57">
        <v>0</v>
      </c>
      <c r="N57">
        <v>0</v>
      </c>
      <c r="O57">
        <f t="shared" si="109"/>
        <v>2000000</v>
      </c>
      <c r="P57" s="10">
        <v>0</v>
      </c>
      <c r="Q57" s="10">
        <v>0</v>
      </c>
      <c r="R57" s="10">
        <v>0</v>
      </c>
      <c r="S57" s="10">
        <v>0</v>
      </c>
      <c r="T57" s="10">
        <v>0</v>
      </c>
      <c r="U57" s="10">
        <v>0</v>
      </c>
      <c r="V57" s="10">
        <v>0</v>
      </c>
      <c r="W57" s="10">
        <v>0</v>
      </c>
      <c r="X57" s="10">
        <v>0</v>
      </c>
      <c r="Y57" s="10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 s="14">
        <v>0</v>
      </c>
      <c r="AU57" s="14">
        <v>0</v>
      </c>
      <c r="AV57" s="14">
        <v>0</v>
      </c>
      <c r="AW57" s="14">
        <v>0</v>
      </c>
      <c r="AX57" s="14">
        <v>0</v>
      </c>
      <c r="AY57" s="14">
        <v>0</v>
      </c>
      <c r="AZ57" s="14">
        <v>0</v>
      </c>
      <c r="BA57" s="14">
        <v>0</v>
      </c>
      <c r="BB57" s="14">
        <v>0</v>
      </c>
      <c r="BC57" s="14">
        <v>0</v>
      </c>
      <c r="BD57" s="14">
        <v>1</v>
      </c>
      <c r="BE57" s="14">
        <v>1</v>
      </c>
      <c r="BF57" s="14">
        <v>1</v>
      </c>
      <c r="BG57" s="14">
        <v>1</v>
      </c>
      <c r="BH57" s="14">
        <v>1</v>
      </c>
      <c r="BI57" s="14">
        <v>1</v>
      </c>
      <c r="BJ57" s="14">
        <v>1</v>
      </c>
      <c r="BK57" s="14">
        <v>1</v>
      </c>
      <c r="BL57" s="14">
        <v>1</v>
      </c>
      <c r="BM57" s="14">
        <v>1</v>
      </c>
      <c r="BN57" s="14">
        <v>1</v>
      </c>
      <c r="BO57" s="14">
        <v>1</v>
      </c>
      <c r="BP57" s="14">
        <v>1</v>
      </c>
      <c r="BQ57" s="14">
        <v>1</v>
      </c>
      <c r="BR57" s="14">
        <v>1</v>
      </c>
      <c r="BS57" s="14">
        <v>1</v>
      </c>
      <c r="BT57" s="14">
        <v>1</v>
      </c>
      <c r="BU57" s="14">
        <v>1</v>
      </c>
      <c r="BV57" s="14">
        <v>1</v>
      </c>
      <c r="BW57" s="14">
        <v>1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1988.1234836201065</v>
      </c>
      <c r="CI57">
        <v>1988.1234836201065</v>
      </c>
      <c r="CJ57">
        <v>1988.1234836201065</v>
      </c>
      <c r="CK57">
        <v>1801.4452222473265</v>
      </c>
      <c r="CL57">
        <v>1801.4452222473265</v>
      </c>
      <c r="CM57">
        <v>1801.4452222473265</v>
      </c>
      <c r="CN57">
        <v>1689.4382654236588</v>
      </c>
      <c r="CO57">
        <v>1661.4365262177421</v>
      </c>
      <c r="CP57">
        <v>1661.4365262177421</v>
      </c>
      <c r="CQ57">
        <v>1661.4365262177421</v>
      </c>
      <c r="CR57">
        <v>41.773124610000004</v>
      </c>
      <c r="CS57">
        <v>41.773124610000004</v>
      </c>
      <c r="CT57">
        <v>41.773124610000004</v>
      </c>
      <c r="CU57">
        <v>37.595707869999998</v>
      </c>
      <c r="CV57">
        <v>37.595707870000005</v>
      </c>
      <c r="CW57">
        <v>37.595707870000005</v>
      </c>
      <c r="CX57">
        <v>34.588301510000008</v>
      </c>
      <c r="CY57">
        <v>33.836449920000007</v>
      </c>
      <c r="CZ57">
        <v>33.836449920000007</v>
      </c>
      <c r="DA57">
        <v>33.83644992</v>
      </c>
      <c r="DB57">
        <v>3.1283700000000001E-3</v>
      </c>
      <c r="DC57">
        <v>3.1283700000000001E-3</v>
      </c>
      <c r="DD57">
        <v>3.1283700000000001E-3</v>
      </c>
      <c r="DE57">
        <v>2.8155330000000003E-3</v>
      </c>
      <c r="DF57">
        <v>2.8155330000000003E-3</v>
      </c>
      <c r="DG57">
        <v>2.8155329999999998E-3</v>
      </c>
      <c r="DH57">
        <v>2.6069750000000001E-3</v>
      </c>
      <c r="DI57">
        <v>2.5026960000000004E-3</v>
      </c>
      <c r="DJ57">
        <v>2.5026960000000004E-3</v>
      </c>
      <c r="DK57">
        <v>2.502696E-3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53.529999999999994</v>
      </c>
      <c r="EG57">
        <v>53.529999999999994</v>
      </c>
      <c r="EH57">
        <v>53.529999999999994</v>
      </c>
      <c r="EI57">
        <v>0</v>
      </c>
      <c r="EJ57">
        <f t="shared" si="103"/>
        <v>53.529999999999994</v>
      </c>
      <c r="EK57">
        <v>0</v>
      </c>
      <c r="EL57">
        <f t="shared" si="104"/>
        <v>53.529999999999994</v>
      </c>
      <c r="EM57">
        <v>0</v>
      </c>
      <c r="EN57">
        <f t="shared" si="105"/>
        <v>53.529999999999994</v>
      </c>
      <c r="EO57">
        <v>0</v>
      </c>
      <c r="EP57">
        <v>0</v>
      </c>
      <c r="EQ57">
        <v>0</v>
      </c>
      <c r="ER57">
        <v>0</v>
      </c>
      <c r="ES57">
        <v>0</v>
      </c>
      <c r="ET57">
        <f t="shared" si="106"/>
        <v>0</v>
      </c>
      <c r="EU57">
        <v>0</v>
      </c>
      <c r="EV57">
        <f t="shared" si="107"/>
        <v>0</v>
      </c>
      <c r="EW57">
        <v>0</v>
      </c>
      <c r="EX57">
        <f t="shared" si="108"/>
        <v>0</v>
      </c>
      <c r="EY57">
        <v>0</v>
      </c>
      <c r="EZ57">
        <v>203.96</v>
      </c>
      <c r="FA57">
        <v>177.36</v>
      </c>
      <c r="FB57">
        <v>150.76</v>
      </c>
      <c r="FC57">
        <v>0</v>
      </c>
      <c r="FD57">
        <v>171.96</v>
      </c>
      <c r="FE57">
        <v>0</v>
      </c>
      <c r="FF57">
        <v>169.84</v>
      </c>
      <c r="FG57">
        <v>0</v>
      </c>
      <c r="FH57">
        <v>171.26</v>
      </c>
      <c r="FI57">
        <v>0</v>
      </c>
      <c r="FJ57">
        <v>9.1448096207564403E-2</v>
      </c>
      <c r="FK57">
        <v>9.1448096207564403E-2</v>
      </c>
      <c r="FL57">
        <v>9.1448096207564403E-2</v>
      </c>
      <c r="FM57">
        <v>8.8827433387272267E-2</v>
      </c>
      <c r="FN57">
        <v>8.8827433387272267E-2</v>
      </c>
      <c r="FO57">
        <v>8.8827433387272267E-2</v>
      </c>
      <c r="FP57">
        <v>8.8827433387272267E-2</v>
      </c>
      <c r="FQ57">
        <v>8.8827433387272267E-2</v>
      </c>
      <c r="FR57">
        <v>8.8827433387272267E-2</v>
      </c>
      <c r="FS57">
        <v>8.8827433387272267E-2</v>
      </c>
    </row>
    <row r="58" spans="1:175" x14ac:dyDescent="0.3">
      <c r="A58" s="171"/>
      <c r="B58" s="12" t="str">
        <f t="shared" si="110"/>
        <v>RPU_OFF_SP450-HH150</v>
      </c>
      <c r="C58" s="11" t="s">
        <v>276</v>
      </c>
      <c r="D58" s="2" t="s">
        <v>165</v>
      </c>
      <c r="E58" s="9">
        <f t="shared" si="5"/>
        <v>50</v>
      </c>
      <c r="F58" s="13">
        <v>1</v>
      </c>
      <c r="G58" s="13" t="s">
        <v>74</v>
      </c>
      <c r="H58">
        <v>0</v>
      </c>
      <c r="I58" t="s">
        <v>12</v>
      </c>
      <c r="J58">
        <v>1</v>
      </c>
      <c r="K58">
        <v>0</v>
      </c>
      <c r="L58" s="10">
        <v>0</v>
      </c>
      <c r="M58">
        <v>0</v>
      </c>
      <c r="N58">
        <v>0</v>
      </c>
      <c r="O58">
        <f t="shared" si="109"/>
        <v>2000000</v>
      </c>
      <c r="P58" s="10">
        <v>0</v>
      </c>
      <c r="Q58" s="10">
        <v>0</v>
      </c>
      <c r="R58" s="10">
        <v>0</v>
      </c>
      <c r="S58" s="10">
        <v>0</v>
      </c>
      <c r="T58" s="10">
        <v>0</v>
      </c>
      <c r="U58" s="10">
        <v>0</v>
      </c>
      <c r="V58" s="10">
        <v>0</v>
      </c>
      <c r="W58" s="10">
        <v>0</v>
      </c>
      <c r="X58" s="10">
        <v>0</v>
      </c>
      <c r="Y58" s="10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 s="14">
        <v>0</v>
      </c>
      <c r="AU58" s="14">
        <v>0</v>
      </c>
      <c r="AV58" s="14">
        <v>0</v>
      </c>
      <c r="AW58" s="14">
        <v>0</v>
      </c>
      <c r="AX58" s="14">
        <v>0</v>
      </c>
      <c r="AY58" s="14">
        <v>0</v>
      </c>
      <c r="AZ58" s="14">
        <v>0</v>
      </c>
      <c r="BA58" s="14">
        <v>0</v>
      </c>
      <c r="BB58" s="14">
        <v>0</v>
      </c>
      <c r="BC58" s="14">
        <v>0</v>
      </c>
      <c r="BD58" s="14">
        <v>1</v>
      </c>
      <c r="BE58" s="14">
        <v>1</v>
      </c>
      <c r="BF58" s="14">
        <v>1</v>
      </c>
      <c r="BG58" s="14">
        <v>1</v>
      </c>
      <c r="BH58" s="14">
        <v>1</v>
      </c>
      <c r="BI58" s="14">
        <v>1</v>
      </c>
      <c r="BJ58" s="14">
        <v>1</v>
      </c>
      <c r="BK58" s="14">
        <v>1</v>
      </c>
      <c r="BL58" s="14">
        <v>1</v>
      </c>
      <c r="BM58" s="14">
        <v>1</v>
      </c>
      <c r="BN58" s="14">
        <v>1</v>
      </c>
      <c r="BO58" s="14">
        <v>1</v>
      </c>
      <c r="BP58" s="14">
        <v>1</v>
      </c>
      <c r="BQ58" s="14">
        <v>1</v>
      </c>
      <c r="BR58" s="14">
        <v>1</v>
      </c>
      <c r="BS58" s="14">
        <v>1</v>
      </c>
      <c r="BT58" s="14">
        <v>1</v>
      </c>
      <c r="BU58" s="14">
        <v>1</v>
      </c>
      <c r="BV58" s="14">
        <v>1</v>
      </c>
      <c r="BW58" s="14">
        <v>1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2265.5270428386079</v>
      </c>
      <c r="CI58">
        <v>2265.5270428386079</v>
      </c>
      <c r="CJ58">
        <v>2265.5270428386079</v>
      </c>
      <c r="CK58">
        <v>2052.8014989101002</v>
      </c>
      <c r="CL58">
        <v>2052.8014989101002</v>
      </c>
      <c r="CM58">
        <v>2052.8014989101002</v>
      </c>
      <c r="CN58">
        <v>1925.1661725529959</v>
      </c>
      <c r="CO58">
        <v>1893.2573409637196</v>
      </c>
      <c r="CP58">
        <v>1893.2573409637196</v>
      </c>
      <c r="CQ58">
        <v>1893.2573409637196</v>
      </c>
      <c r="CR58">
        <v>41.773124610000004</v>
      </c>
      <c r="CS58">
        <v>41.773124610000004</v>
      </c>
      <c r="CT58">
        <v>41.773124610000004</v>
      </c>
      <c r="CU58">
        <v>37.595707869999998</v>
      </c>
      <c r="CV58">
        <v>37.595707870000005</v>
      </c>
      <c r="CW58">
        <v>37.595707870000005</v>
      </c>
      <c r="CX58">
        <v>34.588301510000008</v>
      </c>
      <c r="CY58">
        <v>33.836449920000007</v>
      </c>
      <c r="CZ58">
        <v>33.836449920000007</v>
      </c>
      <c r="DA58">
        <v>33.83644992</v>
      </c>
      <c r="DB58">
        <v>3.1283700000000001E-3</v>
      </c>
      <c r="DC58">
        <v>3.1283700000000001E-3</v>
      </c>
      <c r="DD58">
        <v>3.1283700000000001E-3</v>
      </c>
      <c r="DE58">
        <v>2.8155330000000003E-3</v>
      </c>
      <c r="DF58">
        <v>2.8155330000000003E-3</v>
      </c>
      <c r="DG58">
        <v>2.8155329999999998E-3</v>
      </c>
      <c r="DH58">
        <v>2.6069750000000001E-3</v>
      </c>
      <c r="DI58">
        <v>2.5026960000000004E-3</v>
      </c>
      <c r="DJ58">
        <v>2.5026960000000004E-3</v>
      </c>
      <c r="DK58">
        <v>2.502696E-3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53.529999999999994</v>
      </c>
      <c r="EG58">
        <v>53.529999999999994</v>
      </c>
      <c r="EH58">
        <v>53.529999999999994</v>
      </c>
      <c r="EI58">
        <v>0</v>
      </c>
      <c r="EJ58">
        <f t="shared" si="103"/>
        <v>53.529999999999994</v>
      </c>
      <c r="EK58">
        <v>0</v>
      </c>
      <c r="EL58">
        <f t="shared" si="104"/>
        <v>53.529999999999994</v>
      </c>
      <c r="EM58">
        <v>0</v>
      </c>
      <c r="EN58">
        <f t="shared" si="105"/>
        <v>53.529999999999994</v>
      </c>
      <c r="EO58">
        <v>0</v>
      </c>
      <c r="EP58">
        <v>0</v>
      </c>
      <c r="EQ58">
        <v>0</v>
      </c>
      <c r="ER58">
        <v>0</v>
      </c>
      <c r="ES58">
        <v>0</v>
      </c>
      <c r="ET58">
        <f t="shared" si="106"/>
        <v>0</v>
      </c>
      <c r="EU58">
        <v>0</v>
      </c>
      <c r="EV58">
        <f t="shared" si="107"/>
        <v>0</v>
      </c>
      <c r="EW58">
        <v>0</v>
      </c>
      <c r="EX58">
        <f t="shared" si="108"/>
        <v>0</v>
      </c>
      <c r="EY58">
        <v>0</v>
      </c>
      <c r="EZ58">
        <v>203.96</v>
      </c>
      <c r="FA58">
        <v>177.36</v>
      </c>
      <c r="FB58">
        <v>150.76</v>
      </c>
      <c r="FC58">
        <v>0</v>
      </c>
      <c r="FD58">
        <v>171.96</v>
      </c>
      <c r="FE58">
        <v>0</v>
      </c>
      <c r="FF58">
        <v>169.84</v>
      </c>
      <c r="FG58">
        <v>0</v>
      </c>
      <c r="FH58">
        <v>171.26</v>
      </c>
      <c r="FI58">
        <v>0</v>
      </c>
      <c r="FJ58">
        <v>9.1448096207564403E-2</v>
      </c>
      <c r="FK58">
        <v>9.1448096207564403E-2</v>
      </c>
      <c r="FL58">
        <v>9.1448096207564403E-2</v>
      </c>
      <c r="FM58">
        <v>8.8827433387272267E-2</v>
      </c>
      <c r="FN58">
        <v>8.8827433387272267E-2</v>
      </c>
      <c r="FO58">
        <v>8.8827433387272267E-2</v>
      </c>
      <c r="FP58">
        <v>8.8827433387272267E-2</v>
      </c>
      <c r="FQ58">
        <v>8.8827433387272267E-2</v>
      </c>
      <c r="FR58">
        <v>8.8827433387272267E-2</v>
      </c>
      <c r="FS58">
        <v>8.8827433387272267E-2</v>
      </c>
    </row>
    <row r="59" spans="1:175" x14ac:dyDescent="0.3">
      <c r="A59" s="171"/>
      <c r="B59" s="12" t="s">
        <v>236</v>
      </c>
      <c r="C59" s="11" t="s">
        <v>276</v>
      </c>
      <c r="D59" s="2" t="s">
        <v>237</v>
      </c>
      <c r="E59" s="9">
        <f t="shared" si="5"/>
        <v>51</v>
      </c>
      <c r="F59" s="13">
        <v>1</v>
      </c>
      <c r="G59" s="13" t="s">
        <v>237</v>
      </c>
      <c r="H59">
        <v>0</v>
      </c>
      <c r="I59" t="s">
        <v>12</v>
      </c>
      <c r="J59">
        <v>0</v>
      </c>
      <c r="K59">
        <v>0</v>
      </c>
      <c r="L59" s="10">
        <v>0</v>
      </c>
      <c r="M59">
        <v>0</v>
      </c>
      <c r="N59">
        <v>1</v>
      </c>
      <c r="O59">
        <f t="shared" si="109"/>
        <v>2000000</v>
      </c>
      <c r="P59" s="57">
        <v>0</v>
      </c>
      <c r="Q59" s="57">
        <v>0</v>
      </c>
      <c r="R59" s="57">
        <v>0</v>
      </c>
      <c r="S59" s="57">
        <v>0</v>
      </c>
      <c r="T59" s="57">
        <v>0</v>
      </c>
      <c r="U59" s="57">
        <v>0</v>
      </c>
      <c r="V59" s="57">
        <v>0</v>
      </c>
      <c r="W59" s="57">
        <v>0</v>
      </c>
      <c r="X59" s="57">
        <v>0</v>
      </c>
      <c r="Y59" s="57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 s="60">
        <v>0</v>
      </c>
      <c r="AU59" s="60">
        <v>0</v>
      </c>
      <c r="AV59" s="14">
        <v>0</v>
      </c>
      <c r="AW59" s="14">
        <v>0</v>
      </c>
      <c r="AX59" s="14">
        <v>0</v>
      </c>
      <c r="AY59" s="14">
        <v>0</v>
      </c>
      <c r="AZ59" s="14">
        <v>0</v>
      </c>
      <c r="BA59" s="14">
        <v>0</v>
      </c>
      <c r="BB59" s="14">
        <v>0</v>
      </c>
      <c r="BC59" s="14">
        <v>0</v>
      </c>
      <c r="BD59" s="60">
        <v>1</v>
      </c>
      <c r="BE59" s="60">
        <v>1</v>
      </c>
      <c r="BF59" s="60">
        <v>1</v>
      </c>
      <c r="BG59" s="60">
        <v>1</v>
      </c>
      <c r="BH59" s="60">
        <v>1</v>
      </c>
      <c r="BI59" s="60">
        <v>1</v>
      </c>
      <c r="BJ59" s="60">
        <v>1</v>
      </c>
      <c r="BK59" s="60">
        <v>1</v>
      </c>
      <c r="BL59" s="60">
        <v>1</v>
      </c>
      <c r="BM59" s="60">
        <v>1</v>
      </c>
      <c r="BN59" s="60">
        <v>1</v>
      </c>
      <c r="BO59" s="60">
        <v>1</v>
      </c>
      <c r="BP59" s="60">
        <v>1</v>
      </c>
      <c r="BQ59" s="60">
        <v>1</v>
      </c>
      <c r="BR59" s="60">
        <v>1</v>
      </c>
      <c r="BS59" s="60">
        <v>1</v>
      </c>
      <c r="BT59" s="60">
        <v>1</v>
      </c>
      <c r="BU59" s="60">
        <v>1</v>
      </c>
      <c r="BV59" s="60">
        <v>1</v>
      </c>
      <c r="BW59" s="60">
        <v>1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3662.1</v>
      </c>
      <c r="CI59">
        <v>3662.1</v>
      </c>
      <c r="CJ59">
        <v>3662.1</v>
      </c>
      <c r="CK59">
        <v>3662.1</v>
      </c>
      <c r="CL59">
        <v>3662.1</v>
      </c>
      <c r="CM59">
        <v>3662.1</v>
      </c>
      <c r="CN59">
        <v>3662.1</v>
      </c>
      <c r="CO59">
        <v>3662.1</v>
      </c>
      <c r="CP59">
        <v>3662.1</v>
      </c>
      <c r="CQ59">
        <v>3662.1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f>8.77/1000</f>
        <v>8.77E-3</v>
      </c>
      <c r="DC59">
        <f t="shared" ref="DC59:DK59" si="111">8.77/1000</f>
        <v>8.77E-3</v>
      </c>
      <c r="DD59">
        <f t="shared" si="111"/>
        <v>8.77E-3</v>
      </c>
      <c r="DE59">
        <f t="shared" si="111"/>
        <v>8.77E-3</v>
      </c>
      <c r="DF59">
        <f t="shared" si="111"/>
        <v>8.77E-3</v>
      </c>
      <c r="DG59">
        <f t="shared" si="111"/>
        <v>8.77E-3</v>
      </c>
      <c r="DH59">
        <f t="shared" si="111"/>
        <v>8.77E-3</v>
      </c>
      <c r="DI59">
        <f t="shared" si="111"/>
        <v>8.77E-3</v>
      </c>
      <c r="DJ59">
        <f t="shared" si="111"/>
        <v>8.77E-3</v>
      </c>
      <c r="DK59">
        <f t="shared" si="111"/>
        <v>8.77E-3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f>((6.78*10^7)/(20*10^3))/30</f>
        <v>113</v>
      </c>
      <c r="EG59">
        <f t="shared" ref="EG59:EN59" si="112">((6.78*10^7)/(20*10^3))/30</f>
        <v>113</v>
      </c>
      <c r="EH59">
        <f t="shared" si="112"/>
        <v>113</v>
      </c>
      <c r="EI59">
        <v>0</v>
      </c>
      <c r="EJ59">
        <f t="shared" si="112"/>
        <v>113</v>
      </c>
      <c r="EK59">
        <v>0</v>
      </c>
      <c r="EL59">
        <f t="shared" si="112"/>
        <v>113</v>
      </c>
      <c r="EM59">
        <v>0</v>
      </c>
      <c r="EN59">
        <f t="shared" si="112"/>
        <v>113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 s="32">
        <v>8.0586403511111196E-2</v>
      </c>
      <c r="FK59" s="32">
        <v>8.0586403511111196E-2</v>
      </c>
      <c r="FL59" s="32">
        <v>8.0586403511111196E-2</v>
      </c>
      <c r="FM59" s="32">
        <v>8.0586403511111196E-2</v>
      </c>
      <c r="FN59" s="32">
        <v>8.0586403511111196E-2</v>
      </c>
      <c r="FO59" s="32">
        <v>8.0586403511111196E-2</v>
      </c>
      <c r="FP59" s="32">
        <v>8.0586403511111196E-2</v>
      </c>
      <c r="FQ59" s="32">
        <v>8.0586403511111196E-2</v>
      </c>
      <c r="FR59" s="32">
        <v>8.0586403511111196E-2</v>
      </c>
      <c r="FS59" s="32">
        <v>8.0586403511111196E-2</v>
      </c>
    </row>
    <row r="60" spans="1:175" x14ac:dyDescent="0.3">
      <c r="A60" s="171"/>
      <c r="B60" s="12" t="s">
        <v>15</v>
      </c>
      <c r="C60" s="11" t="s">
        <v>276</v>
      </c>
      <c r="D60" s="2" t="s">
        <v>270</v>
      </c>
      <c r="E60" s="9">
        <f t="shared" si="5"/>
        <v>52</v>
      </c>
      <c r="F60" s="13">
        <v>1</v>
      </c>
      <c r="G60" s="13" t="s">
        <v>273</v>
      </c>
      <c r="H60">
        <v>0</v>
      </c>
      <c r="I60" t="s">
        <v>12</v>
      </c>
      <c r="J60">
        <v>0</v>
      </c>
      <c r="K60">
        <v>0</v>
      </c>
      <c r="L60" s="10">
        <v>0</v>
      </c>
      <c r="M60">
        <v>0</v>
      </c>
      <c r="N60">
        <v>-1</v>
      </c>
      <c r="O60">
        <f t="shared" si="109"/>
        <v>2000000</v>
      </c>
      <c r="P60" s="57">
        <v>0</v>
      </c>
      <c r="Q60" s="57">
        <v>0</v>
      </c>
      <c r="R60" s="57">
        <v>0</v>
      </c>
      <c r="S60" s="57">
        <v>0</v>
      </c>
      <c r="T60" s="57">
        <v>0</v>
      </c>
      <c r="U60" s="57">
        <v>0</v>
      </c>
      <c r="V60" s="57">
        <v>0</v>
      </c>
      <c r="W60" s="57">
        <v>0</v>
      </c>
      <c r="X60" s="57">
        <v>0</v>
      </c>
      <c r="Y60" s="57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 s="60">
        <v>0</v>
      </c>
      <c r="AU60" s="60">
        <v>0</v>
      </c>
      <c r="AV60" s="14">
        <v>0</v>
      </c>
      <c r="AW60" s="14">
        <v>0</v>
      </c>
      <c r="AX60" s="14">
        <v>0</v>
      </c>
      <c r="AY60" s="14">
        <v>0</v>
      </c>
      <c r="AZ60" s="14">
        <v>0</v>
      </c>
      <c r="BA60" s="14">
        <v>0</v>
      </c>
      <c r="BB60" s="14">
        <v>0</v>
      </c>
      <c r="BC60" s="14">
        <v>0</v>
      </c>
      <c r="BD60" s="60">
        <v>1</v>
      </c>
      <c r="BE60" s="60">
        <v>1</v>
      </c>
      <c r="BF60" s="60">
        <v>1</v>
      </c>
      <c r="BG60" s="60">
        <v>1</v>
      </c>
      <c r="BH60" s="60">
        <v>1</v>
      </c>
      <c r="BI60" s="60">
        <v>1</v>
      </c>
      <c r="BJ60" s="60">
        <v>1</v>
      </c>
      <c r="BK60" s="60">
        <v>1</v>
      </c>
      <c r="BL60" s="60">
        <v>1</v>
      </c>
      <c r="BM60" s="60">
        <v>1</v>
      </c>
      <c r="BN60" s="60">
        <v>1</v>
      </c>
      <c r="BO60" s="60">
        <v>1</v>
      </c>
      <c r="BP60" s="60">
        <v>1</v>
      </c>
      <c r="BQ60" s="60">
        <v>1</v>
      </c>
      <c r="BR60" s="60">
        <v>1</v>
      </c>
      <c r="BS60" s="60">
        <v>1</v>
      </c>
      <c r="BT60" s="60">
        <v>1</v>
      </c>
      <c r="BU60" s="60">
        <v>1</v>
      </c>
      <c r="BV60" s="60">
        <v>1</v>
      </c>
      <c r="BW60" s="60">
        <v>1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</row>
    <row r="61" spans="1:175" x14ac:dyDescent="0.3">
      <c r="A61" s="171"/>
      <c r="B61" s="12" t="s">
        <v>16</v>
      </c>
      <c r="C61" s="11" t="s">
        <v>276</v>
      </c>
      <c r="D61" s="2" t="s">
        <v>271</v>
      </c>
      <c r="E61" s="9">
        <f t="shared" si="5"/>
        <v>53</v>
      </c>
      <c r="F61" s="13">
        <v>1</v>
      </c>
      <c r="G61" s="13" t="s">
        <v>274</v>
      </c>
      <c r="H61">
        <v>0</v>
      </c>
      <c r="I61" t="s">
        <v>12</v>
      </c>
      <c r="J61">
        <v>0</v>
      </c>
      <c r="K61">
        <v>0</v>
      </c>
      <c r="L61" s="10">
        <v>0</v>
      </c>
      <c r="M61">
        <v>0</v>
      </c>
      <c r="N61">
        <v>1</v>
      </c>
      <c r="O61">
        <f t="shared" si="109"/>
        <v>2000000</v>
      </c>
      <c r="P61" s="57">
        <v>0</v>
      </c>
      <c r="Q61" s="57">
        <v>0</v>
      </c>
      <c r="R61" s="57">
        <v>0</v>
      </c>
      <c r="S61" s="57">
        <v>0</v>
      </c>
      <c r="T61" s="57">
        <v>0</v>
      </c>
      <c r="U61" s="57">
        <v>0</v>
      </c>
      <c r="V61" s="57">
        <v>0</v>
      </c>
      <c r="W61" s="57">
        <v>0</v>
      </c>
      <c r="X61" s="57">
        <v>0</v>
      </c>
      <c r="Y61" s="57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 s="60">
        <v>0</v>
      </c>
      <c r="AU61" s="60">
        <v>0</v>
      </c>
      <c r="AV61" s="14">
        <v>0</v>
      </c>
      <c r="AW61" s="14">
        <v>0</v>
      </c>
      <c r="AX61" s="14">
        <v>0</v>
      </c>
      <c r="AY61" s="14">
        <v>0</v>
      </c>
      <c r="AZ61" s="14">
        <v>0</v>
      </c>
      <c r="BA61" s="14">
        <v>0</v>
      </c>
      <c r="BB61" s="14">
        <v>0</v>
      </c>
      <c r="BC61" s="14">
        <v>0</v>
      </c>
      <c r="BD61" s="60">
        <v>1</v>
      </c>
      <c r="BE61" s="60">
        <v>1</v>
      </c>
      <c r="BF61" s="60">
        <v>1</v>
      </c>
      <c r="BG61" s="60">
        <v>1</v>
      </c>
      <c r="BH61" s="60">
        <v>1</v>
      </c>
      <c r="BI61" s="60">
        <v>1</v>
      </c>
      <c r="BJ61" s="60">
        <v>1</v>
      </c>
      <c r="BK61" s="60">
        <v>1</v>
      </c>
      <c r="BL61" s="60">
        <v>1</v>
      </c>
      <c r="BM61" s="60">
        <v>1</v>
      </c>
      <c r="BN61" s="60">
        <v>1</v>
      </c>
      <c r="BO61" s="60">
        <v>1</v>
      </c>
      <c r="BP61" s="60">
        <v>1</v>
      </c>
      <c r="BQ61" s="60">
        <v>1</v>
      </c>
      <c r="BR61" s="60">
        <v>1</v>
      </c>
      <c r="BS61" s="60">
        <v>1</v>
      </c>
      <c r="BT61" s="60">
        <v>1</v>
      </c>
      <c r="BU61" s="60">
        <v>1</v>
      </c>
      <c r="BV61" s="60">
        <v>1</v>
      </c>
      <c r="BW61" s="60">
        <v>1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</row>
    <row r="62" spans="1:175" x14ac:dyDescent="0.3">
      <c r="A62" s="171"/>
      <c r="B62" s="12" t="s">
        <v>17</v>
      </c>
      <c r="C62" s="11" t="s">
        <v>276</v>
      </c>
      <c r="D62" s="2" t="s">
        <v>272</v>
      </c>
      <c r="E62" s="9">
        <f t="shared" si="5"/>
        <v>54</v>
      </c>
      <c r="F62" s="13">
        <v>1</v>
      </c>
      <c r="G62" s="13" t="s">
        <v>272</v>
      </c>
      <c r="H62">
        <v>0</v>
      </c>
      <c r="I62" t="s">
        <v>12</v>
      </c>
      <c r="J62">
        <v>0</v>
      </c>
      <c r="K62">
        <v>0</v>
      </c>
      <c r="L62" s="10">
        <v>0</v>
      </c>
      <c r="M62">
        <v>0</v>
      </c>
      <c r="N62">
        <v>0</v>
      </c>
      <c r="O62">
        <f t="shared" si="109"/>
        <v>2000000</v>
      </c>
      <c r="P62" s="57">
        <v>0</v>
      </c>
      <c r="Q62" s="57">
        <v>0</v>
      </c>
      <c r="R62" s="57">
        <v>0</v>
      </c>
      <c r="S62" s="57">
        <v>0</v>
      </c>
      <c r="T62" s="57">
        <v>0</v>
      </c>
      <c r="U62" s="57">
        <v>0</v>
      </c>
      <c r="V62" s="57">
        <v>0</v>
      </c>
      <c r="W62" s="57">
        <v>0</v>
      </c>
      <c r="X62" s="57">
        <v>0</v>
      </c>
      <c r="Y62" s="57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 s="60">
        <v>0</v>
      </c>
      <c r="AU62" s="60">
        <v>0</v>
      </c>
      <c r="AV62" s="14">
        <v>0</v>
      </c>
      <c r="AW62" s="14">
        <v>0</v>
      </c>
      <c r="AX62" s="14">
        <v>0</v>
      </c>
      <c r="AY62" s="14">
        <v>0</v>
      </c>
      <c r="AZ62" s="14">
        <v>0</v>
      </c>
      <c r="BA62" s="14">
        <v>0</v>
      </c>
      <c r="BB62" s="14">
        <v>0</v>
      </c>
      <c r="BC62" s="14">
        <v>0</v>
      </c>
      <c r="BD62" s="60">
        <v>1</v>
      </c>
      <c r="BE62" s="60">
        <v>1</v>
      </c>
      <c r="BF62" s="60">
        <v>1</v>
      </c>
      <c r="BG62" s="60">
        <v>1</v>
      </c>
      <c r="BH62" s="60">
        <v>1</v>
      </c>
      <c r="BI62" s="60">
        <v>1</v>
      </c>
      <c r="BJ62" s="60">
        <v>1</v>
      </c>
      <c r="BK62" s="60">
        <v>1</v>
      </c>
      <c r="BL62" s="60">
        <v>1</v>
      </c>
      <c r="BM62" s="60">
        <v>1</v>
      </c>
      <c r="BN62" s="60">
        <v>1</v>
      </c>
      <c r="BO62" s="60">
        <v>1</v>
      </c>
      <c r="BP62" s="60">
        <v>1</v>
      </c>
      <c r="BQ62" s="60">
        <v>1</v>
      </c>
      <c r="BR62" s="60">
        <v>1</v>
      </c>
      <c r="BS62" s="60">
        <v>1</v>
      </c>
      <c r="BT62" s="60">
        <v>1</v>
      </c>
      <c r="BU62" s="60">
        <v>1</v>
      </c>
      <c r="BV62" s="60">
        <v>1</v>
      </c>
      <c r="BW62" s="60">
        <v>1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41</v>
      </c>
      <c r="CI62">
        <v>41</v>
      </c>
      <c r="CJ62">
        <v>41</v>
      </c>
      <c r="CK62">
        <v>0</v>
      </c>
      <c r="CL62">
        <f>41</f>
        <v>41</v>
      </c>
      <c r="CM62">
        <v>0</v>
      </c>
      <c r="CN62">
        <v>41</v>
      </c>
      <c r="CO62">
        <v>0</v>
      </c>
      <c r="CP62">
        <v>41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 s="32">
        <v>9.3678779051968114E-2</v>
      </c>
      <c r="FK62" s="32">
        <v>8.0586403511111196E-2</v>
      </c>
      <c r="FL62" s="32">
        <v>8.0586403511111196E-2</v>
      </c>
      <c r="FM62" s="32">
        <v>8.0586403511111196E-2</v>
      </c>
      <c r="FN62" s="32">
        <v>8.0586403511111196E-2</v>
      </c>
      <c r="FO62" s="32">
        <v>8.0586403511111196E-2</v>
      </c>
      <c r="FP62" s="32">
        <v>8.0586403511111196E-2</v>
      </c>
      <c r="FQ62" s="32">
        <v>8.0586403511111196E-2</v>
      </c>
      <c r="FR62" s="32">
        <v>8.0586403511111196E-2</v>
      </c>
      <c r="FS62" s="32">
        <v>8.0586403511111196E-2</v>
      </c>
    </row>
    <row r="63" spans="1:175" x14ac:dyDescent="0.3">
      <c r="A63" s="171"/>
      <c r="B63" s="61" t="s">
        <v>276</v>
      </c>
      <c r="C63" s="11" t="s">
        <v>276</v>
      </c>
      <c r="D63" s="2" t="s">
        <v>277</v>
      </c>
      <c r="E63" s="9">
        <f t="shared" si="5"/>
        <v>55</v>
      </c>
      <c r="F63" s="13">
        <v>1</v>
      </c>
      <c r="G63" s="13" t="s">
        <v>277</v>
      </c>
      <c r="H63">
        <v>0</v>
      </c>
      <c r="I63" t="s">
        <v>12</v>
      </c>
      <c r="J63">
        <v>1</v>
      </c>
      <c r="K63">
        <v>0</v>
      </c>
      <c r="L63" s="10">
        <v>0</v>
      </c>
      <c r="M63">
        <v>0</v>
      </c>
      <c r="N63">
        <v>-1</v>
      </c>
      <c r="O63">
        <f t="shared" si="109"/>
        <v>2000000</v>
      </c>
      <c r="P63" s="57">
        <v>0</v>
      </c>
      <c r="Q63" s="57">
        <v>0</v>
      </c>
      <c r="R63" s="57">
        <v>0</v>
      </c>
      <c r="S63" s="57">
        <v>0</v>
      </c>
      <c r="T63" s="57">
        <v>0</v>
      </c>
      <c r="U63" s="57">
        <v>0</v>
      </c>
      <c r="V63" s="57">
        <v>0</v>
      </c>
      <c r="W63" s="57">
        <v>0</v>
      </c>
      <c r="X63" s="57">
        <v>0</v>
      </c>
      <c r="Y63" s="57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 s="60">
        <v>0</v>
      </c>
      <c r="AU63" s="60">
        <v>0</v>
      </c>
      <c r="AV63" s="14">
        <v>0</v>
      </c>
      <c r="AW63" s="14">
        <v>0</v>
      </c>
      <c r="AX63" s="14">
        <v>0</v>
      </c>
      <c r="AY63" s="14">
        <v>0</v>
      </c>
      <c r="AZ63" s="14">
        <v>0</v>
      </c>
      <c r="BA63" s="14">
        <v>0</v>
      </c>
      <c r="BB63" s="14">
        <v>0</v>
      </c>
      <c r="BC63" s="14">
        <v>0</v>
      </c>
      <c r="BD63" s="60">
        <v>1</v>
      </c>
      <c r="BE63" s="60">
        <v>1</v>
      </c>
      <c r="BF63" s="60">
        <v>1</v>
      </c>
      <c r="BG63" s="60">
        <v>1</v>
      </c>
      <c r="BH63" s="60">
        <v>1</v>
      </c>
      <c r="BI63" s="60">
        <v>1</v>
      </c>
      <c r="BJ63" s="60">
        <v>1</v>
      </c>
      <c r="BK63" s="60">
        <v>1</v>
      </c>
      <c r="BL63" s="60">
        <v>1</v>
      </c>
      <c r="BM63" s="60">
        <v>1</v>
      </c>
      <c r="BN63" s="60">
        <v>1</v>
      </c>
      <c r="BO63" s="60">
        <v>1</v>
      </c>
      <c r="BP63" s="60">
        <v>1</v>
      </c>
      <c r="BQ63" s="60">
        <v>1</v>
      </c>
      <c r="BR63" s="60">
        <v>1</v>
      </c>
      <c r="BS63" s="60">
        <v>1</v>
      </c>
      <c r="BT63" s="60">
        <v>1</v>
      </c>
      <c r="BU63" s="60">
        <v>1</v>
      </c>
      <c r="BV63" s="60">
        <v>1</v>
      </c>
      <c r="BW63" s="60">
        <v>1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</row>
    <row r="64" spans="1:175" x14ac:dyDescent="0.3">
      <c r="A64" s="171"/>
      <c r="B64" s="12" t="s">
        <v>28</v>
      </c>
      <c r="C64" s="4" t="s">
        <v>33</v>
      </c>
      <c r="D64" s="6" t="s">
        <v>43</v>
      </c>
      <c r="E64" s="9">
        <f t="shared" si="5"/>
        <v>56</v>
      </c>
      <c r="F64" s="13">
        <v>0</v>
      </c>
      <c r="G64" s="13" t="s">
        <v>24</v>
      </c>
      <c r="H64">
        <v>0</v>
      </c>
      <c r="I64" t="s">
        <v>12</v>
      </c>
      <c r="J64">
        <v>1</v>
      </c>
      <c r="K64">
        <v>0</v>
      </c>
      <c r="L64" s="10">
        <v>0</v>
      </c>
      <c r="M64">
        <v>0</v>
      </c>
      <c r="N64">
        <v>0</v>
      </c>
      <c r="O64">
        <f t="shared" si="109"/>
        <v>2000000</v>
      </c>
      <c r="P64" s="10">
        <v>0</v>
      </c>
      <c r="Q64" s="10">
        <v>0</v>
      </c>
      <c r="R64" s="10">
        <v>0</v>
      </c>
      <c r="S64" s="10">
        <v>0</v>
      </c>
      <c r="T64" s="10">
        <v>0</v>
      </c>
      <c r="U64" s="10">
        <v>0</v>
      </c>
      <c r="V64" s="10">
        <v>0</v>
      </c>
      <c r="W64" s="10">
        <v>0</v>
      </c>
      <c r="X64" s="10">
        <v>0</v>
      </c>
      <c r="Y64" s="10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 s="14">
        <v>0</v>
      </c>
      <c r="AU64" s="14">
        <v>0</v>
      </c>
      <c r="AV64" s="14">
        <v>0</v>
      </c>
      <c r="AW64" s="14">
        <v>0</v>
      </c>
      <c r="AX64" s="14">
        <v>0</v>
      </c>
      <c r="AY64" s="14">
        <v>0</v>
      </c>
      <c r="AZ64" s="14">
        <v>0</v>
      </c>
      <c r="BA64" s="14">
        <v>0</v>
      </c>
      <c r="BB64" s="14">
        <v>0</v>
      </c>
      <c r="BC64" s="14">
        <v>0</v>
      </c>
      <c r="BD64" s="14">
        <v>1</v>
      </c>
      <c r="BE64" s="14">
        <v>1</v>
      </c>
      <c r="BF64" s="14">
        <v>1</v>
      </c>
      <c r="BG64" s="14">
        <v>1</v>
      </c>
      <c r="BH64" s="14">
        <v>1</v>
      </c>
      <c r="BI64" s="14">
        <v>1</v>
      </c>
      <c r="BJ64" s="14">
        <v>1</v>
      </c>
      <c r="BK64" s="14">
        <v>1</v>
      </c>
      <c r="BL64" s="14">
        <v>1</v>
      </c>
      <c r="BM64" s="14">
        <v>1</v>
      </c>
      <c r="BN64" s="14">
        <v>1</v>
      </c>
      <c r="BO64" s="14">
        <v>1</v>
      </c>
      <c r="BP64" s="14">
        <v>1</v>
      </c>
      <c r="BQ64" s="14">
        <v>1</v>
      </c>
      <c r="BR64" s="14">
        <v>1</v>
      </c>
      <c r="BS64" s="14">
        <v>1</v>
      </c>
      <c r="BT64" s="14">
        <v>1</v>
      </c>
      <c r="BU64" s="14">
        <v>1</v>
      </c>
      <c r="BV64" s="14">
        <v>1</v>
      </c>
      <c r="BW64" s="14">
        <v>1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180</v>
      </c>
      <c r="CI64">
        <v>180</v>
      </c>
      <c r="CJ64">
        <v>180</v>
      </c>
      <c r="CK64">
        <v>180</v>
      </c>
      <c r="CL64">
        <v>180</v>
      </c>
      <c r="CM64">
        <v>180</v>
      </c>
      <c r="CN64">
        <v>180</v>
      </c>
      <c r="CO64">
        <v>180</v>
      </c>
      <c r="CP64">
        <v>180</v>
      </c>
      <c r="CQ64">
        <v>180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1.6649999999999998E-2</v>
      </c>
      <c r="DW64">
        <v>1.6649999999999998E-2</v>
      </c>
      <c r="DX64">
        <v>1.6649999999999998E-2</v>
      </c>
      <c r="DY64">
        <v>1.6649999999999998E-2</v>
      </c>
      <c r="DZ64">
        <v>1.6649999999999998E-2</v>
      </c>
      <c r="EA64">
        <v>1.6649999999999998E-2</v>
      </c>
      <c r="EB64">
        <v>1.6649999999999998E-2</v>
      </c>
      <c r="EC64">
        <v>1.6649999999999998E-2</v>
      </c>
      <c r="ED64">
        <v>1.6649999999999998E-2</v>
      </c>
      <c r="EE64">
        <v>1.6649999999999998E-2</v>
      </c>
      <c r="EF64">
        <v>0</v>
      </c>
      <c r="EG64">
        <v>0</v>
      </c>
      <c r="EH64">
        <v>0</v>
      </c>
      <c r="EI64">
        <v>0</v>
      </c>
      <c r="EJ64">
        <f>$EG64*B$3</f>
        <v>0</v>
      </c>
      <c r="EK64">
        <v>0</v>
      </c>
      <c r="EL64">
        <f>$EG64*C$3</f>
        <v>0</v>
      </c>
      <c r="EM64">
        <v>0</v>
      </c>
      <c r="EN64">
        <f>$EG64*D$3</f>
        <v>0</v>
      </c>
      <c r="EO64">
        <v>0</v>
      </c>
      <c r="EP64">
        <f>0.520716756485048*B1</f>
        <v>0</v>
      </c>
      <c r="EQ64">
        <f>0.520716756485048*B1</f>
        <v>0</v>
      </c>
      <c r="ER64">
        <f>0.520716756485048*B1</f>
        <v>0</v>
      </c>
      <c r="ES64">
        <v>0</v>
      </c>
      <c r="ET64">
        <f>0.187143584625145*B1</f>
        <v>0</v>
      </c>
      <c r="EU64">
        <v>0</v>
      </c>
      <c r="EV64">
        <f>0.0198475609303731*B1</f>
        <v>0</v>
      </c>
      <c r="EW64">
        <v>0</v>
      </c>
      <c r="EX64">
        <f>0.0028336085303343*B1</f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 s="32">
        <v>8.8827433387272267E-2</v>
      </c>
      <c r="FK64" s="32">
        <v>8.8827433387272267E-2</v>
      </c>
      <c r="FL64" s="32">
        <v>8.8827433387272267E-2</v>
      </c>
      <c r="FM64" s="32">
        <v>8.8827433387272267E-2</v>
      </c>
      <c r="FN64" s="32">
        <v>8.8827433387272267E-2</v>
      </c>
      <c r="FO64" s="32">
        <v>8.8827433387272267E-2</v>
      </c>
      <c r="FP64" s="32">
        <v>8.8827433387272267E-2</v>
      </c>
      <c r="FQ64" s="32">
        <v>8.8827433387272267E-2</v>
      </c>
      <c r="FR64" s="32">
        <v>8.8827433387272267E-2</v>
      </c>
      <c r="FS64" s="32">
        <v>8.8827433387272267E-2</v>
      </c>
    </row>
    <row r="65" spans="1:175" x14ac:dyDescent="0.3">
      <c r="A65" s="171"/>
      <c r="B65" s="12" t="s">
        <v>217</v>
      </c>
      <c r="C65" s="4" t="s">
        <v>34</v>
      </c>
      <c r="D65" s="6" t="s">
        <v>278</v>
      </c>
      <c r="E65" s="9">
        <f t="shared" si="5"/>
        <v>57</v>
      </c>
      <c r="F65" s="13">
        <v>1</v>
      </c>
      <c r="G65" s="13" t="s">
        <v>278</v>
      </c>
      <c r="H65">
        <v>0</v>
      </c>
      <c r="I65" t="s">
        <v>12</v>
      </c>
      <c r="J65">
        <v>-1</v>
      </c>
      <c r="K65">
        <v>0</v>
      </c>
      <c r="L65" s="10">
        <v>0</v>
      </c>
      <c r="M65">
        <v>0</v>
      </c>
      <c r="N65">
        <v>0</v>
      </c>
      <c r="O65">
        <v>24000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 s="14">
        <v>0</v>
      </c>
      <c r="AU65" s="14">
        <v>0</v>
      </c>
      <c r="AV65" s="14">
        <v>0</v>
      </c>
      <c r="AW65" s="14">
        <v>0</v>
      </c>
      <c r="AX65" s="14">
        <v>0</v>
      </c>
      <c r="AY65" s="14">
        <v>0</v>
      </c>
      <c r="AZ65" s="14">
        <v>0</v>
      </c>
      <c r="BA65" s="14">
        <v>0</v>
      </c>
      <c r="BB65" s="14">
        <v>0</v>
      </c>
      <c r="BC65" s="14">
        <v>0</v>
      </c>
      <c r="BD65" s="14">
        <v>1</v>
      </c>
      <c r="BE65" s="14">
        <v>1</v>
      </c>
      <c r="BF65" s="14">
        <v>1</v>
      </c>
      <c r="BG65" s="14">
        <v>1</v>
      </c>
      <c r="BH65" s="14">
        <v>1</v>
      </c>
      <c r="BI65" s="14">
        <v>1</v>
      </c>
      <c r="BJ65" s="14">
        <v>1</v>
      </c>
      <c r="BK65" s="14">
        <v>1</v>
      </c>
      <c r="BL65" s="14">
        <v>1</v>
      </c>
      <c r="BM65" s="14">
        <v>1</v>
      </c>
      <c r="BN65" s="14">
        <v>1</v>
      </c>
      <c r="BO65" s="14">
        <v>1</v>
      </c>
      <c r="BP65" s="14">
        <v>1</v>
      </c>
      <c r="BQ65" s="14">
        <v>1</v>
      </c>
      <c r="BR65" s="14">
        <v>1</v>
      </c>
      <c r="BS65" s="14">
        <v>1</v>
      </c>
      <c r="BT65" s="14">
        <v>1</v>
      </c>
      <c r="BU65" s="14">
        <v>1</v>
      </c>
      <c r="BV65" s="14">
        <v>1</v>
      </c>
      <c r="BW65" s="14">
        <v>1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f>$EG65*B$3</f>
        <v>0</v>
      </c>
      <c r="EK65">
        <v>0</v>
      </c>
      <c r="EL65">
        <f>$EG65*C$3</f>
        <v>0</v>
      </c>
      <c r="EM65">
        <v>0</v>
      </c>
      <c r="EN65">
        <f>$EG65*D$3</f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f>$EQ65*B$3</f>
        <v>0</v>
      </c>
      <c r="EU65">
        <v>0</v>
      </c>
      <c r="EV65">
        <f>$EQ65*C$3</f>
        <v>0</v>
      </c>
      <c r="EW65">
        <v>0</v>
      </c>
      <c r="EX65">
        <f>$EQ65*D$3</f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</row>
    <row r="66" spans="1:175" x14ac:dyDescent="0.3">
      <c r="A66" s="171"/>
      <c r="B66" s="12" t="s">
        <v>218</v>
      </c>
      <c r="C66" s="11" t="s">
        <v>276</v>
      </c>
      <c r="D66" s="6" t="s">
        <v>176</v>
      </c>
      <c r="E66" s="9">
        <f t="shared" si="5"/>
        <v>58</v>
      </c>
      <c r="F66" s="13">
        <v>1</v>
      </c>
      <c r="G66" s="13" t="s">
        <v>177</v>
      </c>
      <c r="H66">
        <v>0</v>
      </c>
      <c r="I66" t="s">
        <v>12</v>
      </c>
      <c r="J66">
        <v>1</v>
      </c>
      <c r="K66">
        <v>0</v>
      </c>
      <c r="L66" s="10">
        <v>0</v>
      </c>
      <c r="M66">
        <v>0</v>
      </c>
      <c r="N66">
        <v>0</v>
      </c>
      <c r="O66">
        <v>20000000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 s="34">
        <v>0</v>
      </c>
      <c r="AU66" s="34">
        <v>0</v>
      </c>
      <c r="AV66" s="14">
        <v>0</v>
      </c>
      <c r="AW66" s="14">
        <v>0</v>
      </c>
      <c r="AX66" s="14">
        <v>0</v>
      </c>
      <c r="AY66" s="14">
        <v>0</v>
      </c>
      <c r="AZ66" s="14">
        <v>0</v>
      </c>
      <c r="BA66" s="14">
        <v>0</v>
      </c>
      <c r="BB66" s="14">
        <v>0</v>
      </c>
      <c r="BC66" s="14">
        <v>0</v>
      </c>
      <c r="BD66" s="34">
        <v>1</v>
      </c>
      <c r="BE66" s="34">
        <v>1</v>
      </c>
      <c r="BF66" s="34">
        <v>1</v>
      </c>
      <c r="BG66" s="34">
        <v>1</v>
      </c>
      <c r="BH66" s="34">
        <v>1</v>
      </c>
      <c r="BI66" s="34">
        <v>1</v>
      </c>
      <c r="BJ66" s="34">
        <v>1</v>
      </c>
      <c r="BK66" s="34">
        <v>1</v>
      </c>
      <c r="BL66" s="34">
        <v>1</v>
      </c>
      <c r="BM66" s="34">
        <v>1</v>
      </c>
      <c r="BN66" s="34">
        <v>1</v>
      </c>
      <c r="BO66" s="34">
        <v>1</v>
      </c>
      <c r="BP66" s="34">
        <v>1</v>
      </c>
      <c r="BQ66" s="34">
        <v>1</v>
      </c>
      <c r="BR66" s="34">
        <v>1</v>
      </c>
      <c r="BS66" s="34">
        <v>1</v>
      </c>
      <c r="BT66" s="34">
        <v>1</v>
      </c>
      <c r="BU66" s="34">
        <v>1</v>
      </c>
      <c r="BV66" s="34">
        <v>1</v>
      </c>
      <c r="BW66" s="34">
        <v>1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f>343</f>
        <v>343</v>
      </c>
      <c r="CI66">
        <f>343</f>
        <v>343</v>
      </c>
      <c r="CJ66">
        <f>343</f>
        <v>343</v>
      </c>
      <c r="CK66">
        <f>343</f>
        <v>343</v>
      </c>
      <c r="CL66">
        <f>343</f>
        <v>343</v>
      </c>
      <c r="CM66">
        <f>343</f>
        <v>343</v>
      </c>
      <c r="CN66">
        <f>343</f>
        <v>343</v>
      </c>
      <c r="CO66">
        <f>343</f>
        <v>343</v>
      </c>
      <c r="CP66">
        <f>343</f>
        <v>343</v>
      </c>
      <c r="CQ66">
        <f>343</f>
        <v>343</v>
      </c>
      <c r="CR66">
        <v>8.8000000000000007</v>
      </c>
      <c r="CS66">
        <v>8.8000000000000007</v>
      </c>
      <c r="CT66">
        <v>8.8000000000000007</v>
      </c>
      <c r="CU66">
        <v>8.8000000000000007</v>
      </c>
      <c r="CV66">
        <v>8.8000000000000007</v>
      </c>
      <c r="CW66">
        <v>8.8000000000000007</v>
      </c>
      <c r="CX66">
        <v>8.8000000000000007</v>
      </c>
      <c r="CY66">
        <v>8.8000000000000007</v>
      </c>
      <c r="CZ66">
        <v>8.8000000000000007</v>
      </c>
      <c r="DA66">
        <v>8.8000000000000007</v>
      </c>
      <c r="DB66">
        <f t="shared" ref="DB66:DK66" si="113">6/(10^3)</f>
        <v>6.0000000000000001E-3</v>
      </c>
      <c r="DC66">
        <f t="shared" si="113"/>
        <v>6.0000000000000001E-3</v>
      </c>
      <c r="DD66">
        <f t="shared" si="113"/>
        <v>6.0000000000000001E-3</v>
      </c>
      <c r="DE66">
        <f t="shared" si="113"/>
        <v>6.0000000000000001E-3</v>
      </c>
      <c r="DF66">
        <f t="shared" si="113"/>
        <v>6.0000000000000001E-3</v>
      </c>
      <c r="DG66">
        <f t="shared" si="113"/>
        <v>6.0000000000000001E-3</v>
      </c>
      <c r="DH66">
        <f t="shared" si="113"/>
        <v>6.0000000000000001E-3</v>
      </c>
      <c r="DI66">
        <f t="shared" si="113"/>
        <v>6.0000000000000001E-3</v>
      </c>
      <c r="DJ66">
        <f t="shared" si="113"/>
        <v>6.0000000000000001E-3</v>
      </c>
      <c r="DK66">
        <f t="shared" si="113"/>
        <v>6.0000000000000001E-3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f t="shared" ref="DV66:EE66" si="114">0.3</f>
        <v>0.3</v>
      </c>
      <c r="DW66">
        <f t="shared" si="114"/>
        <v>0.3</v>
      </c>
      <c r="DX66">
        <f t="shared" si="114"/>
        <v>0.3</v>
      </c>
      <c r="DY66">
        <f t="shared" si="114"/>
        <v>0.3</v>
      </c>
      <c r="DZ66">
        <f t="shared" si="114"/>
        <v>0.3</v>
      </c>
      <c r="EA66">
        <f t="shared" si="114"/>
        <v>0.3</v>
      </c>
      <c r="EB66">
        <f t="shared" si="114"/>
        <v>0.3</v>
      </c>
      <c r="EC66">
        <f t="shared" si="114"/>
        <v>0.3</v>
      </c>
      <c r="ED66">
        <f t="shared" si="114"/>
        <v>0.3</v>
      </c>
      <c r="EE66">
        <f t="shared" si="114"/>
        <v>0.3</v>
      </c>
      <c r="EF66">
        <f>66</f>
        <v>66</v>
      </c>
      <c r="EG66">
        <f>66</f>
        <v>66</v>
      </c>
      <c r="EH66">
        <f>66</f>
        <v>66</v>
      </c>
      <c r="EI66">
        <v>0</v>
      </c>
      <c r="EJ66">
        <f>66</f>
        <v>66</v>
      </c>
      <c r="EK66">
        <v>0</v>
      </c>
      <c r="EL66">
        <f>66</f>
        <v>66</v>
      </c>
      <c r="EM66">
        <v>0</v>
      </c>
      <c r="EN66">
        <f>66</f>
        <v>66</v>
      </c>
      <c r="EO66">
        <v>0</v>
      </c>
      <c r="EP66">
        <v>0.73950000000000005</v>
      </c>
      <c r="EQ66">
        <v>0.73950000000000005</v>
      </c>
      <c r="ER66">
        <v>0.73950000000000005</v>
      </c>
      <c r="ES66">
        <v>0</v>
      </c>
      <c r="ET66">
        <v>0.73950000000000005</v>
      </c>
      <c r="EU66">
        <v>0</v>
      </c>
      <c r="EV66">
        <v>0.73950000000000005</v>
      </c>
      <c r="EW66">
        <v>0</v>
      </c>
      <c r="EX66">
        <v>0.73950000000000005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0.09</v>
      </c>
      <c r="FK66">
        <v>0.09</v>
      </c>
      <c r="FL66">
        <v>0.09</v>
      </c>
      <c r="FM66">
        <v>0.09</v>
      </c>
      <c r="FN66">
        <v>0.09</v>
      </c>
      <c r="FO66">
        <v>0.09</v>
      </c>
      <c r="FP66">
        <v>0.09</v>
      </c>
      <c r="FQ66">
        <v>0.09</v>
      </c>
      <c r="FR66">
        <v>0.09</v>
      </c>
      <c r="FS66">
        <v>0.09</v>
      </c>
    </row>
    <row r="67" spans="1:175" x14ac:dyDescent="0.3">
      <c r="A67" s="171"/>
      <c r="B67" s="12" t="s">
        <v>15</v>
      </c>
      <c r="C67" s="11" t="s">
        <v>276</v>
      </c>
      <c r="D67" s="6" t="s">
        <v>44</v>
      </c>
      <c r="E67" s="9">
        <f t="shared" si="5"/>
        <v>59</v>
      </c>
      <c r="F67" s="13">
        <v>1</v>
      </c>
      <c r="G67" s="13" t="s">
        <v>25</v>
      </c>
      <c r="H67">
        <v>0</v>
      </c>
      <c r="I67" t="s">
        <v>12</v>
      </c>
      <c r="J67">
        <v>-1</v>
      </c>
      <c r="K67">
        <v>0</v>
      </c>
      <c r="L67" s="10">
        <v>0</v>
      </c>
      <c r="M67">
        <v>0</v>
      </c>
      <c r="N67">
        <v>0</v>
      </c>
      <c r="O67">
        <f>O69/2</f>
        <v>10000000</v>
      </c>
      <c r="P67" s="10">
        <v>0</v>
      </c>
      <c r="Q67" s="10">
        <v>0</v>
      </c>
      <c r="R67" s="10">
        <v>0</v>
      </c>
      <c r="S67" s="10">
        <v>0</v>
      </c>
      <c r="T67" s="10">
        <v>0</v>
      </c>
      <c r="U67" s="10">
        <v>0</v>
      </c>
      <c r="V67" s="10">
        <v>0</v>
      </c>
      <c r="W67" s="10">
        <v>0</v>
      </c>
      <c r="X67" s="10">
        <v>0</v>
      </c>
      <c r="Y67" s="10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 s="14">
        <v>0</v>
      </c>
      <c r="AU67" s="14">
        <v>0</v>
      </c>
      <c r="AV67" s="14">
        <v>0</v>
      </c>
      <c r="AW67" s="14">
        <v>0</v>
      </c>
      <c r="AX67" s="14">
        <v>0</v>
      </c>
      <c r="AY67" s="14">
        <v>0</v>
      </c>
      <c r="AZ67" s="14">
        <v>0</v>
      </c>
      <c r="BA67" s="14">
        <v>0</v>
      </c>
      <c r="BB67" s="14">
        <v>0</v>
      </c>
      <c r="BC67" s="14">
        <v>0</v>
      </c>
      <c r="BD67" s="14">
        <v>1</v>
      </c>
      <c r="BE67" s="14">
        <v>1</v>
      </c>
      <c r="BF67" s="14">
        <v>1</v>
      </c>
      <c r="BG67" s="14">
        <v>1</v>
      </c>
      <c r="BH67" s="14">
        <v>1</v>
      </c>
      <c r="BI67" s="14">
        <v>1</v>
      </c>
      <c r="BJ67" s="14">
        <v>1</v>
      </c>
      <c r="BK67" s="14">
        <v>1</v>
      </c>
      <c r="BL67" s="14">
        <v>1</v>
      </c>
      <c r="BM67" s="14">
        <v>1</v>
      </c>
      <c r="BN67" s="14">
        <v>1</v>
      </c>
      <c r="BO67" s="14">
        <v>1</v>
      </c>
      <c r="BP67" s="14">
        <v>1</v>
      </c>
      <c r="BQ67" s="14">
        <v>1</v>
      </c>
      <c r="BR67" s="14">
        <v>1</v>
      </c>
      <c r="BS67" s="14">
        <v>1</v>
      </c>
      <c r="BT67" s="14">
        <v>1</v>
      </c>
      <c r="BU67" s="14">
        <v>1</v>
      </c>
      <c r="BV67" s="14">
        <v>1</v>
      </c>
      <c r="BW67" s="14">
        <v>1</v>
      </c>
      <c r="BX67">
        <v>0.06</v>
      </c>
      <c r="BY67">
        <v>0.06</v>
      </c>
      <c r="BZ67">
        <v>3.5000000000000003E-2</v>
      </c>
      <c r="CA67">
        <v>0.05</v>
      </c>
      <c r="CB67">
        <v>0.05</v>
      </c>
      <c r="CC67">
        <v>0.05</v>
      </c>
      <c r="CD67">
        <f>(CB67+CF67)/2</f>
        <v>3.7500000000000006E-2</v>
      </c>
      <c r="CE67">
        <v>2.5000000000000001E-2</v>
      </c>
      <c r="CF67">
        <v>2.5000000000000001E-2</v>
      </c>
      <c r="CG67">
        <v>2.5000000000000001E-2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f>$EG67*B$3</f>
        <v>0</v>
      </c>
      <c r="EK67">
        <v>0</v>
      </c>
      <c r="EL67">
        <f>$EG67*C$3</f>
        <v>0</v>
      </c>
      <c r="EM67">
        <v>0</v>
      </c>
      <c r="EN67">
        <f>$EG67*D$3</f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f>$EQ67*B$3</f>
        <v>0</v>
      </c>
      <c r="EU67">
        <v>0</v>
      </c>
      <c r="EV67">
        <f>$EQ67*C$3</f>
        <v>0</v>
      </c>
      <c r="EW67">
        <v>0</v>
      </c>
      <c r="EX67">
        <f>$EQ67*D$3</f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</row>
    <row r="68" spans="1:175" x14ac:dyDescent="0.3">
      <c r="A68" s="171"/>
      <c r="B68" s="12" t="s">
        <v>16</v>
      </c>
      <c r="C68" s="11" t="s">
        <v>276</v>
      </c>
      <c r="D68" s="6" t="s">
        <v>45</v>
      </c>
      <c r="E68" s="9">
        <f t="shared" si="5"/>
        <v>60</v>
      </c>
      <c r="F68" s="13">
        <v>1</v>
      </c>
      <c r="G68" s="13" t="s">
        <v>26</v>
      </c>
      <c r="H68">
        <v>0</v>
      </c>
      <c r="I68" t="s">
        <v>12</v>
      </c>
      <c r="J68">
        <v>1</v>
      </c>
      <c r="K68">
        <v>0</v>
      </c>
      <c r="L68" s="10">
        <v>0</v>
      </c>
      <c r="M68">
        <v>0</v>
      </c>
      <c r="N68">
        <v>0</v>
      </c>
      <c r="O68">
        <f>3*O69</f>
        <v>60000000</v>
      </c>
      <c r="P68" s="10">
        <v>0</v>
      </c>
      <c r="Q68" s="10">
        <v>0</v>
      </c>
      <c r="R68" s="10">
        <v>0</v>
      </c>
      <c r="S68" s="10">
        <v>0</v>
      </c>
      <c r="T68" s="10">
        <v>0</v>
      </c>
      <c r="U68" s="10">
        <v>0</v>
      </c>
      <c r="V68" s="10">
        <v>0</v>
      </c>
      <c r="W68" s="10">
        <v>0</v>
      </c>
      <c r="X68" s="10">
        <v>0</v>
      </c>
      <c r="Y68" s="10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 s="14">
        <v>0</v>
      </c>
      <c r="AU68" s="14">
        <v>0</v>
      </c>
      <c r="AV68" s="14">
        <v>0</v>
      </c>
      <c r="AW68" s="14">
        <v>0</v>
      </c>
      <c r="AX68" s="14">
        <v>0</v>
      </c>
      <c r="AY68" s="14">
        <v>0</v>
      </c>
      <c r="AZ68" s="14">
        <v>0</v>
      </c>
      <c r="BA68" s="14">
        <v>0</v>
      </c>
      <c r="BB68" s="14">
        <v>0</v>
      </c>
      <c r="BC68" s="14">
        <v>0</v>
      </c>
      <c r="BD68" s="14">
        <v>1</v>
      </c>
      <c r="BE68" s="14">
        <v>1</v>
      </c>
      <c r="BF68" s="14">
        <v>1</v>
      </c>
      <c r="BG68" s="14">
        <v>1</v>
      </c>
      <c r="BH68" s="14">
        <v>1</v>
      </c>
      <c r="BI68" s="14">
        <v>1</v>
      </c>
      <c r="BJ68" s="14">
        <v>1</v>
      </c>
      <c r="BK68" s="14">
        <v>1</v>
      </c>
      <c r="BL68" s="14">
        <v>1</v>
      </c>
      <c r="BM68" s="14">
        <v>1</v>
      </c>
      <c r="BN68" s="14">
        <v>1</v>
      </c>
      <c r="BO68" s="14">
        <v>1</v>
      </c>
      <c r="BP68" s="14">
        <v>1</v>
      </c>
      <c r="BQ68" s="14">
        <v>1</v>
      </c>
      <c r="BR68" s="14">
        <v>1</v>
      </c>
      <c r="BS68" s="14">
        <v>1</v>
      </c>
      <c r="BT68" s="14">
        <v>1</v>
      </c>
      <c r="BU68" s="14">
        <v>1</v>
      </c>
      <c r="BV68" s="14">
        <v>1</v>
      </c>
      <c r="BW68" s="14">
        <v>1</v>
      </c>
      <c r="BX68">
        <v>0.06</v>
      </c>
      <c r="BY68">
        <v>0.06</v>
      </c>
      <c r="BZ68">
        <v>0.04</v>
      </c>
      <c r="CA68">
        <v>0.05</v>
      </c>
      <c r="CB68">
        <v>0.05</v>
      </c>
      <c r="CC68">
        <v>0.05</v>
      </c>
      <c r="CD68">
        <f>(CB68+CF68)/2</f>
        <v>3.7500000000000006E-2</v>
      </c>
      <c r="CE68">
        <v>2.5000000000000001E-2</v>
      </c>
      <c r="CF68">
        <v>2.5000000000000001E-2</v>
      </c>
      <c r="CG68">
        <v>2.5000000000000001E-2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f>$EG68*B$3</f>
        <v>0</v>
      </c>
      <c r="EK68">
        <v>0</v>
      </c>
      <c r="EL68">
        <f>$EG68*C$3</f>
        <v>0</v>
      </c>
      <c r="EM68">
        <v>0</v>
      </c>
      <c r="EN68">
        <f>$EG68*D$3</f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f>$EQ68*B$3</f>
        <v>0</v>
      </c>
      <c r="EU68">
        <v>0</v>
      </c>
      <c r="EV68">
        <f>$EQ68*C$3</f>
        <v>0</v>
      </c>
      <c r="EW68">
        <v>0</v>
      </c>
      <c r="EX68">
        <f>$EQ68*D$3</f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</row>
    <row r="69" spans="1:175" x14ac:dyDescent="0.3">
      <c r="A69" s="171"/>
      <c r="B69" s="12" t="s">
        <v>17</v>
      </c>
      <c r="C69" s="11" t="s">
        <v>276</v>
      </c>
      <c r="D69" s="2" t="s">
        <v>46</v>
      </c>
      <c r="E69" s="9">
        <f t="shared" si="5"/>
        <v>61</v>
      </c>
      <c r="F69" s="13">
        <v>1</v>
      </c>
      <c r="G69" s="13" t="s">
        <v>27</v>
      </c>
      <c r="H69">
        <v>0</v>
      </c>
      <c r="I69" t="s">
        <v>12</v>
      </c>
      <c r="J69">
        <v>0</v>
      </c>
      <c r="K69">
        <v>0</v>
      </c>
      <c r="L69" s="10">
        <v>0</v>
      </c>
      <c r="M69">
        <v>0</v>
      </c>
      <c r="N69">
        <v>0</v>
      </c>
      <c r="O69">
        <v>20000000</v>
      </c>
      <c r="P69" s="10">
        <v>0</v>
      </c>
      <c r="Q69" s="10">
        <v>0</v>
      </c>
      <c r="R69" s="10">
        <v>0</v>
      </c>
      <c r="S69" s="10">
        <v>0</v>
      </c>
      <c r="T69" s="10">
        <v>0</v>
      </c>
      <c r="U69" s="10">
        <v>0</v>
      </c>
      <c r="V69" s="10">
        <v>0</v>
      </c>
      <c r="W69" s="10">
        <v>0</v>
      </c>
      <c r="X69" s="10">
        <v>0</v>
      </c>
      <c r="Y69" s="10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 s="14">
        <v>0.2</v>
      </c>
      <c r="AU69" s="14">
        <v>0.1</v>
      </c>
      <c r="AV69" s="14">
        <v>0.1</v>
      </c>
      <c r="AW69" s="14">
        <v>0</v>
      </c>
      <c r="AX69" s="14">
        <v>0</v>
      </c>
      <c r="AY69" s="14">
        <v>0</v>
      </c>
      <c r="AZ69" s="14">
        <v>0</v>
      </c>
      <c r="BA69" s="14">
        <v>0</v>
      </c>
      <c r="BB69" s="14">
        <v>0</v>
      </c>
      <c r="BC69" s="14">
        <v>0</v>
      </c>
      <c r="BD69" s="14">
        <v>1</v>
      </c>
      <c r="BE69" s="14">
        <v>1</v>
      </c>
      <c r="BF69" s="14">
        <v>1</v>
      </c>
      <c r="BG69" s="14">
        <v>1</v>
      </c>
      <c r="BH69" s="14">
        <v>1</v>
      </c>
      <c r="BI69" s="14">
        <v>1</v>
      </c>
      <c r="BJ69" s="14">
        <v>1</v>
      </c>
      <c r="BK69" s="14">
        <v>1</v>
      </c>
      <c r="BL69" s="14">
        <v>1</v>
      </c>
      <c r="BM69" s="14">
        <v>1</v>
      </c>
      <c r="BN69" s="14">
        <v>1</v>
      </c>
      <c r="BO69" s="14">
        <v>1</v>
      </c>
      <c r="BP69" s="14">
        <v>1</v>
      </c>
      <c r="BQ69" s="14">
        <v>1</v>
      </c>
      <c r="BR69" s="14">
        <v>1</v>
      </c>
      <c r="BS69" s="14">
        <v>1</v>
      </c>
      <c r="BT69" s="14">
        <v>1</v>
      </c>
      <c r="BU69" s="14">
        <v>1</v>
      </c>
      <c r="BV69" s="14">
        <v>1</v>
      </c>
      <c r="BW69" s="14">
        <v>1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750</v>
      </c>
      <c r="CI69">
        <v>550</v>
      </c>
      <c r="CJ69">
        <v>300</v>
      </c>
      <c r="CK69">
        <v>648.61538000000007</v>
      </c>
      <c r="CL69">
        <v>180</v>
      </c>
      <c r="CM69">
        <v>148</v>
      </c>
      <c r="CN69">
        <f>(CL69+CQ69)/2</f>
        <v>164</v>
      </c>
      <c r="CO69">
        <v>265.91145</v>
      </c>
      <c r="CP69">
        <v>180</v>
      </c>
      <c r="CQ69">
        <v>148</v>
      </c>
      <c r="CR69">
        <f>CH69*0.02</f>
        <v>15</v>
      </c>
      <c r="CS69">
        <f>CI69*0.015</f>
        <v>8.25</v>
      </c>
      <c r="CT69">
        <f>CJ69*0.015</f>
        <v>4.5</v>
      </c>
      <c r="CU69">
        <f>CK69*0.015</f>
        <v>9.7292307000000005</v>
      </c>
      <c r="CV69">
        <f>CL69*0.015</f>
        <v>2.6999999999999997</v>
      </c>
      <c r="CW69">
        <f>CM69*0.01</f>
        <v>1.48</v>
      </c>
      <c r="CX69">
        <f>CN69*0.015</f>
        <v>2.46</v>
      </c>
      <c r="CY69">
        <f>CO69*0.015</f>
        <v>3.98867175</v>
      </c>
      <c r="CZ69">
        <f>CP69*0.015</f>
        <v>2.6999999999999997</v>
      </c>
      <c r="DA69">
        <f>CQ69*0.01</f>
        <v>1.48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11.908571428571429</v>
      </c>
      <c r="EG69">
        <v>2.6463492063492065</v>
      </c>
      <c r="EH69">
        <v>1.8503884572697002</v>
      </c>
      <c r="EI69">
        <v>0</v>
      </c>
      <c r="EJ69">
        <v>1.5728301886792453</v>
      </c>
      <c r="EK69">
        <v>0</v>
      </c>
      <c r="EL69">
        <v>1.3106918238993712</v>
      </c>
      <c r="EM69">
        <v>0</v>
      </c>
      <c r="EN69">
        <v>1.0485534591194969</v>
      </c>
      <c r="EO69">
        <v>0</v>
      </c>
      <c r="EP69">
        <v>0</v>
      </c>
      <c r="EQ69">
        <v>0</v>
      </c>
      <c r="ER69">
        <v>0</v>
      </c>
      <c r="ES69">
        <v>0</v>
      </c>
      <c r="ET69">
        <f>$EQ69*B$3</f>
        <v>0</v>
      </c>
      <c r="EU69">
        <v>0</v>
      </c>
      <c r="EV69">
        <f>$EQ69*C$3</f>
        <v>0</v>
      </c>
      <c r="EW69">
        <v>0</v>
      </c>
      <c r="EX69">
        <f>$EQ69*D$3</f>
        <v>0</v>
      </c>
      <c r="EY69">
        <v>0</v>
      </c>
      <c r="EZ69">
        <v>2.5999999999999999E-2</v>
      </c>
      <c r="FA69">
        <v>1.7333333333333333E-2</v>
      </c>
      <c r="FB69">
        <v>1.0399999999999998E-2</v>
      </c>
      <c r="FC69">
        <v>0</v>
      </c>
      <c r="FD69">
        <v>1.7333333333333333E-2</v>
      </c>
      <c r="FE69">
        <v>0</v>
      </c>
      <c r="FF69">
        <v>1.7333333333333333E-2</v>
      </c>
      <c r="FG69">
        <v>0</v>
      </c>
      <c r="FH69">
        <v>1.7333333333333333E-2</v>
      </c>
      <c r="FI69">
        <v>0</v>
      </c>
      <c r="FJ69">
        <v>0.19207240142841048</v>
      </c>
      <c r="FK69">
        <v>0.11682954493601999</v>
      </c>
      <c r="FL69">
        <v>0.1096294314987091</v>
      </c>
      <c r="FM69" s="51">
        <v>0.10185220882315059</v>
      </c>
      <c r="FN69" s="51">
        <v>0.10185220882315059</v>
      </c>
      <c r="FO69" s="51">
        <v>0.10185220882315059</v>
      </c>
      <c r="FP69">
        <f>(FN69+FR69)/2</f>
        <v>9.5339821105211428E-2</v>
      </c>
      <c r="FQ69">
        <v>8.8827433387272267E-2</v>
      </c>
      <c r="FR69">
        <v>8.8827433387272267E-2</v>
      </c>
      <c r="FS69">
        <v>8.8827433387272267E-2</v>
      </c>
    </row>
  </sheetData>
  <mergeCells count="22">
    <mergeCell ref="AJ4:AS4"/>
    <mergeCell ref="Z4:AI4"/>
    <mergeCell ref="CR4:CZ4"/>
    <mergeCell ref="FJ4:FS4"/>
    <mergeCell ref="DB4:DJ4"/>
    <mergeCell ref="DL4:DT4"/>
    <mergeCell ref="DV4:ED4"/>
    <mergeCell ref="EF4:EN4"/>
    <mergeCell ref="EP4:EX4"/>
    <mergeCell ref="EZ4:FH4"/>
    <mergeCell ref="AT4:BB4"/>
    <mergeCell ref="BD4:BL4"/>
    <mergeCell ref="BN4:BV4"/>
    <mergeCell ref="BX4:CF4"/>
    <mergeCell ref="CH4:CP4"/>
    <mergeCell ref="P4:Y4"/>
    <mergeCell ref="A45:A69"/>
    <mergeCell ref="A4:C4"/>
    <mergeCell ref="D5:D8"/>
    <mergeCell ref="B5:B8"/>
    <mergeCell ref="C5:C8"/>
    <mergeCell ref="A9:A44"/>
  </mergeCells>
  <conditionalFormatting sqref="A2">
    <cfRule type="cellIs" dxfId="13" priority="3" operator="equal">
      <formula>TRUE</formula>
    </cfRule>
    <cfRule type="cellIs" dxfId="12" priority="4" operator="equal">
      <formula>FALSE</formula>
    </cfRule>
  </conditionalFormatting>
  <conditionalFormatting sqref="B2">
    <cfRule type="cellIs" dxfId="11" priority="1" operator="equal">
      <formula>FALSE</formula>
    </cfRule>
    <cfRule type="cellIs" dxfId="10" priority="2" operator="equal">
      <formula>TRUE</formula>
    </cfRule>
  </conditionalFormatting>
  <pageMargins left="0.7" right="0.7" top="0.75" bottom="0.75" header="0.3" footer="0.3"/>
  <pageSetup paperSize="9" orientation="portrait" horizontalDpi="429496729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N66"/>
  <sheetViews>
    <sheetView workbookViewId="0">
      <pane xSplit="2" topLeftCell="C1" activePane="topRight" state="frozen"/>
      <selection activeCell="A4" sqref="A4"/>
      <selection pane="topRight" activeCell="C27" sqref="C27"/>
    </sheetView>
  </sheetViews>
  <sheetFormatPr defaultColWidth="8.77734375" defaultRowHeight="14.4" x14ac:dyDescent="0.3"/>
  <cols>
    <col min="1" max="1" width="27.33203125" customWidth="1"/>
    <col min="2" max="2" width="33.21875" customWidth="1"/>
    <col min="3" max="3" width="21.5546875" customWidth="1"/>
    <col min="4" max="4" width="15.109375" bestFit="1" customWidth="1"/>
    <col min="5" max="5" width="16.21875" bestFit="1" customWidth="1"/>
    <col min="6" max="6" width="16.21875" customWidth="1"/>
    <col min="7" max="7" width="13.44140625" bestFit="1" customWidth="1"/>
    <col min="8" max="8" width="14.5546875" bestFit="1" customWidth="1"/>
    <col min="10" max="10" width="15.44140625" customWidth="1"/>
    <col min="11" max="11" width="14.109375" customWidth="1"/>
    <col min="12" max="12" width="17.77734375" customWidth="1"/>
    <col min="13" max="13" width="15.44140625" customWidth="1"/>
  </cols>
  <sheetData>
    <row r="1" spans="1:14" x14ac:dyDescent="0.3">
      <c r="A1" s="17" t="s">
        <v>234</v>
      </c>
      <c r="B1" s="5" t="s">
        <v>170</v>
      </c>
      <c r="C1" t="s">
        <v>532</v>
      </c>
      <c r="D1" t="s">
        <v>103</v>
      </c>
      <c r="E1" t="s">
        <v>103</v>
      </c>
      <c r="F1" t="s">
        <v>103</v>
      </c>
      <c r="G1" t="s">
        <v>103</v>
      </c>
      <c r="H1" t="s">
        <v>103</v>
      </c>
      <c r="I1" t="s">
        <v>103</v>
      </c>
      <c r="J1" t="s">
        <v>103</v>
      </c>
      <c r="K1" t="s">
        <v>103</v>
      </c>
      <c r="L1" t="s">
        <v>103</v>
      </c>
      <c r="M1" t="s">
        <v>103</v>
      </c>
      <c r="N1" t="s">
        <v>103</v>
      </c>
    </row>
    <row r="2" spans="1:14" x14ac:dyDescent="0.3">
      <c r="A2" s="53" t="str">
        <f>B22</f>
        <v>Waste water plant</v>
      </c>
      <c r="B2" s="5" t="s">
        <v>153</v>
      </c>
      <c r="C2" s="33">
        <v>28.8</v>
      </c>
      <c r="D2" s="33">
        <v>19.899999999999999</v>
      </c>
      <c r="E2" s="33">
        <v>19.899999999999999</v>
      </c>
      <c r="F2" s="33">
        <v>19.899999999999999</v>
      </c>
      <c r="G2" s="33">
        <v>19.899999999999999</v>
      </c>
      <c r="H2" s="33">
        <v>19.899999999999999</v>
      </c>
      <c r="I2" s="33">
        <v>19.899999999999999</v>
      </c>
      <c r="J2" s="33">
        <v>19.899999999999999</v>
      </c>
      <c r="K2" s="33">
        <v>19.899999999999999</v>
      </c>
      <c r="L2" s="33">
        <v>19.899999999999999</v>
      </c>
      <c r="M2" s="33">
        <v>19.899999999999999</v>
      </c>
      <c r="N2" s="33">
        <v>19.899999999999999</v>
      </c>
    </row>
    <row r="3" spans="1:14" x14ac:dyDescent="0.3">
      <c r="A3" s="17" t="s">
        <v>235</v>
      </c>
      <c r="B3" t="s">
        <v>107</v>
      </c>
      <c r="C3" t="s">
        <v>104</v>
      </c>
      <c r="D3" t="s">
        <v>87</v>
      </c>
      <c r="E3" t="s">
        <v>104</v>
      </c>
      <c r="F3" t="s">
        <v>233</v>
      </c>
      <c r="G3" t="s">
        <v>87</v>
      </c>
      <c r="H3" t="s">
        <v>104</v>
      </c>
      <c r="I3" t="s">
        <v>233</v>
      </c>
      <c r="J3" t="s">
        <v>104</v>
      </c>
      <c r="K3" t="s">
        <v>87</v>
      </c>
      <c r="L3" t="s">
        <v>122</v>
      </c>
      <c r="M3" t="s">
        <v>104</v>
      </c>
      <c r="N3" t="s">
        <v>104</v>
      </c>
    </row>
    <row r="4" spans="1:14" x14ac:dyDescent="0.3">
      <c r="A4" s="53" t="s">
        <v>162</v>
      </c>
      <c r="B4" t="s">
        <v>123</v>
      </c>
      <c r="C4" t="s">
        <v>533</v>
      </c>
      <c r="D4" t="s">
        <v>93</v>
      </c>
      <c r="E4" t="s">
        <v>93</v>
      </c>
      <c r="F4" t="s">
        <v>93</v>
      </c>
      <c r="G4" t="s">
        <v>124</v>
      </c>
      <c r="H4" t="s">
        <v>124</v>
      </c>
      <c r="I4" t="s">
        <v>124</v>
      </c>
      <c r="J4" t="s">
        <v>529</v>
      </c>
      <c r="K4" t="s">
        <v>529</v>
      </c>
      <c r="L4" t="s">
        <v>529</v>
      </c>
      <c r="M4" t="s">
        <v>512</v>
      </c>
      <c r="N4" t="s">
        <v>528</v>
      </c>
    </row>
    <row r="5" spans="1:14" x14ac:dyDescent="0.3">
      <c r="A5" s="3"/>
      <c r="B5" s="5" t="s">
        <v>125</v>
      </c>
      <c r="C5" t="str">
        <f t="shared" ref="C5:L5" si="0">C1&amp;"_"&amp;C3&amp;"_"&amp;C4</f>
        <v>DME_SOEC_W2</v>
      </c>
      <c r="D5" t="str">
        <f t="shared" si="0"/>
        <v>MeOH_AEC_DAC</v>
      </c>
      <c r="E5" t="str">
        <f t="shared" si="0"/>
        <v>MeOH_SOEC_DAC</v>
      </c>
      <c r="F5" t="str">
        <f t="shared" si="0"/>
        <v>MeOH_Mix_DAC</v>
      </c>
      <c r="G5" t="str">
        <f t="shared" si="0"/>
        <v>MeOH_AEC_PS</v>
      </c>
      <c r="H5" t="str">
        <f t="shared" si="0"/>
        <v>MeOH_SOEC_PS</v>
      </c>
      <c r="I5" t="str">
        <f t="shared" si="0"/>
        <v>MeOH_Mix_PS</v>
      </c>
      <c r="J5" t="str">
        <f t="shared" si="0"/>
        <v>MeOH_SOEC_Biogas</v>
      </c>
      <c r="K5" t="str">
        <f t="shared" si="0"/>
        <v>MeOH_AEC_Biogas</v>
      </c>
      <c r="L5" t="str">
        <f t="shared" si="0"/>
        <v>MeOH_None_Biogas</v>
      </c>
      <c r="M5" t="str">
        <f t="shared" ref="M5:N5" si="1">M1&amp;"_"&amp;M3&amp;"_"&amp;M4</f>
        <v>MeOH_SOEC_HT</v>
      </c>
      <c r="N5" t="str">
        <f t="shared" si="1"/>
        <v>MeOH_SOEC_Biomass</v>
      </c>
    </row>
    <row r="6" spans="1:14" x14ac:dyDescent="0.3">
      <c r="A6" s="2">
        <f>ROW(B6)-ROW($A$5)</f>
        <v>1</v>
      </c>
      <c r="B6" s="2" t="str">
        <f>Data_base_case!D9</f>
        <v>CO2 capture DAC</v>
      </c>
      <c r="C6" s="2">
        <f t="shared" ref="C6:M6" si="2">IF(AND(C1="MeOH",C4="DAC"),1,0)</f>
        <v>0</v>
      </c>
      <c r="D6" s="2">
        <f t="shared" si="2"/>
        <v>1</v>
      </c>
      <c r="E6" s="2">
        <f t="shared" si="2"/>
        <v>1</v>
      </c>
      <c r="F6" s="2">
        <f t="shared" si="2"/>
        <v>1</v>
      </c>
      <c r="G6" s="2">
        <f t="shared" si="2"/>
        <v>0</v>
      </c>
      <c r="H6" s="2">
        <f t="shared" si="2"/>
        <v>0</v>
      </c>
      <c r="I6" s="2">
        <f t="shared" si="2"/>
        <v>0</v>
      </c>
      <c r="J6" s="2">
        <f t="shared" ref="J6" si="3">IF(AND(J1="MeOH",J4="DAC"),1,0)</f>
        <v>0</v>
      </c>
      <c r="K6" s="2">
        <f t="shared" si="2"/>
        <v>0</v>
      </c>
      <c r="L6" s="2">
        <f t="shared" si="2"/>
        <v>0</v>
      </c>
      <c r="M6" s="2">
        <f t="shared" si="2"/>
        <v>0</v>
      </c>
      <c r="N6" s="2">
        <f t="shared" ref="N6" si="4">IF(AND(N1="MeOH",N4="DAC"),1,0)</f>
        <v>0</v>
      </c>
    </row>
    <row r="7" spans="1:14" x14ac:dyDescent="0.3">
      <c r="A7" s="2">
        <f t="shared" ref="A7:A66" si="5">ROW(B7)-ROW($A$5)</f>
        <v>2</v>
      </c>
      <c r="B7" s="2" t="str">
        <f>Data_base_case!D10</f>
        <v>CO2 capture PS</v>
      </c>
      <c r="C7" s="2">
        <f t="shared" ref="C7:M7" si="6">IF(AND(C1="MeOH",C4="PS"),1,0)</f>
        <v>0</v>
      </c>
      <c r="D7" s="2">
        <f t="shared" si="6"/>
        <v>0</v>
      </c>
      <c r="E7" s="2">
        <f t="shared" si="6"/>
        <v>0</v>
      </c>
      <c r="F7" s="2">
        <f t="shared" si="6"/>
        <v>0</v>
      </c>
      <c r="G7" s="2">
        <f t="shared" si="6"/>
        <v>1</v>
      </c>
      <c r="H7" s="2">
        <f t="shared" si="6"/>
        <v>1</v>
      </c>
      <c r="I7" s="2">
        <f t="shared" si="6"/>
        <v>1</v>
      </c>
      <c r="J7" s="2">
        <f t="shared" ref="J7" si="7">IF(AND(J1="MeOH",J4="PS"),1,0)</f>
        <v>0</v>
      </c>
      <c r="K7" s="2">
        <f t="shared" si="6"/>
        <v>0</v>
      </c>
      <c r="L7" s="2">
        <f t="shared" si="6"/>
        <v>0</v>
      </c>
      <c r="M7" s="2">
        <f t="shared" si="6"/>
        <v>0</v>
      </c>
      <c r="N7" s="2">
        <f t="shared" ref="N7" si="8">IF(AND(N1="MeOH",N4="PS"),1,0)</f>
        <v>0</v>
      </c>
    </row>
    <row r="8" spans="1:14" x14ac:dyDescent="0.3">
      <c r="A8" s="2">
        <f t="shared" si="5"/>
        <v>3</v>
      </c>
      <c r="B8" s="2" t="str">
        <f>Data_base_case!D11</f>
        <v>MeOH plant CCU</v>
      </c>
      <c r="C8" s="2">
        <f t="shared" ref="C8:I8" si="9">IF(AND(C1="MeOH"),1,0)</f>
        <v>0</v>
      </c>
      <c r="D8" s="2">
        <f t="shared" si="9"/>
        <v>1</v>
      </c>
      <c r="E8" s="2">
        <f t="shared" si="9"/>
        <v>1</v>
      </c>
      <c r="F8" s="2">
        <f t="shared" si="9"/>
        <v>1</v>
      </c>
      <c r="G8" s="2">
        <f t="shared" si="9"/>
        <v>1</v>
      </c>
      <c r="H8" s="2">
        <f t="shared" si="9"/>
        <v>1</v>
      </c>
      <c r="I8" s="2">
        <f t="shared" si="9"/>
        <v>1</v>
      </c>
      <c r="J8" s="2">
        <v>0</v>
      </c>
      <c r="K8" s="2">
        <v>0</v>
      </c>
      <c r="L8" s="2">
        <v>0</v>
      </c>
      <c r="M8" s="2">
        <v>0</v>
      </c>
      <c r="N8" s="2">
        <v>0</v>
      </c>
    </row>
    <row r="9" spans="1:14" x14ac:dyDescent="0.3">
      <c r="A9" s="2">
        <f t="shared" si="5"/>
        <v>4</v>
      </c>
      <c r="B9" s="2" t="str">
        <f>Data_base_case!D12</f>
        <v>MeOH plant - Biogas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1</v>
      </c>
      <c r="K9" s="2">
        <v>1</v>
      </c>
      <c r="L9" s="2">
        <v>0</v>
      </c>
      <c r="M9" s="2">
        <v>0</v>
      </c>
      <c r="N9" s="2">
        <v>0</v>
      </c>
    </row>
    <row r="10" spans="1:14" x14ac:dyDescent="0.3">
      <c r="A10" s="2">
        <f t="shared" si="5"/>
        <v>5</v>
      </c>
      <c r="B10" s="2" t="str">
        <f>Data_base_case!D13</f>
        <v>Biogas w H2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1</v>
      </c>
      <c r="K10" s="2">
        <v>1</v>
      </c>
      <c r="L10" s="2">
        <v>0</v>
      </c>
      <c r="M10" s="2">
        <v>0</v>
      </c>
      <c r="N10" s="2">
        <v>0</v>
      </c>
    </row>
    <row r="11" spans="1:14" x14ac:dyDescent="0.3">
      <c r="A11" s="2">
        <f t="shared" si="5"/>
        <v>6</v>
      </c>
      <c r="B11" s="2" t="str">
        <f>Data_base_case!D14</f>
        <v>MeOH plant - Biogas only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1</v>
      </c>
      <c r="M11" s="2">
        <v>0</v>
      </c>
      <c r="N11" s="2">
        <v>0</v>
      </c>
    </row>
    <row r="12" spans="1:14" x14ac:dyDescent="0.3">
      <c r="A12" s="2">
        <f t="shared" si="5"/>
        <v>7</v>
      </c>
      <c r="B12" s="2" t="str">
        <f>Data_base_case!D15</f>
        <v>Biogas wo H2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</v>
      </c>
      <c r="M12" s="2">
        <v>0</v>
      </c>
      <c r="N12" s="2">
        <v>0</v>
      </c>
    </row>
    <row r="13" spans="1:14" x14ac:dyDescent="0.3">
      <c r="A13" s="2">
        <f t="shared" si="5"/>
        <v>8</v>
      </c>
      <c r="B13" s="2" t="str">
        <f>Data_base_case!D16</f>
        <v>MeOH plant - Topsoe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1</v>
      </c>
      <c r="N13" s="2">
        <v>0</v>
      </c>
    </row>
    <row r="14" spans="1:14" x14ac:dyDescent="0.3">
      <c r="A14" s="2">
        <f t="shared" si="5"/>
        <v>9</v>
      </c>
      <c r="B14" s="2" t="str">
        <f>Data_base_case!D17</f>
        <v>Biogas HT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1</v>
      </c>
      <c r="N14" s="2">
        <v>0</v>
      </c>
    </row>
    <row r="15" spans="1:14" x14ac:dyDescent="0.3">
      <c r="A15" s="2">
        <f t="shared" si="5"/>
        <v>10</v>
      </c>
      <c r="B15" s="2" t="str">
        <f>Data_base_case!D18</f>
        <v>MeOH plant - biomass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1</v>
      </c>
    </row>
    <row r="16" spans="1:14" x14ac:dyDescent="0.3">
      <c r="A16" s="2">
        <f t="shared" si="5"/>
        <v>11</v>
      </c>
      <c r="B16" s="2" t="str">
        <f>Data_base_case!D19</f>
        <v>Biomass wood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1</v>
      </c>
    </row>
    <row r="17" spans="1:14" x14ac:dyDescent="0.3">
      <c r="A17" s="2">
        <f t="shared" si="5"/>
        <v>12</v>
      </c>
      <c r="B17" s="2" t="str">
        <f>Data_base_case!D20</f>
        <v>Biomass wheat 2</v>
      </c>
      <c r="C17" s="2">
        <v>1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</row>
    <row r="18" spans="1:14" x14ac:dyDescent="0.3">
      <c r="A18" s="2">
        <f t="shared" si="5"/>
        <v>13</v>
      </c>
      <c r="B18" s="2" t="str">
        <f>Data_base_case!D21</f>
        <v>Sale of biochar</v>
      </c>
      <c r="C18" s="2">
        <v>1</v>
      </c>
      <c r="D18" s="2">
        <f t="shared" ref="D18:N18" si="10">IF(D2="Bio-eMeOH",1,0)</f>
        <v>0</v>
      </c>
      <c r="E18" s="2">
        <f t="shared" si="10"/>
        <v>0</v>
      </c>
      <c r="F18" s="2">
        <f t="shared" si="10"/>
        <v>0</v>
      </c>
      <c r="G18" s="2">
        <f t="shared" si="10"/>
        <v>0</v>
      </c>
      <c r="H18" s="2">
        <f t="shared" si="10"/>
        <v>0</v>
      </c>
      <c r="I18" s="2">
        <f t="shared" si="10"/>
        <v>0</v>
      </c>
      <c r="J18" s="2">
        <f t="shared" si="10"/>
        <v>0</v>
      </c>
      <c r="K18" s="2">
        <f t="shared" si="10"/>
        <v>0</v>
      </c>
      <c r="L18" s="2">
        <f t="shared" si="10"/>
        <v>0</v>
      </c>
      <c r="M18" s="2">
        <f t="shared" si="10"/>
        <v>0</v>
      </c>
      <c r="N18" s="2">
        <f t="shared" si="10"/>
        <v>0</v>
      </c>
    </row>
    <row r="19" spans="1:14" x14ac:dyDescent="0.3">
      <c r="A19" s="2">
        <f t="shared" si="5"/>
        <v>14</v>
      </c>
      <c r="B19" s="2" t="str">
        <f>Data_base_case!D22</f>
        <v>Wheat2-stage-SOEC</v>
      </c>
      <c r="C19" s="2">
        <v>1</v>
      </c>
      <c r="D19" s="2">
        <f t="shared" ref="D19:N19" si="11">IF(AND(D1="DME-W2",D3="SOEC"),1,0)</f>
        <v>0</v>
      </c>
      <c r="E19" s="2">
        <f t="shared" si="11"/>
        <v>0</v>
      </c>
      <c r="F19" s="2">
        <f t="shared" si="11"/>
        <v>0</v>
      </c>
      <c r="G19" s="2">
        <f t="shared" si="11"/>
        <v>0</v>
      </c>
      <c r="H19" s="2">
        <f t="shared" si="11"/>
        <v>0</v>
      </c>
      <c r="I19" s="2">
        <f t="shared" si="11"/>
        <v>0</v>
      </c>
      <c r="J19" s="2">
        <f t="shared" si="11"/>
        <v>0</v>
      </c>
      <c r="K19" s="2">
        <f t="shared" si="11"/>
        <v>0</v>
      </c>
      <c r="L19" s="2">
        <f t="shared" si="11"/>
        <v>0</v>
      </c>
      <c r="M19" s="2">
        <f t="shared" si="11"/>
        <v>0</v>
      </c>
      <c r="N19" s="2">
        <f t="shared" si="11"/>
        <v>0</v>
      </c>
    </row>
    <row r="20" spans="1:14" x14ac:dyDescent="0.3">
      <c r="A20" s="2">
        <f t="shared" si="5"/>
        <v>15</v>
      </c>
      <c r="B20" s="2" t="str">
        <f>Data_base_case!D23</f>
        <v>H2 client</v>
      </c>
      <c r="C20" s="2">
        <f t="shared" ref="C20:N20" si="12">IF(C1&lt;&gt;"H2",0,1)</f>
        <v>0</v>
      </c>
      <c r="D20" s="2">
        <f t="shared" si="12"/>
        <v>0</v>
      </c>
      <c r="E20" s="2">
        <f t="shared" si="12"/>
        <v>0</v>
      </c>
      <c r="F20" s="2">
        <f t="shared" si="12"/>
        <v>0</v>
      </c>
      <c r="G20" s="2">
        <f t="shared" si="12"/>
        <v>0</v>
      </c>
      <c r="H20" s="2">
        <f t="shared" si="12"/>
        <v>0</v>
      </c>
      <c r="I20" s="2">
        <f t="shared" si="12"/>
        <v>0</v>
      </c>
      <c r="J20" s="2">
        <f t="shared" si="12"/>
        <v>0</v>
      </c>
      <c r="K20" s="2">
        <f t="shared" si="12"/>
        <v>0</v>
      </c>
      <c r="L20" s="2">
        <f t="shared" si="12"/>
        <v>0</v>
      </c>
      <c r="M20" s="2">
        <f t="shared" si="12"/>
        <v>0</v>
      </c>
      <c r="N20" s="2">
        <f t="shared" si="12"/>
        <v>0</v>
      </c>
    </row>
    <row r="21" spans="1:14" x14ac:dyDescent="0.3">
      <c r="A21" s="2">
        <f t="shared" si="5"/>
        <v>16</v>
      </c>
      <c r="B21" s="2" t="str">
        <f>Data_base_case!D24</f>
        <v>Desalination plant</v>
      </c>
      <c r="C21" s="2">
        <f t="shared" ref="C21:N21" si="13">IF($A$2=$B21,1,0)</f>
        <v>0</v>
      </c>
      <c r="D21" s="2">
        <f t="shared" si="13"/>
        <v>0</v>
      </c>
      <c r="E21" s="2">
        <f t="shared" si="13"/>
        <v>0</v>
      </c>
      <c r="F21" s="2">
        <f t="shared" si="13"/>
        <v>0</v>
      </c>
      <c r="G21" s="2">
        <f t="shared" si="13"/>
        <v>0</v>
      </c>
      <c r="H21" s="2">
        <f t="shared" si="13"/>
        <v>0</v>
      </c>
      <c r="I21" s="2">
        <f t="shared" si="13"/>
        <v>0</v>
      </c>
      <c r="J21" s="2">
        <f t="shared" si="13"/>
        <v>0</v>
      </c>
      <c r="K21" s="2">
        <f t="shared" si="13"/>
        <v>0</v>
      </c>
      <c r="L21" s="2">
        <f t="shared" si="13"/>
        <v>0</v>
      </c>
      <c r="M21" s="2">
        <f t="shared" si="13"/>
        <v>0</v>
      </c>
      <c r="N21" s="2">
        <f t="shared" si="13"/>
        <v>0</v>
      </c>
    </row>
    <row r="22" spans="1:14" x14ac:dyDescent="0.3">
      <c r="A22" s="2">
        <f t="shared" si="5"/>
        <v>17</v>
      </c>
      <c r="B22" s="2" t="str">
        <f>Data_base_case!D25</f>
        <v>Waste water plant</v>
      </c>
      <c r="C22" s="2">
        <f t="shared" ref="C22:N23" si="14">IF($A$2=$B22,1,0)</f>
        <v>1</v>
      </c>
      <c r="D22" s="2">
        <f t="shared" si="14"/>
        <v>1</v>
      </c>
      <c r="E22" s="2">
        <f t="shared" si="14"/>
        <v>1</v>
      </c>
      <c r="F22" s="2">
        <f t="shared" si="14"/>
        <v>1</v>
      </c>
      <c r="G22" s="2">
        <f t="shared" si="14"/>
        <v>1</v>
      </c>
      <c r="H22" s="2">
        <f t="shared" si="14"/>
        <v>1</v>
      </c>
      <c r="I22" s="2">
        <f t="shared" si="14"/>
        <v>1</v>
      </c>
      <c r="J22" s="2">
        <f t="shared" si="14"/>
        <v>1</v>
      </c>
      <c r="K22" s="2">
        <f t="shared" si="14"/>
        <v>1</v>
      </c>
      <c r="L22" s="2">
        <f t="shared" si="14"/>
        <v>1</v>
      </c>
      <c r="M22" s="2">
        <f t="shared" si="14"/>
        <v>1</v>
      </c>
      <c r="N22" s="2">
        <f t="shared" si="14"/>
        <v>1</v>
      </c>
    </row>
    <row r="23" spans="1:14" x14ac:dyDescent="0.3">
      <c r="A23" s="2">
        <f t="shared" si="5"/>
        <v>18</v>
      </c>
      <c r="B23" s="2" t="str">
        <f>Data_base_case!D26</f>
        <v>Drinking water</v>
      </c>
      <c r="C23" s="2">
        <f t="shared" si="14"/>
        <v>0</v>
      </c>
      <c r="D23" s="2">
        <f t="shared" si="14"/>
        <v>0</v>
      </c>
      <c r="E23" s="2">
        <f t="shared" si="14"/>
        <v>0</v>
      </c>
      <c r="F23" s="2">
        <f t="shared" si="14"/>
        <v>0</v>
      </c>
      <c r="G23" s="2">
        <f t="shared" si="14"/>
        <v>0</v>
      </c>
      <c r="H23" s="2">
        <f t="shared" si="14"/>
        <v>0</v>
      </c>
      <c r="I23" s="2">
        <f t="shared" si="14"/>
        <v>0</v>
      </c>
      <c r="J23" s="2">
        <f t="shared" si="14"/>
        <v>0</v>
      </c>
      <c r="K23" s="2">
        <f t="shared" si="14"/>
        <v>0</v>
      </c>
      <c r="L23" s="2">
        <f t="shared" si="14"/>
        <v>0</v>
      </c>
      <c r="M23" s="2">
        <f t="shared" si="14"/>
        <v>0</v>
      </c>
      <c r="N23" s="2">
        <f t="shared" si="14"/>
        <v>0</v>
      </c>
    </row>
    <row r="24" spans="1:14" x14ac:dyDescent="0.3">
      <c r="A24" s="2">
        <f t="shared" si="5"/>
        <v>19</v>
      </c>
      <c r="B24" s="2" t="str">
        <f>Data_base_case!D27</f>
        <v>Electrolysers AEC</v>
      </c>
      <c r="C24" s="2">
        <f t="shared" ref="C24:N24" si="15">IF(C3="AEC",1,0)</f>
        <v>0</v>
      </c>
      <c r="D24" s="2">
        <f t="shared" si="15"/>
        <v>1</v>
      </c>
      <c r="E24" s="2">
        <f t="shared" si="15"/>
        <v>0</v>
      </c>
      <c r="F24" s="2">
        <f t="shared" si="15"/>
        <v>0</v>
      </c>
      <c r="G24" s="2">
        <f t="shared" si="15"/>
        <v>1</v>
      </c>
      <c r="H24" s="2">
        <f t="shared" si="15"/>
        <v>0</v>
      </c>
      <c r="I24" s="2">
        <f t="shared" si="15"/>
        <v>0</v>
      </c>
      <c r="J24" s="2">
        <f t="shared" si="15"/>
        <v>0</v>
      </c>
      <c r="K24" s="2">
        <f t="shared" si="15"/>
        <v>1</v>
      </c>
      <c r="L24" s="2">
        <f t="shared" si="15"/>
        <v>0</v>
      </c>
      <c r="M24" s="2">
        <f t="shared" si="15"/>
        <v>0</v>
      </c>
      <c r="N24" s="2">
        <f t="shared" si="15"/>
        <v>0</v>
      </c>
    </row>
    <row r="25" spans="1:14" x14ac:dyDescent="0.3">
      <c r="A25" s="2">
        <f t="shared" si="5"/>
        <v>20</v>
      </c>
      <c r="B25" s="2" t="str">
        <f>Data_base_case!D28</f>
        <v>Electrolysers SOEC heat integrated</v>
      </c>
      <c r="C25" s="2">
        <v>1</v>
      </c>
      <c r="D25" s="2">
        <f t="shared" ref="D25:L25" si="16">IF(AND(D3="SOEC",OR(D1="DME-B2",D1="DME-B1",D1="DME-W2",D1="DME-W1",D1="NH3")),1,0)</f>
        <v>0</v>
      </c>
      <c r="E25" s="2">
        <f t="shared" si="16"/>
        <v>0</v>
      </c>
      <c r="F25" s="2">
        <f t="shared" si="16"/>
        <v>0</v>
      </c>
      <c r="G25" s="2">
        <f t="shared" si="16"/>
        <v>0</v>
      </c>
      <c r="H25" s="2">
        <f t="shared" si="16"/>
        <v>0</v>
      </c>
      <c r="I25" s="2">
        <f t="shared" si="16"/>
        <v>0</v>
      </c>
      <c r="J25" s="2">
        <f t="shared" si="16"/>
        <v>0</v>
      </c>
      <c r="K25" s="2">
        <f t="shared" si="16"/>
        <v>0</v>
      </c>
      <c r="L25" s="2">
        <f t="shared" si="16"/>
        <v>0</v>
      </c>
      <c r="M25" s="2">
        <v>0</v>
      </c>
      <c r="N25" s="2">
        <v>0</v>
      </c>
    </row>
    <row r="26" spans="1:14" x14ac:dyDescent="0.3">
      <c r="A26" s="2">
        <f t="shared" si="5"/>
        <v>21</v>
      </c>
      <c r="B26" s="2" t="str">
        <f>Data_base_case!D29</f>
        <v>Electrolysers SOEC alone</v>
      </c>
      <c r="C26" s="2">
        <f t="shared" ref="C26:L26" si="17">IF(AND(C3="SOEC",OR(C1="MeOH",C1="H2")),1,0)</f>
        <v>0</v>
      </c>
      <c r="D26" s="2">
        <f t="shared" si="17"/>
        <v>0</v>
      </c>
      <c r="E26" s="2">
        <f t="shared" si="17"/>
        <v>1</v>
      </c>
      <c r="F26" s="2">
        <f t="shared" si="17"/>
        <v>0</v>
      </c>
      <c r="G26" s="2">
        <f t="shared" si="17"/>
        <v>0</v>
      </c>
      <c r="H26" s="2">
        <f t="shared" si="17"/>
        <v>1</v>
      </c>
      <c r="I26" s="2">
        <f t="shared" si="17"/>
        <v>0</v>
      </c>
      <c r="J26" s="2">
        <f t="shared" si="17"/>
        <v>1</v>
      </c>
      <c r="K26" s="2">
        <f t="shared" si="17"/>
        <v>0</v>
      </c>
      <c r="L26" s="2">
        <f t="shared" si="17"/>
        <v>0</v>
      </c>
      <c r="M26" s="2">
        <v>0</v>
      </c>
      <c r="N26" s="2">
        <v>1</v>
      </c>
    </row>
    <row r="27" spans="1:14" x14ac:dyDescent="0.3">
      <c r="A27" s="2">
        <f t="shared" si="5"/>
        <v>22</v>
      </c>
      <c r="B27" s="2" t="str">
        <f>Data_base_case!D30</f>
        <v>Electrolysers 75AEC-25SOEC_HI</v>
      </c>
      <c r="C27" s="2">
        <f t="shared" ref="C27:N27" si="18">IF(AND(C3="Mix",OR(C1="Bio-eMeOH",C1="NH3")),1,0)</f>
        <v>0</v>
      </c>
      <c r="D27" s="2">
        <f t="shared" si="18"/>
        <v>0</v>
      </c>
      <c r="E27" s="2">
        <f t="shared" si="18"/>
        <v>0</v>
      </c>
      <c r="F27" s="2">
        <f t="shared" si="18"/>
        <v>0</v>
      </c>
      <c r="G27" s="2">
        <f t="shared" si="18"/>
        <v>0</v>
      </c>
      <c r="H27" s="2">
        <f t="shared" si="18"/>
        <v>0</v>
      </c>
      <c r="I27" s="2">
        <f t="shared" si="18"/>
        <v>0</v>
      </c>
      <c r="J27" s="2">
        <f t="shared" si="18"/>
        <v>0</v>
      </c>
      <c r="K27" s="2">
        <f t="shared" si="18"/>
        <v>0</v>
      </c>
      <c r="L27" s="2">
        <f t="shared" si="18"/>
        <v>0</v>
      </c>
      <c r="M27" s="2">
        <f t="shared" si="18"/>
        <v>0</v>
      </c>
      <c r="N27" s="2">
        <f t="shared" si="18"/>
        <v>0</v>
      </c>
    </row>
    <row r="28" spans="1:14" x14ac:dyDescent="0.3">
      <c r="A28" s="2">
        <f t="shared" si="5"/>
        <v>23</v>
      </c>
      <c r="B28" s="2" t="str">
        <f>Data_base_case!D31</f>
        <v>Electrolysers 75AEC-25SOEC_A</v>
      </c>
      <c r="C28" s="2">
        <f t="shared" ref="C28:N28" si="19">IF(AND(C3="Mix",OR(C1="MeOH",C1="H2")),1,0)</f>
        <v>0</v>
      </c>
      <c r="D28" s="2">
        <f t="shared" si="19"/>
        <v>0</v>
      </c>
      <c r="E28" s="2">
        <f t="shared" si="19"/>
        <v>0</v>
      </c>
      <c r="F28" s="2">
        <f t="shared" si="19"/>
        <v>1</v>
      </c>
      <c r="G28" s="2">
        <f t="shared" si="19"/>
        <v>0</v>
      </c>
      <c r="H28" s="2">
        <f t="shared" si="19"/>
        <v>0</v>
      </c>
      <c r="I28" s="2">
        <f t="shared" si="19"/>
        <v>1</v>
      </c>
      <c r="J28" s="2">
        <f t="shared" si="19"/>
        <v>0</v>
      </c>
      <c r="K28" s="2">
        <f t="shared" si="19"/>
        <v>0</v>
      </c>
      <c r="L28" s="2">
        <f t="shared" si="19"/>
        <v>0</v>
      </c>
      <c r="M28" s="2">
        <f t="shared" si="19"/>
        <v>0</v>
      </c>
      <c r="N28" s="2">
        <f t="shared" si="19"/>
        <v>0</v>
      </c>
    </row>
    <row r="29" spans="1:14" x14ac:dyDescent="0.3">
      <c r="A29" s="2">
        <f t="shared" si="5"/>
        <v>24</v>
      </c>
      <c r="B29" s="2" t="str">
        <f>Data_base_case!D32</f>
        <v>H2 pipeline to MeOH plant</v>
      </c>
      <c r="C29" s="2">
        <f t="shared" ref="C29:K29" si="20">IF(C1="MeOH",1,0)</f>
        <v>0</v>
      </c>
      <c r="D29" s="2">
        <f t="shared" si="20"/>
        <v>1</v>
      </c>
      <c r="E29" s="2">
        <f t="shared" si="20"/>
        <v>1</v>
      </c>
      <c r="F29" s="2">
        <f t="shared" si="20"/>
        <v>1</v>
      </c>
      <c r="G29" s="2">
        <f t="shared" si="20"/>
        <v>1</v>
      </c>
      <c r="H29" s="2">
        <f t="shared" si="20"/>
        <v>1</v>
      </c>
      <c r="I29" s="2">
        <f t="shared" si="20"/>
        <v>1</v>
      </c>
      <c r="J29" s="2">
        <f t="shared" si="20"/>
        <v>1</v>
      </c>
      <c r="K29" s="2">
        <f t="shared" si="20"/>
        <v>1</v>
      </c>
      <c r="L29" s="2">
        <v>0</v>
      </c>
      <c r="M29" s="2">
        <v>0</v>
      </c>
      <c r="N29" s="2">
        <v>1</v>
      </c>
    </row>
    <row r="30" spans="1:14" x14ac:dyDescent="0.3">
      <c r="A30" s="2">
        <f t="shared" si="5"/>
        <v>25</v>
      </c>
      <c r="B30" s="2" t="str">
        <f>Data_base_case!D33</f>
        <v>H2 pipeline to Wheat-2</v>
      </c>
      <c r="C30" s="2">
        <f t="shared" ref="C30:N30" si="21">C19</f>
        <v>1</v>
      </c>
      <c r="D30" s="2">
        <f t="shared" si="21"/>
        <v>0</v>
      </c>
      <c r="E30" s="2">
        <f t="shared" si="21"/>
        <v>0</v>
      </c>
      <c r="F30" s="2">
        <f t="shared" si="21"/>
        <v>0</v>
      </c>
      <c r="G30" s="2">
        <f t="shared" si="21"/>
        <v>0</v>
      </c>
      <c r="H30" s="2">
        <f t="shared" si="21"/>
        <v>0</v>
      </c>
      <c r="I30" s="2">
        <f t="shared" si="21"/>
        <v>0</v>
      </c>
      <c r="J30" s="2">
        <f t="shared" si="21"/>
        <v>0</v>
      </c>
      <c r="K30" s="2">
        <f t="shared" si="21"/>
        <v>0</v>
      </c>
      <c r="L30" s="2">
        <f t="shared" si="21"/>
        <v>0</v>
      </c>
      <c r="M30" s="2">
        <f t="shared" si="21"/>
        <v>0</v>
      </c>
      <c r="N30" s="2">
        <f t="shared" si="21"/>
        <v>0</v>
      </c>
    </row>
    <row r="31" spans="1:14" x14ac:dyDescent="0.3">
      <c r="A31" s="2">
        <f t="shared" si="5"/>
        <v>26</v>
      </c>
      <c r="B31" s="2" t="str">
        <f>Data_base_case!D34</f>
        <v>H2 pipeline to client</v>
      </c>
      <c r="C31" s="2">
        <f t="shared" ref="C31:N31" si="22">IF(C1 = "H2",1,0)</f>
        <v>0</v>
      </c>
      <c r="D31" s="2">
        <f t="shared" si="22"/>
        <v>0</v>
      </c>
      <c r="E31" s="2">
        <f t="shared" si="22"/>
        <v>0</v>
      </c>
      <c r="F31" s="2">
        <f t="shared" si="22"/>
        <v>0</v>
      </c>
      <c r="G31" s="2">
        <f t="shared" si="22"/>
        <v>0</v>
      </c>
      <c r="H31" s="2">
        <f t="shared" si="22"/>
        <v>0</v>
      </c>
      <c r="I31" s="2">
        <f t="shared" si="22"/>
        <v>0</v>
      </c>
      <c r="J31" s="2">
        <f t="shared" si="22"/>
        <v>0</v>
      </c>
      <c r="K31" s="2">
        <f t="shared" si="22"/>
        <v>0</v>
      </c>
      <c r="L31" s="2">
        <f t="shared" si="22"/>
        <v>0</v>
      </c>
      <c r="M31" s="2">
        <f t="shared" si="22"/>
        <v>0</v>
      </c>
      <c r="N31" s="2">
        <f t="shared" si="22"/>
        <v>0</v>
      </c>
    </row>
    <row r="32" spans="1:14" x14ac:dyDescent="0.3">
      <c r="A32" s="2">
        <f t="shared" si="5"/>
        <v>27</v>
      </c>
      <c r="B32" s="2" t="str">
        <f>Data_base_case!D35</f>
        <v>Heat from district heating</v>
      </c>
      <c r="C32" s="2">
        <v>1</v>
      </c>
      <c r="D32" s="2">
        <v>1</v>
      </c>
      <c r="E32" s="2">
        <v>1</v>
      </c>
      <c r="F32" s="2">
        <v>1</v>
      </c>
      <c r="G32" s="2">
        <v>1</v>
      </c>
      <c r="H32" s="2">
        <v>1</v>
      </c>
      <c r="I32" s="2">
        <v>1</v>
      </c>
      <c r="J32" s="2">
        <v>1</v>
      </c>
      <c r="K32" s="2">
        <v>1</v>
      </c>
      <c r="L32" s="2">
        <v>1</v>
      </c>
      <c r="M32" s="2">
        <v>1</v>
      </c>
      <c r="N32" s="2">
        <v>1</v>
      </c>
    </row>
    <row r="33" spans="1:14" x14ac:dyDescent="0.3">
      <c r="A33" s="2">
        <f t="shared" si="5"/>
        <v>28</v>
      </c>
      <c r="B33" s="2" t="str">
        <f>Data_base_case!D36</f>
        <v>Heat sent to district heating</v>
      </c>
      <c r="C33" s="2">
        <v>1</v>
      </c>
      <c r="D33" s="2">
        <v>1</v>
      </c>
      <c r="E33" s="2">
        <v>1</v>
      </c>
      <c r="F33" s="2">
        <v>1</v>
      </c>
      <c r="G33" s="2">
        <v>1</v>
      </c>
      <c r="H33" s="2">
        <v>1</v>
      </c>
      <c r="I33" s="2">
        <v>1</v>
      </c>
      <c r="J33" s="2">
        <v>1</v>
      </c>
      <c r="K33" s="2">
        <v>1</v>
      </c>
      <c r="L33" s="2">
        <v>1</v>
      </c>
      <c r="M33" s="2">
        <v>1</v>
      </c>
      <c r="N33" s="2">
        <v>1</v>
      </c>
    </row>
    <row r="34" spans="1:14" x14ac:dyDescent="0.3">
      <c r="A34" s="2">
        <f t="shared" si="5"/>
        <v>29</v>
      </c>
      <c r="B34" s="2" t="str">
        <f>Data_base_case!D37</f>
        <v>Heat sent to other process</v>
      </c>
      <c r="C34" s="2">
        <v>1</v>
      </c>
      <c r="D34" s="2">
        <v>1</v>
      </c>
      <c r="E34" s="2">
        <v>1</v>
      </c>
      <c r="F34" s="2">
        <v>1</v>
      </c>
      <c r="G34" s="2">
        <v>1</v>
      </c>
      <c r="H34" s="2">
        <v>1</v>
      </c>
      <c r="I34" s="2">
        <v>1</v>
      </c>
      <c r="J34" s="2">
        <v>1</v>
      </c>
      <c r="K34" s="2">
        <v>1</v>
      </c>
      <c r="L34" s="2">
        <v>1</v>
      </c>
      <c r="M34" s="2">
        <v>1</v>
      </c>
      <c r="N34" s="2">
        <v>1</v>
      </c>
    </row>
    <row r="35" spans="1:14" x14ac:dyDescent="0.3">
      <c r="A35" s="2">
        <f t="shared" si="5"/>
        <v>30</v>
      </c>
      <c r="B35" s="2" t="str">
        <f>Data_base_case!D38</f>
        <v>Sale of oxygen</v>
      </c>
      <c r="C35" s="2">
        <v>1</v>
      </c>
      <c r="D35" s="2">
        <v>1</v>
      </c>
      <c r="E35" s="2">
        <v>1</v>
      </c>
      <c r="F35" s="2">
        <v>1</v>
      </c>
      <c r="G35" s="2">
        <v>1</v>
      </c>
      <c r="H35" s="2">
        <v>1</v>
      </c>
      <c r="I35" s="2">
        <v>1</v>
      </c>
      <c r="J35" s="2">
        <v>1</v>
      </c>
      <c r="K35" s="2">
        <v>1</v>
      </c>
      <c r="L35" s="2">
        <v>0</v>
      </c>
      <c r="M35" s="2">
        <v>0</v>
      </c>
      <c r="N35" s="2">
        <v>1</v>
      </c>
    </row>
    <row r="36" spans="1:14" x14ac:dyDescent="0.3">
      <c r="A36" s="2">
        <f t="shared" si="5"/>
        <v>31</v>
      </c>
      <c r="B36" s="2" t="str">
        <f>Data_base_case!D39</f>
        <v>H2 tank compressor</v>
      </c>
      <c r="C36" s="2">
        <f t="shared" ref="C36:M36" si="23">C38</f>
        <v>0</v>
      </c>
      <c r="D36" s="2">
        <f t="shared" si="23"/>
        <v>0</v>
      </c>
      <c r="E36" s="2">
        <f t="shared" si="23"/>
        <v>0</v>
      </c>
      <c r="F36" s="2">
        <f t="shared" si="23"/>
        <v>0</v>
      </c>
      <c r="G36" s="2">
        <f t="shared" si="23"/>
        <v>0</v>
      </c>
      <c r="H36" s="2">
        <f t="shared" si="23"/>
        <v>0</v>
      </c>
      <c r="I36" s="2">
        <f t="shared" si="23"/>
        <v>0</v>
      </c>
      <c r="J36" s="2">
        <f t="shared" ref="J36" si="24">J38</f>
        <v>0</v>
      </c>
      <c r="K36" s="2">
        <f t="shared" si="23"/>
        <v>0</v>
      </c>
      <c r="L36" s="2">
        <f t="shared" si="23"/>
        <v>0</v>
      </c>
      <c r="M36" s="2">
        <f t="shared" si="23"/>
        <v>0</v>
      </c>
      <c r="N36" s="2">
        <f t="shared" ref="N36" si="25">N38</f>
        <v>0</v>
      </c>
    </row>
    <row r="37" spans="1:14" x14ac:dyDescent="0.3">
      <c r="A37" s="2">
        <f t="shared" si="5"/>
        <v>32</v>
      </c>
      <c r="B37" s="2" t="str">
        <f>Data_base_case!D40</f>
        <v>H2 tank valve</v>
      </c>
      <c r="C37" s="2">
        <f t="shared" ref="C37:N37" si="26">C38</f>
        <v>0</v>
      </c>
      <c r="D37" s="2">
        <f t="shared" si="26"/>
        <v>0</v>
      </c>
      <c r="E37" s="2">
        <f t="shared" si="26"/>
        <v>0</v>
      </c>
      <c r="F37" s="2">
        <f t="shared" si="26"/>
        <v>0</v>
      </c>
      <c r="G37" s="2">
        <f t="shared" si="26"/>
        <v>0</v>
      </c>
      <c r="H37" s="2">
        <f t="shared" si="26"/>
        <v>0</v>
      </c>
      <c r="I37" s="2">
        <f t="shared" si="26"/>
        <v>0</v>
      </c>
      <c r="J37" s="2">
        <f t="shared" si="26"/>
        <v>0</v>
      </c>
      <c r="K37" s="2">
        <f t="shared" si="26"/>
        <v>0</v>
      </c>
      <c r="L37" s="2">
        <f t="shared" si="26"/>
        <v>0</v>
      </c>
      <c r="M37" s="2">
        <f t="shared" si="26"/>
        <v>0</v>
      </c>
      <c r="N37" s="2">
        <f t="shared" si="26"/>
        <v>0</v>
      </c>
    </row>
    <row r="38" spans="1:14" x14ac:dyDescent="0.3">
      <c r="A38" s="2">
        <f t="shared" si="5"/>
        <v>33</v>
      </c>
      <c r="B38" s="2" t="str">
        <f>Data_base_case!D41</f>
        <v>H2 tank</v>
      </c>
      <c r="C38" s="2">
        <f t="shared" ref="C38:M38" si="27">IF($B35=$A$4,1,0)</f>
        <v>0</v>
      </c>
      <c r="D38" s="2">
        <f t="shared" si="27"/>
        <v>0</v>
      </c>
      <c r="E38" s="2">
        <f t="shared" si="27"/>
        <v>0</v>
      </c>
      <c r="F38" s="2">
        <f t="shared" si="27"/>
        <v>0</v>
      </c>
      <c r="G38" s="2">
        <f t="shared" si="27"/>
        <v>0</v>
      </c>
      <c r="H38" s="2">
        <f t="shared" si="27"/>
        <v>0</v>
      </c>
      <c r="I38" s="2">
        <f t="shared" si="27"/>
        <v>0</v>
      </c>
      <c r="J38" s="2">
        <f t="shared" ref="J38" si="28">IF($B35=$A$4,1,0)</f>
        <v>0</v>
      </c>
      <c r="K38" s="2">
        <f t="shared" si="27"/>
        <v>0</v>
      </c>
      <c r="L38" s="2">
        <f t="shared" si="27"/>
        <v>0</v>
      </c>
      <c r="M38" s="2">
        <f t="shared" si="27"/>
        <v>0</v>
      </c>
      <c r="N38" s="2">
        <f t="shared" ref="N38" si="29">IF($B35=$A$4,1,0)</f>
        <v>0</v>
      </c>
    </row>
    <row r="39" spans="1:14" x14ac:dyDescent="0.3">
      <c r="A39" s="2">
        <f t="shared" si="5"/>
        <v>34</v>
      </c>
      <c r="B39" s="2" t="str">
        <f>Data_base_case!D42</f>
        <v>H2 pipes compressor</v>
      </c>
      <c r="C39" s="2">
        <f t="shared" ref="C39:M39" si="30">C41</f>
        <v>1</v>
      </c>
      <c r="D39" s="2">
        <f t="shared" si="30"/>
        <v>1</v>
      </c>
      <c r="E39" s="2">
        <f t="shared" si="30"/>
        <v>1</v>
      </c>
      <c r="F39" s="2">
        <f t="shared" si="30"/>
        <v>1</v>
      </c>
      <c r="G39" s="2">
        <f t="shared" si="30"/>
        <v>1</v>
      </c>
      <c r="H39" s="2">
        <f t="shared" si="30"/>
        <v>1</v>
      </c>
      <c r="I39" s="2">
        <f t="shared" si="30"/>
        <v>1</v>
      </c>
      <c r="J39" s="2">
        <f t="shared" ref="J39" si="31">J41</f>
        <v>1</v>
      </c>
      <c r="K39" s="2">
        <f t="shared" si="30"/>
        <v>1</v>
      </c>
      <c r="L39" s="2">
        <f t="shared" si="30"/>
        <v>1</v>
      </c>
      <c r="M39" s="2">
        <f t="shared" si="30"/>
        <v>1</v>
      </c>
      <c r="N39" s="2">
        <f t="shared" ref="N39" si="32">N41</f>
        <v>1</v>
      </c>
    </row>
    <row r="40" spans="1:14" x14ac:dyDescent="0.3">
      <c r="A40" s="2">
        <f t="shared" si="5"/>
        <v>35</v>
      </c>
      <c r="B40" s="2" t="str">
        <f>Data_base_case!D43</f>
        <v>H2 pipes valve</v>
      </c>
      <c r="C40" s="2">
        <f t="shared" ref="C40:N40" si="33">C41</f>
        <v>1</v>
      </c>
      <c r="D40" s="2">
        <f t="shared" si="33"/>
        <v>1</v>
      </c>
      <c r="E40" s="2">
        <f t="shared" si="33"/>
        <v>1</v>
      </c>
      <c r="F40" s="2">
        <f t="shared" si="33"/>
        <v>1</v>
      </c>
      <c r="G40" s="2">
        <f t="shared" si="33"/>
        <v>1</v>
      </c>
      <c r="H40" s="2">
        <f t="shared" si="33"/>
        <v>1</v>
      </c>
      <c r="I40" s="2">
        <f t="shared" si="33"/>
        <v>1</v>
      </c>
      <c r="J40" s="2">
        <f t="shared" si="33"/>
        <v>1</v>
      </c>
      <c r="K40" s="2">
        <f t="shared" si="33"/>
        <v>1</v>
      </c>
      <c r="L40" s="2">
        <f t="shared" si="33"/>
        <v>1</v>
      </c>
      <c r="M40" s="2">
        <f t="shared" si="33"/>
        <v>1</v>
      </c>
      <c r="N40" s="2">
        <f t="shared" si="33"/>
        <v>1</v>
      </c>
    </row>
    <row r="41" spans="1:14" x14ac:dyDescent="0.3">
      <c r="A41" s="2">
        <f t="shared" si="5"/>
        <v>36</v>
      </c>
      <c r="B41" s="2" t="str">
        <f>Data_base_case!D44</f>
        <v>H2 buried pipes</v>
      </c>
      <c r="C41" s="2">
        <f t="shared" ref="C41:N41" si="34">IF($B41=$A$4,1,0)</f>
        <v>1</v>
      </c>
      <c r="D41" s="2">
        <f t="shared" si="34"/>
        <v>1</v>
      </c>
      <c r="E41" s="2">
        <f t="shared" si="34"/>
        <v>1</v>
      </c>
      <c r="F41" s="2">
        <f t="shared" si="34"/>
        <v>1</v>
      </c>
      <c r="G41" s="2">
        <f t="shared" si="34"/>
        <v>1</v>
      </c>
      <c r="H41" s="2">
        <f t="shared" si="34"/>
        <v>1</v>
      </c>
      <c r="I41" s="2">
        <f t="shared" si="34"/>
        <v>1</v>
      </c>
      <c r="J41" s="2">
        <f t="shared" si="34"/>
        <v>1</v>
      </c>
      <c r="K41" s="2">
        <f t="shared" si="34"/>
        <v>1</v>
      </c>
      <c r="L41" s="2">
        <v>1</v>
      </c>
      <c r="M41" s="2">
        <f t="shared" si="34"/>
        <v>1</v>
      </c>
      <c r="N41" s="2">
        <f t="shared" si="34"/>
        <v>1</v>
      </c>
    </row>
    <row r="42" spans="1:14" x14ac:dyDescent="0.3">
      <c r="A42" s="2">
        <f t="shared" si="5"/>
        <v>37</v>
      </c>
      <c r="B42" s="2" t="str">
        <f>Data_base_case!D45</f>
        <v>Solar fixed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</row>
    <row r="43" spans="1:14" x14ac:dyDescent="0.3">
      <c r="A43" s="2">
        <f t="shared" si="5"/>
        <v>38</v>
      </c>
      <c r="B43" s="2" t="str">
        <f>Data_base_case!D46</f>
        <v>Solar tracking</v>
      </c>
      <c r="C43" s="2">
        <v>1</v>
      </c>
      <c r="D43" s="2">
        <v>1</v>
      </c>
      <c r="E43" s="2">
        <v>1</v>
      </c>
      <c r="F43" s="2">
        <v>1</v>
      </c>
      <c r="G43" s="2">
        <v>1</v>
      </c>
      <c r="H43" s="2">
        <v>1</v>
      </c>
      <c r="I43" s="2">
        <v>1</v>
      </c>
      <c r="J43" s="2">
        <v>1</v>
      </c>
      <c r="K43" s="2">
        <v>1</v>
      </c>
      <c r="L43" s="2">
        <v>1</v>
      </c>
      <c r="M43" s="2">
        <v>1</v>
      </c>
      <c r="N43" s="2">
        <v>1</v>
      </c>
    </row>
    <row r="44" spans="1:14" x14ac:dyDescent="0.3">
      <c r="A44" s="2">
        <f t="shared" si="5"/>
        <v>39</v>
      </c>
      <c r="B44" s="2" t="str">
        <f>Data_base_case!D47</f>
        <v>ON_SP198-HH100</v>
      </c>
      <c r="C44" s="2">
        <v>0</v>
      </c>
      <c r="D44" s="2">
        <v>1</v>
      </c>
      <c r="E44" s="2">
        <v>1</v>
      </c>
      <c r="F44" s="2">
        <v>1</v>
      </c>
      <c r="G44" s="2">
        <v>1</v>
      </c>
      <c r="H44" s="2">
        <v>1</v>
      </c>
      <c r="I44" s="2">
        <v>1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</row>
    <row r="45" spans="1:14" x14ac:dyDescent="0.3">
      <c r="A45" s="2">
        <f t="shared" si="5"/>
        <v>40</v>
      </c>
      <c r="B45" s="2" t="str">
        <f>Data_base_case!D48</f>
        <v>ON_SP198-HH150</v>
      </c>
      <c r="C45" s="2">
        <v>0</v>
      </c>
      <c r="D45" s="2">
        <v>1</v>
      </c>
      <c r="E45" s="2">
        <v>1</v>
      </c>
      <c r="F45" s="2">
        <v>1</v>
      </c>
      <c r="G45" s="2">
        <v>1</v>
      </c>
      <c r="H45" s="2">
        <v>1</v>
      </c>
      <c r="I45" s="2">
        <v>1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</row>
    <row r="46" spans="1:14" x14ac:dyDescent="0.3">
      <c r="A46" s="2">
        <f t="shared" si="5"/>
        <v>41</v>
      </c>
      <c r="B46" s="2" t="str">
        <f>Data_base_case!D49</f>
        <v>ON_SP237-HH100</v>
      </c>
      <c r="C46" s="2">
        <v>0</v>
      </c>
      <c r="D46" s="2">
        <v>0</v>
      </c>
      <c r="E46" s="2">
        <v>0</v>
      </c>
      <c r="F46" s="2">
        <v>1</v>
      </c>
      <c r="G46" s="2">
        <v>1</v>
      </c>
      <c r="H46" s="2">
        <v>1</v>
      </c>
      <c r="I46" s="2">
        <v>1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</row>
    <row r="47" spans="1:14" x14ac:dyDescent="0.3">
      <c r="A47" s="2">
        <f t="shared" si="5"/>
        <v>42</v>
      </c>
      <c r="B47" s="2" t="str">
        <f>Data_base_case!D50</f>
        <v>ON_SP237-HH150</v>
      </c>
      <c r="C47" s="2">
        <v>0</v>
      </c>
      <c r="D47" s="2">
        <v>0</v>
      </c>
      <c r="E47" s="2">
        <v>0</v>
      </c>
      <c r="F47" s="2">
        <v>1</v>
      </c>
      <c r="G47" s="2">
        <v>1</v>
      </c>
      <c r="H47" s="2">
        <v>1</v>
      </c>
      <c r="I47" s="2">
        <v>1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</row>
    <row r="48" spans="1:14" x14ac:dyDescent="0.3">
      <c r="A48" s="2">
        <f t="shared" si="5"/>
        <v>43</v>
      </c>
      <c r="B48" s="2" t="str">
        <f>Data_base_case!D51</f>
        <v>ON_SP277-HH100</v>
      </c>
      <c r="C48" s="2">
        <v>0</v>
      </c>
      <c r="D48" s="2">
        <v>0</v>
      </c>
      <c r="E48" s="2">
        <v>0</v>
      </c>
      <c r="F48" s="2">
        <v>1</v>
      </c>
      <c r="G48" s="2">
        <v>1</v>
      </c>
      <c r="H48" s="2">
        <v>1</v>
      </c>
      <c r="I48" s="2">
        <v>1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</row>
    <row r="49" spans="1:14" x14ac:dyDescent="0.3">
      <c r="A49" s="2">
        <f t="shared" si="5"/>
        <v>44</v>
      </c>
      <c r="B49" s="2" t="str">
        <f>Data_base_case!D52</f>
        <v>ON_SP277-HH150</v>
      </c>
      <c r="C49" s="2">
        <v>0</v>
      </c>
      <c r="D49" s="2">
        <v>0</v>
      </c>
      <c r="E49" s="2">
        <v>0</v>
      </c>
      <c r="F49" s="2">
        <v>1</v>
      </c>
      <c r="G49" s="2">
        <v>1</v>
      </c>
      <c r="H49" s="2">
        <v>1</v>
      </c>
      <c r="I49" s="2">
        <v>1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</row>
    <row r="50" spans="1:14" x14ac:dyDescent="0.3">
      <c r="A50" s="2">
        <f t="shared" si="5"/>
        <v>45</v>
      </c>
      <c r="B50" s="2" t="str">
        <f>Data_base_case!D53</f>
        <v>ON_SP321-HH100</v>
      </c>
      <c r="C50" s="2">
        <v>0</v>
      </c>
      <c r="D50" s="2">
        <v>0</v>
      </c>
      <c r="E50" s="2">
        <v>0</v>
      </c>
      <c r="F50" s="2">
        <v>1</v>
      </c>
      <c r="G50" s="2">
        <v>1</v>
      </c>
      <c r="H50" s="2">
        <v>1</v>
      </c>
      <c r="I50" s="2">
        <v>1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</row>
    <row r="51" spans="1:14" x14ac:dyDescent="0.3">
      <c r="A51" s="2">
        <f t="shared" si="5"/>
        <v>46</v>
      </c>
      <c r="B51" s="2" t="str">
        <f>Data_base_case!D54</f>
        <v>ON_SP321-HH150</v>
      </c>
      <c r="C51" s="2">
        <v>0</v>
      </c>
      <c r="D51" s="2">
        <v>0</v>
      </c>
      <c r="E51" s="2">
        <v>0</v>
      </c>
      <c r="F51" s="2">
        <v>1</v>
      </c>
      <c r="G51" s="2">
        <v>1</v>
      </c>
      <c r="H51" s="2">
        <v>1</v>
      </c>
      <c r="I51" s="2">
        <v>1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</row>
    <row r="52" spans="1:14" x14ac:dyDescent="0.3">
      <c r="A52" s="2">
        <f t="shared" si="5"/>
        <v>47</v>
      </c>
      <c r="B52" s="2" t="str">
        <f>Data_base_case!D55</f>
        <v>OFF_SP379-HH100</v>
      </c>
      <c r="C52" s="2">
        <v>1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1</v>
      </c>
      <c r="K52" s="2">
        <v>1</v>
      </c>
      <c r="L52" s="2">
        <v>0</v>
      </c>
      <c r="M52" s="2">
        <v>1</v>
      </c>
      <c r="N52" s="2">
        <v>1</v>
      </c>
    </row>
    <row r="53" spans="1:14" x14ac:dyDescent="0.3">
      <c r="A53" s="2">
        <f t="shared" si="5"/>
        <v>48</v>
      </c>
      <c r="B53" s="2" t="str">
        <f>Data_base_case!D56</f>
        <v>OFF_SP379-HH150</v>
      </c>
      <c r="C53" s="2">
        <v>1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1</v>
      </c>
      <c r="K53" s="2">
        <v>1</v>
      </c>
      <c r="L53" s="2">
        <v>0</v>
      </c>
      <c r="M53" s="2">
        <v>1</v>
      </c>
      <c r="N53" s="2">
        <v>1</v>
      </c>
    </row>
    <row r="54" spans="1:14" x14ac:dyDescent="0.3">
      <c r="A54" s="2">
        <f t="shared" si="5"/>
        <v>49</v>
      </c>
      <c r="B54" s="2" t="str">
        <f>Data_base_case!D57</f>
        <v>OFF_SP450-HH100</v>
      </c>
      <c r="C54" s="2">
        <v>1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1</v>
      </c>
      <c r="K54" s="2">
        <v>1</v>
      </c>
      <c r="L54" s="2">
        <v>0</v>
      </c>
      <c r="M54" s="2">
        <v>1</v>
      </c>
      <c r="N54" s="2">
        <v>1</v>
      </c>
    </row>
    <row r="55" spans="1:14" x14ac:dyDescent="0.3">
      <c r="A55" s="2">
        <f t="shared" si="5"/>
        <v>50</v>
      </c>
      <c r="B55" s="2" t="str">
        <f>Data_base_case!D58</f>
        <v>OFF_SP450-HH150</v>
      </c>
      <c r="C55" s="2">
        <v>1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1</v>
      </c>
      <c r="K55" s="2">
        <v>1</v>
      </c>
      <c r="L55" s="2">
        <v>0</v>
      </c>
      <c r="M55" s="2">
        <v>1</v>
      </c>
      <c r="N55" s="2">
        <v>1</v>
      </c>
    </row>
    <row r="56" spans="1:14" x14ac:dyDescent="0.3">
      <c r="A56" s="2">
        <f t="shared" si="5"/>
        <v>51</v>
      </c>
      <c r="B56" s="2" t="str">
        <f>Data_base_case!D59</f>
        <v>CSP_tower</v>
      </c>
      <c r="C56" s="2">
        <v>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</row>
    <row r="57" spans="1:14" x14ac:dyDescent="0.3">
      <c r="A57" s="2">
        <f t="shared" si="5"/>
        <v>52</v>
      </c>
      <c r="B57" s="2" t="str">
        <f>Data_base_case!D60</f>
        <v>Charge TES</v>
      </c>
      <c r="C57" s="2">
        <f t="shared" ref="C57:M57" si="35">C56</f>
        <v>0</v>
      </c>
      <c r="D57" s="2">
        <f t="shared" si="35"/>
        <v>0</v>
      </c>
      <c r="E57" s="2">
        <f t="shared" si="35"/>
        <v>0</v>
      </c>
      <c r="F57" s="2">
        <f t="shared" si="35"/>
        <v>0</v>
      </c>
      <c r="G57" s="2">
        <f t="shared" si="35"/>
        <v>0</v>
      </c>
      <c r="H57" s="2">
        <f t="shared" si="35"/>
        <v>0</v>
      </c>
      <c r="I57" s="2">
        <f t="shared" si="35"/>
        <v>0</v>
      </c>
      <c r="J57" s="2">
        <f t="shared" ref="J57" si="36">J56</f>
        <v>0</v>
      </c>
      <c r="K57" s="2">
        <f t="shared" si="35"/>
        <v>0</v>
      </c>
      <c r="L57" s="2">
        <f t="shared" si="35"/>
        <v>0</v>
      </c>
      <c r="M57" s="2">
        <f t="shared" si="35"/>
        <v>0</v>
      </c>
      <c r="N57" s="2">
        <f t="shared" ref="N57" si="37">N56</f>
        <v>0</v>
      </c>
    </row>
    <row r="58" spans="1:14" x14ac:dyDescent="0.3">
      <c r="A58" s="2">
        <f t="shared" si="5"/>
        <v>53</v>
      </c>
      <c r="B58" s="2" t="str">
        <f>Data_base_case!D61</f>
        <v>Discharge TES</v>
      </c>
      <c r="C58" s="2">
        <f t="shared" ref="C58:M58" si="38">C56</f>
        <v>0</v>
      </c>
      <c r="D58" s="2">
        <f t="shared" si="38"/>
        <v>0</v>
      </c>
      <c r="E58" s="2">
        <f t="shared" si="38"/>
        <v>0</v>
      </c>
      <c r="F58" s="2">
        <f t="shared" si="38"/>
        <v>0</v>
      </c>
      <c r="G58" s="2">
        <f t="shared" si="38"/>
        <v>0</v>
      </c>
      <c r="H58" s="2">
        <f t="shared" si="38"/>
        <v>0</v>
      </c>
      <c r="I58" s="2">
        <f t="shared" si="38"/>
        <v>0</v>
      </c>
      <c r="J58" s="2">
        <f t="shared" ref="J58" si="39">J56</f>
        <v>0</v>
      </c>
      <c r="K58" s="2">
        <f t="shared" si="38"/>
        <v>0</v>
      </c>
      <c r="L58" s="2">
        <f t="shared" si="38"/>
        <v>0</v>
      </c>
      <c r="M58" s="2">
        <f t="shared" si="38"/>
        <v>0</v>
      </c>
      <c r="N58" s="2">
        <f t="shared" ref="N58" si="40">N56</f>
        <v>0</v>
      </c>
    </row>
    <row r="59" spans="1:14" x14ac:dyDescent="0.3">
      <c r="A59" s="2">
        <f t="shared" si="5"/>
        <v>54</v>
      </c>
      <c r="B59" s="2" t="str">
        <f>Data_base_case!D62</f>
        <v>TES</v>
      </c>
      <c r="C59" s="2">
        <f t="shared" ref="C59:M59" si="41">C56</f>
        <v>0</v>
      </c>
      <c r="D59" s="2">
        <f t="shared" si="41"/>
        <v>0</v>
      </c>
      <c r="E59" s="2">
        <f t="shared" si="41"/>
        <v>0</v>
      </c>
      <c r="F59" s="2">
        <f t="shared" si="41"/>
        <v>0</v>
      </c>
      <c r="G59" s="2">
        <f t="shared" si="41"/>
        <v>0</v>
      </c>
      <c r="H59" s="2">
        <f t="shared" si="41"/>
        <v>0</v>
      </c>
      <c r="I59" s="2">
        <f t="shared" si="41"/>
        <v>0</v>
      </c>
      <c r="J59" s="2">
        <f t="shared" ref="J59" si="42">J56</f>
        <v>0</v>
      </c>
      <c r="K59" s="2">
        <f t="shared" si="41"/>
        <v>0</v>
      </c>
      <c r="L59" s="2">
        <f t="shared" si="41"/>
        <v>0</v>
      </c>
      <c r="M59" s="2">
        <f t="shared" si="41"/>
        <v>0</v>
      </c>
      <c r="N59" s="2">
        <f t="shared" ref="N59" si="43">N56</f>
        <v>0</v>
      </c>
    </row>
    <row r="60" spans="1:14" x14ac:dyDescent="0.3">
      <c r="A60" s="2">
        <f t="shared" si="5"/>
        <v>55</v>
      </c>
      <c r="B60" s="2" t="str">
        <f>Data_base_case!D63</f>
        <v>CSP + TES</v>
      </c>
      <c r="C60" s="2">
        <f t="shared" ref="C60:M60" si="44">C56</f>
        <v>0</v>
      </c>
      <c r="D60" s="2">
        <f t="shared" si="44"/>
        <v>0</v>
      </c>
      <c r="E60" s="2">
        <f t="shared" si="44"/>
        <v>0</v>
      </c>
      <c r="F60" s="2">
        <f t="shared" si="44"/>
        <v>0</v>
      </c>
      <c r="G60" s="2">
        <f t="shared" si="44"/>
        <v>0</v>
      </c>
      <c r="H60" s="2">
        <f t="shared" si="44"/>
        <v>0</v>
      </c>
      <c r="I60" s="2">
        <f t="shared" si="44"/>
        <v>0</v>
      </c>
      <c r="J60" s="2">
        <f t="shared" ref="J60" si="45">J56</f>
        <v>0</v>
      </c>
      <c r="K60" s="2">
        <f t="shared" si="44"/>
        <v>0</v>
      </c>
      <c r="L60" s="2">
        <f t="shared" si="44"/>
        <v>0</v>
      </c>
      <c r="M60" s="2">
        <f t="shared" si="44"/>
        <v>0</v>
      </c>
      <c r="N60" s="2">
        <f t="shared" ref="N60" si="46">N56</f>
        <v>0</v>
      </c>
    </row>
    <row r="61" spans="1:14" x14ac:dyDescent="0.3">
      <c r="A61" s="2">
        <f t="shared" si="5"/>
        <v>56</v>
      </c>
      <c r="B61" s="2" t="str">
        <f>Data_base_case!D64</f>
        <v>Electricity from the grid</v>
      </c>
      <c r="C61" s="2">
        <v>1</v>
      </c>
      <c r="D61" s="2">
        <v>1</v>
      </c>
      <c r="E61" s="2">
        <v>1</v>
      </c>
      <c r="F61" s="2">
        <v>1</v>
      </c>
      <c r="G61" s="2">
        <v>1</v>
      </c>
      <c r="H61" s="2">
        <v>1</v>
      </c>
      <c r="I61" s="2">
        <v>1</v>
      </c>
      <c r="J61" s="2">
        <v>1</v>
      </c>
      <c r="K61" s="2">
        <v>1</v>
      </c>
      <c r="L61" s="2">
        <v>1</v>
      </c>
      <c r="M61" s="2">
        <v>1</v>
      </c>
      <c r="N61" s="2">
        <v>1</v>
      </c>
    </row>
    <row r="62" spans="1:14" x14ac:dyDescent="0.3">
      <c r="A62" s="2">
        <f t="shared" si="5"/>
        <v>57</v>
      </c>
      <c r="B62" s="2" t="str">
        <f>Data_base_case!D65</f>
        <v>Curtailment</v>
      </c>
      <c r="C62" s="2">
        <v>1</v>
      </c>
      <c r="D62" s="2">
        <v>1</v>
      </c>
      <c r="E62" s="2">
        <v>1</v>
      </c>
      <c r="F62" s="2">
        <v>1</v>
      </c>
      <c r="G62" s="2">
        <v>1</v>
      </c>
      <c r="H62" s="2">
        <v>1</v>
      </c>
      <c r="I62" s="2">
        <v>1</v>
      </c>
      <c r="J62" s="2">
        <v>1</v>
      </c>
      <c r="K62" s="2">
        <v>1</v>
      </c>
      <c r="L62" s="2">
        <v>1</v>
      </c>
      <c r="M62" s="2">
        <v>1</v>
      </c>
      <c r="N62" s="2">
        <v>1</v>
      </c>
    </row>
    <row r="63" spans="1:14" x14ac:dyDescent="0.3">
      <c r="A63" s="2">
        <f t="shared" si="5"/>
        <v>58</v>
      </c>
      <c r="B63" s="2" t="str">
        <f>Data_base_case!D66</f>
        <v>Diesel generator</v>
      </c>
      <c r="C63" s="2">
        <v>0</v>
      </c>
      <c r="D63" s="2">
        <v>0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</row>
    <row r="64" spans="1:14" x14ac:dyDescent="0.3">
      <c r="A64" s="2">
        <f t="shared" si="5"/>
        <v>59</v>
      </c>
      <c r="B64" s="2" t="str">
        <f>Data_base_case!D67</f>
        <v>Charge batteries</v>
      </c>
      <c r="C64" s="2">
        <v>1</v>
      </c>
      <c r="D64" s="2">
        <v>1</v>
      </c>
      <c r="E64" s="2">
        <v>1</v>
      </c>
      <c r="F64" s="2">
        <v>1</v>
      </c>
      <c r="G64" s="2">
        <v>1</v>
      </c>
      <c r="H64" s="2">
        <v>1</v>
      </c>
      <c r="I64" s="2">
        <v>1</v>
      </c>
      <c r="J64" s="2">
        <v>1</v>
      </c>
      <c r="K64" s="2">
        <v>1</v>
      </c>
      <c r="L64" s="2">
        <v>1</v>
      </c>
      <c r="M64" s="2">
        <v>1</v>
      </c>
      <c r="N64" s="2">
        <v>1</v>
      </c>
    </row>
    <row r="65" spans="1:14" x14ac:dyDescent="0.3">
      <c r="A65" s="2">
        <f t="shared" si="5"/>
        <v>60</v>
      </c>
      <c r="B65" s="2" t="str">
        <f>Data_base_case!D68</f>
        <v>Discharge batteries</v>
      </c>
      <c r="C65" s="2">
        <v>1</v>
      </c>
      <c r="D65" s="2">
        <v>1</v>
      </c>
      <c r="E65" s="2">
        <v>1</v>
      </c>
      <c r="F65" s="2">
        <v>1</v>
      </c>
      <c r="G65" s="2">
        <v>1</v>
      </c>
      <c r="H65" s="2">
        <v>1</v>
      </c>
      <c r="I65" s="2">
        <v>1</v>
      </c>
      <c r="J65" s="2">
        <v>1</v>
      </c>
      <c r="K65" s="2">
        <v>1</v>
      </c>
      <c r="L65" s="2">
        <v>1</v>
      </c>
      <c r="M65" s="2">
        <v>1</v>
      </c>
      <c r="N65" s="2">
        <v>1</v>
      </c>
    </row>
    <row r="66" spans="1:14" x14ac:dyDescent="0.3">
      <c r="A66" s="2">
        <f t="shared" si="5"/>
        <v>61</v>
      </c>
      <c r="B66" s="2" t="str">
        <f>Data_base_case!D69</f>
        <v>Batteries</v>
      </c>
      <c r="C66" s="2">
        <v>1</v>
      </c>
      <c r="D66" s="2">
        <v>1</v>
      </c>
      <c r="E66" s="2">
        <v>1</v>
      </c>
      <c r="F66" s="2">
        <v>1</v>
      </c>
      <c r="G66" s="2">
        <v>1</v>
      </c>
      <c r="H66" s="2">
        <v>1</v>
      </c>
      <c r="I66" s="2">
        <v>1</v>
      </c>
      <c r="J66" s="2">
        <v>1</v>
      </c>
      <c r="K66" s="2">
        <v>1</v>
      </c>
      <c r="L66" s="2">
        <v>1</v>
      </c>
      <c r="M66" s="2">
        <v>1</v>
      </c>
      <c r="N66" s="2">
        <v>1</v>
      </c>
    </row>
  </sheetData>
  <conditionalFormatting sqref="C6:N66">
    <cfRule type="cellIs" dxfId="9" priority="1" operator="equal">
      <formula>1</formula>
    </cfRule>
    <cfRule type="cellIs" dxfId="8" priority="2" operator="equal">
      <formula>0</formula>
    </cfRule>
  </conditionalFormatting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J38"/>
  <sheetViews>
    <sheetView workbookViewId="0">
      <selection activeCell="B42" sqref="B42"/>
    </sheetView>
  </sheetViews>
  <sheetFormatPr defaultColWidth="8.77734375" defaultRowHeight="14.4" x14ac:dyDescent="0.3"/>
  <cols>
    <col min="1" max="1" width="27.109375" style="1" customWidth="1"/>
    <col min="2" max="2" width="31.33203125" style="1" customWidth="1"/>
    <col min="3" max="3" width="31.77734375" style="1" customWidth="1"/>
    <col min="4" max="4" width="35.88671875" style="1" customWidth="1"/>
    <col min="5" max="5" width="13.6640625" style="1" customWidth="1"/>
    <col min="6" max="6" width="9.77734375" style="1" customWidth="1"/>
    <col min="7" max="7" width="13.44140625" style="1" customWidth="1"/>
    <col min="8" max="8" width="15.33203125" style="1" customWidth="1"/>
    <col min="9" max="12" width="9.5546875" style="1" customWidth="1"/>
    <col min="13" max="14" width="8.77734375" style="1"/>
    <col min="15" max="15" width="0" style="1" hidden="1" customWidth="1"/>
    <col min="16" max="16384" width="8.77734375" style="1"/>
  </cols>
  <sheetData>
    <row r="1" spans="1:140" x14ac:dyDescent="0.3">
      <c r="A1" s="1" t="s">
        <v>189</v>
      </c>
    </row>
    <row r="3" spans="1:140" s="19" customFormat="1" x14ac:dyDescent="0.3">
      <c r="A3" s="37" t="s">
        <v>188</v>
      </c>
      <c r="B3" s="5" t="s">
        <v>144</v>
      </c>
      <c r="C3" s="5" t="s">
        <v>143</v>
      </c>
      <c r="D3" s="5" t="s">
        <v>98</v>
      </c>
      <c r="E3" s="5" t="s">
        <v>142</v>
      </c>
      <c r="F3" s="5" t="s">
        <v>100</v>
      </c>
      <c r="G3" s="19" t="s">
        <v>141</v>
      </c>
      <c r="H3" s="19" t="s">
        <v>101</v>
      </c>
      <c r="N3" s="19" t="str">
        <f>Data_base_case!F5&amp;Data_base_case!F6</f>
        <v>Used (1 or 0)All</v>
      </c>
      <c r="O3" s="19" t="str">
        <f>Data_base_case!G5&amp;Data_base_case!G6</f>
        <v>Unit tagAll</v>
      </c>
      <c r="P3" s="19" t="str">
        <f>Data_base_case!H5&amp;Data_base_case!H6</f>
        <v>Yearly demand (kg fuel)All</v>
      </c>
      <c r="Q3" s="19" t="str">
        <f>Data_base_case!I5&amp;Data_base_case!I6</f>
        <v>Produced fromAll</v>
      </c>
      <c r="R3" s="19" t="str">
        <f>Data_base_case!J5&amp;Data_base_case!J6</f>
        <v>El balanceAll</v>
      </c>
      <c r="S3" s="19" t="str">
        <f>Data_base_case!K5&amp;Data_base_case!K6</f>
        <v>Heat balanceAll</v>
      </c>
      <c r="T3" s="19" t="str">
        <f>Data_base_case!O5&amp;Data_base_case!O6</f>
        <v>Max CapacityAll</v>
      </c>
      <c r="U3" s="19" t="str">
        <f>Data_base_case!M5&amp;Data_base_case!M6</f>
        <v>H2 balanceAll</v>
      </c>
      <c r="V3" s="19" t="e">
        <f>Data_base_case!#REF!&amp;Data_base_case!#REF!</f>
        <v>#REF!</v>
      </c>
      <c r="W3" s="19" t="e">
        <f>Data_base_case!#REF!&amp;Data_base_case!#REF!</f>
        <v>#REF!</v>
      </c>
      <c r="X3" s="19" t="e">
        <f>Data_base_case!#REF!&amp;Data_base_case!#REF!</f>
        <v>#REF!</v>
      </c>
      <c r="Y3" s="19" t="e">
        <f>Data_base_case!#REF!&amp;Data_base_case!#REF!</f>
        <v>#REF!</v>
      </c>
      <c r="Z3" s="19" t="e">
        <f>Data_base_case!#REF!&amp;Data_base_case!#REF!</f>
        <v>#REF!</v>
      </c>
      <c r="AA3" s="19" t="str">
        <f>Data_base_case!P5&amp;Data_base_case!P6</f>
        <v>Fuel production rate (kg output/kg input)2025 worst</v>
      </c>
      <c r="AB3" s="19" t="str">
        <f>Data_base_case!Q5&amp;Data_base_case!Q6</f>
        <v>Fuel production rate (kg output/kg input)2025 bench</v>
      </c>
      <c r="AC3" s="19" t="str">
        <f>Data_base_case!R5&amp;Data_base_case!R6</f>
        <v>Fuel production rate (kg output/kg input)2025 best</v>
      </c>
      <c r="AD3" s="19" t="str">
        <f>Data_base_case!T5&amp;Data_base_case!T6</f>
        <v>Fuel production rate (kg output/kg input)2030 bench</v>
      </c>
      <c r="AE3" s="19" t="str">
        <f>Data_base_case!V5&amp;Data_base_case!V6</f>
        <v>Fuel production rate (kg output/kg input)2040 bench</v>
      </c>
      <c r="AF3" s="19" t="str">
        <f>Data_base_case!X5&amp;Data_base_case!X6</f>
        <v>Fuel production rate (kg output/kg input)2050 bench</v>
      </c>
      <c r="AG3" s="19" t="str">
        <f>Data_base_case!Z5&amp;Data_base_case!Z6</f>
        <v>Heat generated (kWh/output)2025 worst</v>
      </c>
      <c r="AH3" s="19" t="str">
        <f>Data_base_case!AA5&amp;Data_base_case!AA6</f>
        <v>Heat generated (kWh/output)2025 bench</v>
      </c>
      <c r="AI3" s="19" t="str">
        <f>Data_base_case!AB5&amp;Data_base_case!AB6</f>
        <v>Heat generated (kWh/output)2025 best</v>
      </c>
      <c r="AJ3" s="19" t="str">
        <f>Data_base_case!AD5&amp;Data_base_case!AD6</f>
        <v>Heat generated (kWh/output)2030 bench</v>
      </c>
      <c r="AK3" s="19" t="str">
        <f>Data_base_case!AF5&amp;Data_base_case!AF6</f>
        <v>Heat generated (kWh/output)2040 bench</v>
      </c>
      <c r="AL3" s="19" t="str">
        <f>Data_base_case!AH5&amp;Data_base_case!AH6</f>
        <v>Heat generated (kWh/output)2050 bench</v>
      </c>
      <c r="AM3" s="19" t="str">
        <f>Data_base_case!AT5&amp;Data_base_case!AT6</f>
        <v>Load min (% of max capacity)2025 worst</v>
      </c>
      <c r="AN3" s="19" t="str">
        <f>Data_base_case!AU5&amp;Data_base_case!AU6</f>
        <v>Load min (% of max capacity)2025 bench</v>
      </c>
      <c r="AO3" s="19" t="str">
        <f>Data_base_case!AV5&amp;Data_base_case!AV6</f>
        <v>Load min (% of max capacity)2025 best</v>
      </c>
      <c r="AP3" s="19" t="str">
        <f>Data_base_case!AX5&amp;Data_base_case!AX6</f>
        <v>Load min (% of max capacity)2030 bench</v>
      </c>
      <c r="AQ3" s="19" t="str">
        <f>Data_base_case!AZ5&amp;Data_base_case!AZ6</f>
        <v>Load min (% of max capacity)2040 bench</v>
      </c>
      <c r="AR3" s="19" t="str">
        <f>Data_base_case!BB5&amp;Data_base_case!BB6</f>
        <v>Load min (% of max capacity)2050 bench</v>
      </c>
      <c r="AS3" s="19" t="e">
        <f>Data_base_case!#REF!&amp;Data_base_case!#REF!</f>
        <v>#REF!</v>
      </c>
      <c r="AT3" s="19" t="e">
        <f>Data_base_case!#REF!&amp;Data_base_case!#REF!</f>
        <v>#REF!</v>
      </c>
      <c r="AU3" s="19" t="e">
        <f>Data_base_case!#REF!&amp;Data_base_case!#REF!</f>
        <v>#REF!</v>
      </c>
      <c r="AV3" s="19" t="e">
        <f>Data_base_case!#REF!&amp;Data_base_case!#REF!</f>
        <v>#REF!</v>
      </c>
      <c r="AW3" s="19" t="e">
        <f>Data_base_case!#REF!&amp;Data_base_case!#REF!</f>
        <v>#REF!</v>
      </c>
      <c r="AX3" s="19" t="e">
        <f>Data_base_case!#REF!&amp;Data_base_case!#REF!</f>
        <v>#REF!</v>
      </c>
      <c r="AY3" s="19" t="str">
        <f>Data_base_case!BD5&amp;Data_base_case!BD6</f>
        <v>Ramp up (% of capacity /h)2025 worst</v>
      </c>
      <c r="AZ3" s="19" t="str">
        <f>Data_base_case!BE5&amp;Data_base_case!BE6</f>
        <v>Ramp up (% of capacity /h)2025 bench</v>
      </c>
      <c r="BA3" s="19" t="str">
        <f>Data_base_case!BF5&amp;Data_base_case!BF6</f>
        <v>Ramp up (% of capacity /h)2025 best</v>
      </c>
      <c r="BB3" s="19" t="str">
        <f>Data_base_case!BH5&amp;Data_base_case!BH6</f>
        <v>Ramp up (% of capacity /h)2030 bench</v>
      </c>
      <c r="BC3" s="19" t="str">
        <f>Data_base_case!BJ5&amp;Data_base_case!BJ6</f>
        <v>Ramp up (% of capacity /h)2040 bench</v>
      </c>
      <c r="BD3" s="19" t="str">
        <f>Data_base_case!BL5&amp;Data_base_case!BL6</f>
        <v>Ramp up (% of capacity /h)2050 bench</v>
      </c>
      <c r="BE3" s="19" t="str">
        <f>Data_base_case!BN5&amp;Data_base_case!BN6</f>
        <v>Ramp down (% of capacity /h)2025 worst</v>
      </c>
      <c r="BF3" s="19" t="str">
        <f>Data_base_case!BO5&amp;Data_base_case!BO6</f>
        <v>Ramp down (% of capacity /h)2025 bench</v>
      </c>
      <c r="BG3" s="19" t="str">
        <f>Data_base_case!BP5&amp;Data_base_case!BP6</f>
        <v>Ramp down (% of capacity /h)2025 best</v>
      </c>
      <c r="BH3" s="19" t="str">
        <f>Data_base_case!BR5&amp;Data_base_case!BR6</f>
        <v>Ramp down (% of capacity /h)2030 bench</v>
      </c>
      <c r="BI3" s="19" t="str">
        <f>Data_base_case!BT5&amp;Data_base_case!BT6</f>
        <v>Ramp down (% of capacity /h)2040 bench</v>
      </c>
      <c r="BJ3" s="19" t="str">
        <f>Data_base_case!BV5&amp;Data_base_case!BV6</f>
        <v>Ramp down (% of capacity /h)2050 bench</v>
      </c>
      <c r="BK3" s="19" t="str">
        <f>Data_base_case!BX5&amp;Data_base_case!BX6</f>
        <v>Electrical consumption (kWh/output)2025 worst</v>
      </c>
      <c r="BL3" s="19" t="str">
        <f>Data_base_case!BY5&amp;Data_base_case!BY6</f>
        <v>Electrical consumption (kWh/output)2025 bench</v>
      </c>
      <c r="BM3" s="19" t="str">
        <f>Data_base_case!BZ5&amp;Data_base_case!BZ6</f>
        <v>Electrical consumption (kWh/output)2025 best</v>
      </c>
      <c r="BN3" s="19" t="str">
        <f>Data_base_case!CB5&amp;Data_base_case!CB6</f>
        <v>Electrical consumption (kWh/output)2030 bench</v>
      </c>
      <c r="BO3" s="19" t="str">
        <f>Data_base_case!CD5&amp;Data_base_case!CD6</f>
        <v>Electrical consumption (kWh/output)2040 bench</v>
      </c>
      <c r="BP3" s="19" t="str">
        <f>Data_base_case!CF5&amp;Data_base_case!CF6</f>
        <v>Electrical consumption (kWh/output)2050 bench</v>
      </c>
      <c r="BQ3" s="19" t="str">
        <f>Data_base_case!CH5&amp;Data_base_case!CH6</f>
        <v>Investment (EUR/Capacity installed)2025 worst</v>
      </c>
      <c r="BR3" s="19" t="str">
        <f>Data_base_case!CI5&amp;Data_base_case!CI6</f>
        <v>Investment (EUR/Capacity installed)2025 bench</v>
      </c>
      <c r="BS3" s="19" t="str">
        <f>Data_base_case!CJ5&amp;Data_base_case!CJ6</f>
        <v>Investment (EUR/Capacity installed)2025 best</v>
      </c>
      <c r="BT3" s="19" t="str">
        <f>Data_base_case!CL5&amp;Data_base_case!CL6</f>
        <v>Investment (EUR/Capacity installed)2030 bench</v>
      </c>
      <c r="BU3" s="19" t="str">
        <f>Data_base_case!CN5&amp;Data_base_case!CN6</f>
        <v>Investment (EUR/Capacity installed)2040 bench</v>
      </c>
      <c r="BV3" s="19" t="str">
        <f>Data_base_case!CP5&amp;Data_base_case!CP6</f>
        <v>Investment (EUR/Capacity installed)2050 bench</v>
      </c>
      <c r="BW3" s="19" t="str">
        <f>Data_base_case!CR5&amp;Data_base_case!CR6</f>
        <v>Fixed cost (EUR/Capacity installed/y)2025 worst</v>
      </c>
      <c r="BX3" s="19" t="str">
        <f>Data_base_case!CS5&amp;Data_base_case!CS6</f>
        <v>Fixed cost (EUR/Capacity installed/y)2025 bench</v>
      </c>
      <c r="BY3" s="19" t="str">
        <f>Data_base_case!CT5&amp;Data_base_case!CT6</f>
        <v>Fixed cost (EUR/Capacity installed/y)2025 best</v>
      </c>
      <c r="BZ3" s="19" t="str">
        <f>Data_base_case!CV5&amp;Data_base_case!CV6</f>
        <v>Fixed cost (EUR/Capacity installed/y)2030 bench</v>
      </c>
      <c r="CA3" s="19" t="str">
        <f>Data_base_case!CX5&amp;Data_base_case!CX6</f>
        <v>Fixed cost (EUR/Capacity installed/y)2040 bench</v>
      </c>
      <c r="CB3" s="19" t="str">
        <f>Data_base_case!CZ5&amp;Data_base_case!CZ6</f>
        <v>Fixed cost (EUR/Capacity installed/y)2050 bench</v>
      </c>
      <c r="CC3" s="19" t="str">
        <f>Data_base_case!DB5&amp;Data_base_case!DB6</f>
        <v>Variable cost (EUR/Output)2025 worst</v>
      </c>
      <c r="CD3" s="19" t="str">
        <f>Data_base_case!DC5&amp;Data_base_case!DC6</f>
        <v>Variable cost (EUR/Output)2025 bench</v>
      </c>
      <c r="CE3" s="19" t="str">
        <f>Data_base_case!DD5&amp;Data_base_case!DD6</f>
        <v>Variable cost (EUR/Output)2025 best</v>
      </c>
      <c r="CF3" s="19" t="str">
        <f>Data_base_case!DF5&amp;Data_base_case!DF6</f>
        <v>Variable cost (EUR/Output)2030 bench</v>
      </c>
      <c r="CG3" s="19" t="str">
        <f>Data_base_case!DH5&amp;Data_base_case!DH6</f>
        <v>Variable cost (EUR/Output)2040 bench</v>
      </c>
      <c r="CH3" s="19" t="str">
        <f>Data_base_case!DJ5&amp;Data_base_case!DJ6</f>
        <v>Variable cost (EUR/Output)2050 bench</v>
      </c>
      <c r="CI3" s="19" t="str">
        <f>Data_base_case!DL5&amp;Data_base_case!DL6</f>
        <v>Fuel selling price (EUR/output)2025 worst</v>
      </c>
      <c r="CJ3" s="19" t="str">
        <f>Data_base_case!DM5&amp;Data_base_case!DM6</f>
        <v>Fuel selling price (EUR/output)2025 bench</v>
      </c>
      <c r="CK3" s="19" t="str">
        <f>Data_base_case!DN5&amp;Data_base_case!DN6</f>
        <v>Fuel selling price (EUR/output)2025 best</v>
      </c>
      <c r="CL3" s="19" t="str">
        <f>Data_base_case!DP5&amp;Data_base_case!DP6</f>
        <v>Fuel selling price (EUR/output)2030 bench</v>
      </c>
      <c r="CM3" s="19" t="str">
        <f>Data_base_case!DR5&amp;Data_base_case!DR6</f>
        <v>Fuel selling price (EUR/output)2040 bench</v>
      </c>
      <c r="CN3" s="19" t="str">
        <f>Data_base_case!DT5&amp;Data_base_case!DT6</f>
        <v>Fuel selling price (EUR/output)2050 bench</v>
      </c>
      <c r="CO3" s="19" t="str">
        <f>Data_base_case!DV5&amp;Data_base_case!DV6</f>
        <v>Fuel buying price (EUR/output)2025 worst</v>
      </c>
      <c r="CP3" s="19" t="str">
        <f>Data_base_case!DW5&amp;Data_base_case!DW6</f>
        <v>Fuel buying price (EUR/output)2025 bench</v>
      </c>
      <c r="CQ3" s="19" t="str">
        <f>Data_base_case!DX5&amp;Data_base_case!DX6</f>
        <v>Fuel buying price (EUR/output)2025 best</v>
      </c>
      <c r="CR3" s="19" t="str">
        <f>Data_base_case!DZ5&amp;Data_base_case!DZ6</f>
        <v>Fuel buying price (EUR/output)2030 bench</v>
      </c>
      <c r="CS3" s="19" t="str">
        <f>Data_base_case!EB5&amp;Data_base_case!EB6</f>
        <v>Fuel buying price (EUR/output)2040 bench</v>
      </c>
      <c r="CT3" s="19" t="str">
        <f>Data_base_case!ED5&amp;Data_base_case!ED6</f>
        <v>Fuel buying price (EUR/output)2050 bench</v>
      </c>
      <c r="CU3" s="19" t="str">
        <f>Data_base_case!EF5&amp;Data_base_case!EF6</f>
        <v>CO2e infrastructure (kg CO2e/Capacity/y)2025 worst</v>
      </c>
      <c r="CV3" s="19" t="str">
        <f>Data_base_case!EG5&amp;Data_base_case!EG6</f>
        <v>CO2e infrastructure (kg CO2e/Capacity/y)2025 bench</v>
      </c>
      <c r="CW3" s="19" t="str">
        <f>Data_base_case!EH5&amp;Data_base_case!EH6</f>
        <v>CO2e infrastructure (kg CO2e/Capacity/y)2025 best</v>
      </c>
      <c r="CX3" s="19" t="str">
        <f>Data_base_case!EJ5&amp;Data_base_case!EJ6</f>
        <v>CO2e infrastructure (kg CO2e/Capacity/y)2030 bench</v>
      </c>
      <c r="CY3" s="19" t="str">
        <f>Data_base_case!EL5&amp;Data_base_case!EL6</f>
        <v>CO2e infrastructure (kg CO2e/Capacity/y)2040 bench</v>
      </c>
      <c r="CZ3" s="19" t="str">
        <f>Data_base_case!EN5&amp;Data_base_case!EN6</f>
        <v>CO2e infrastructure (kg CO2e/Capacity/y)2050 bench</v>
      </c>
      <c r="DA3" s="19" t="str">
        <f>Data_base_case!EP5&amp;Data_base_case!EP6</f>
        <v>CO2e process (kg CO2e/output)2025 worst</v>
      </c>
      <c r="DB3" s="19" t="str">
        <f>Data_base_case!EQ5&amp;Data_base_case!EQ6</f>
        <v>CO2e process (kg CO2e/output)2025 bench</v>
      </c>
      <c r="DC3" s="19" t="str">
        <f>Data_base_case!ER5&amp;Data_base_case!ER6</f>
        <v>CO2e process (kg CO2e/output)2025 best</v>
      </c>
      <c r="DD3" s="19" t="str">
        <f>Data_base_case!ET5&amp;Data_base_case!ET6</f>
        <v>CO2e process (kg CO2e/output)2030 bench</v>
      </c>
      <c r="DE3" s="19" t="str">
        <f>Data_base_case!EV5&amp;Data_base_case!EV6</f>
        <v>CO2e process (kg CO2e/output)2040 bench</v>
      </c>
      <c r="DF3" s="19" t="str">
        <f>Data_base_case!EX5&amp;Data_base_case!EX6</f>
        <v>CO2e process (kg CO2e/output)2050 bench</v>
      </c>
      <c r="DG3" s="19" t="str">
        <f>Data_base_case!EZ5&amp;Data_base_case!EZ6</f>
        <v>Land use (m2/Capacity)2025 worst</v>
      </c>
      <c r="DH3" s="19" t="str">
        <f>Data_base_case!FA5&amp;Data_base_case!FA6</f>
        <v>Land use (m2/Capacity)2025 bench</v>
      </c>
      <c r="DI3" s="19" t="str">
        <f>Data_base_case!FB5&amp;Data_base_case!FB6</f>
        <v>Land use (m2/Capacity)2025 best</v>
      </c>
      <c r="DJ3" s="19" t="str">
        <f>Data_base_case!FD5&amp;Data_base_case!FD6</f>
        <v>Land use (m2/Capacity)2030 bench</v>
      </c>
      <c r="DK3" s="19" t="str">
        <f>Data_base_case!FF5&amp;Data_base_case!FF6</f>
        <v>Land use (m2/Capacity)2040 bench</v>
      </c>
      <c r="DL3" s="19" t="str">
        <f>Data_base_case!FH5&amp;Data_base_case!FH6</f>
        <v>Land use (m2/Capacity)2050 bench</v>
      </c>
      <c r="DM3" s="19" t="str">
        <f>Data_base_case!FJ5&amp;Data_base_case!FJ6</f>
        <v>Annuity factor2025 worst</v>
      </c>
      <c r="DN3" s="19" t="str">
        <f>Data_base_case!FK5&amp;Data_base_case!FK6</f>
        <v>Annuity factor2025 bench</v>
      </c>
      <c r="DO3" s="19" t="str">
        <f>Data_base_case!FL5&amp;Data_base_case!FL6</f>
        <v>Annuity factor2025 best</v>
      </c>
      <c r="DP3" s="19" t="str">
        <f>Data_base_case!FN5&amp;Data_base_case!FN6</f>
        <v>Annuity factor2030 bench</v>
      </c>
      <c r="DQ3" s="19" t="str">
        <f>Data_base_case!FP5&amp;Data_base_case!FP6</f>
        <v>Annuity factor2040 bench</v>
      </c>
      <c r="DR3" s="19" t="str">
        <f>Data_base_case!FS5&amp;Data_base_case!FS6</f>
        <v>Annuity factor2050 best</v>
      </c>
      <c r="DS3" s="19" t="str">
        <f>Data_base_case!FT5&amp;Data_base_case!FT6</f>
        <v/>
      </c>
      <c r="DT3" s="19" t="str">
        <f>Data_base_case!FU5&amp;Data_base_case!FU6</f>
        <v/>
      </c>
      <c r="DU3" s="19" t="str">
        <f>Data_base_case!FV5&amp;Data_base_case!FV6</f>
        <v/>
      </c>
      <c r="DV3" s="19" t="str">
        <f>Data_base_case!FW5&amp;Data_base_case!FW6</f>
        <v/>
      </c>
      <c r="DW3" s="19" t="str">
        <f>Data_base_case!FX5&amp;Data_base_case!FX6</f>
        <v/>
      </c>
      <c r="DX3" s="19" t="str">
        <f>Data_base_case!FY5&amp;Data_base_case!FY6</f>
        <v/>
      </c>
      <c r="DY3" s="19" t="str">
        <f>Data_base_case!FZ5&amp;Data_base_case!FZ6</f>
        <v/>
      </c>
      <c r="DZ3" s="19" t="str">
        <f>Data_base_case!GA5&amp;Data_base_case!GA6</f>
        <v/>
      </c>
      <c r="EA3" s="19" t="str">
        <f>Data_base_case!GB5&amp;Data_base_case!GB6</f>
        <v/>
      </c>
      <c r="EB3" s="19" t="str">
        <f>Data_base_case!GC5&amp;Data_base_case!GC6</f>
        <v/>
      </c>
      <c r="EC3" s="19" t="str">
        <f>Data_base_case!GD5&amp;Data_base_case!GD6</f>
        <v/>
      </c>
      <c r="ED3" s="19" t="str">
        <f>Data_base_case!GE5&amp;Data_base_case!GE6</f>
        <v/>
      </c>
      <c r="EE3" s="19" t="str">
        <f>Data_base_case!GF5&amp;Data_base_case!GF6</f>
        <v/>
      </c>
      <c r="EF3" s="19" t="str">
        <f>Data_base_case!GG5&amp;Data_base_case!GG6</f>
        <v/>
      </c>
      <c r="EG3" s="19" t="str">
        <f>Data_base_case!GH5&amp;Data_base_case!GH6</f>
        <v/>
      </c>
      <c r="EH3" s="19" t="str">
        <f>Data_base_case!GI5&amp;Data_base_case!GI6</f>
        <v/>
      </c>
      <c r="EI3" s="19" t="str">
        <f>Data_base_case!GJ5&amp;Data_base_case!GJ6</f>
        <v/>
      </c>
      <c r="EJ3" s="19" t="str">
        <f>Data_base_case!GK5&amp;Data_base_case!GK6</f>
        <v/>
      </c>
    </row>
    <row r="4" spans="1:140" ht="14.55" customHeight="1" x14ac:dyDescent="0.3">
      <c r="A4" s="1" t="s">
        <v>430</v>
      </c>
      <c r="B4" s="167" t="s">
        <v>430</v>
      </c>
      <c r="C4" s="13" t="s">
        <v>403</v>
      </c>
      <c r="D4" s="1" t="s">
        <v>78</v>
      </c>
      <c r="E4" s="11" t="s">
        <v>133</v>
      </c>
      <c r="F4" s="1">
        <f>H4</f>
        <v>24439560.439560439</v>
      </c>
      <c r="G4" s="147" t="s">
        <v>133</v>
      </c>
      <c r="H4" s="1">
        <f>INDEX(Data_base_case!$D$8:$FS$114,MATCH(Scenarios_definition!C4,Data_base_case!$D$8:$D$114,0),MATCH(Scenarios_definition!D4&amp;Scenarios_definition!G4,Data_base_case!$D$7:$FS$7,0))</f>
        <v>24439560.439560439</v>
      </c>
    </row>
    <row r="5" spans="1:140" s="72" customFormat="1" x14ac:dyDescent="0.3">
      <c r="A5" s="1" t="s">
        <v>477</v>
      </c>
      <c r="B5" s="75" t="s">
        <v>489</v>
      </c>
      <c r="C5" s="13" t="s">
        <v>445</v>
      </c>
      <c r="D5" s="1" t="s">
        <v>187</v>
      </c>
      <c r="E5" s="11" t="s">
        <v>133</v>
      </c>
      <c r="F5" s="1">
        <f t="shared" ref="F5:F12" si="0">H5</f>
        <v>0.35699999999999998</v>
      </c>
      <c r="G5" s="147" t="s">
        <v>322</v>
      </c>
      <c r="H5" s="1">
        <f>INDEX(Data_base_case!$D$8:$FS$114,MATCH(Scenarios_definition!C5,Data_base_case!$D$8:$D$114,0),MATCH(Scenarios_definition!D5&amp;Scenarios_definition!G5,Data_base_case!$D$7:$FS$7,0))</f>
        <v>0.35699999999999998</v>
      </c>
    </row>
    <row r="6" spans="1:140" x14ac:dyDescent="0.3">
      <c r="A6" s="1" t="s">
        <v>477</v>
      </c>
      <c r="B6" s="75" t="s">
        <v>488</v>
      </c>
      <c r="C6" s="13" t="s">
        <v>445</v>
      </c>
      <c r="D6" s="1" t="s">
        <v>187</v>
      </c>
      <c r="E6" s="11" t="s">
        <v>133</v>
      </c>
      <c r="F6" s="1">
        <f t="shared" si="0"/>
        <v>0.35699999999999998</v>
      </c>
      <c r="G6" s="147" t="s">
        <v>322</v>
      </c>
      <c r="H6" s="1">
        <f>INDEX(Data_base_case!$D$8:$FS$114,MATCH(Scenarios_definition!C6,Data_base_case!$D$8:$D$114,0),MATCH(Scenarios_definition!D6&amp;Scenarios_definition!G6,Data_base_case!$D$7:$FS$7,0))</f>
        <v>0.35699999999999998</v>
      </c>
    </row>
    <row r="7" spans="1:140" x14ac:dyDescent="0.3">
      <c r="A7" s="1" t="s">
        <v>477</v>
      </c>
      <c r="B7" s="75" t="s">
        <v>491</v>
      </c>
      <c r="C7" s="13" t="s">
        <v>445</v>
      </c>
      <c r="D7" s="1" t="s">
        <v>187</v>
      </c>
      <c r="E7" s="11" t="s">
        <v>133</v>
      </c>
      <c r="F7" s="1">
        <f t="shared" si="0"/>
        <v>0.503</v>
      </c>
      <c r="G7" s="147" t="s">
        <v>284</v>
      </c>
      <c r="H7" s="1">
        <f>INDEX(Data_base_case!$D$8:$FS$114,MATCH(Scenarios_definition!C7,Data_base_case!$D$8:$D$114,0),MATCH(Scenarios_definition!D7&amp;Scenarios_definition!G7,Data_base_case!$D$7:$FS$7,0))</f>
        <v>0.503</v>
      </c>
    </row>
    <row r="8" spans="1:140" x14ac:dyDescent="0.3">
      <c r="A8" s="1" t="s">
        <v>477</v>
      </c>
      <c r="B8" s="75" t="s">
        <v>492</v>
      </c>
      <c r="C8" s="13" t="s">
        <v>445</v>
      </c>
      <c r="D8" s="1" t="s">
        <v>79</v>
      </c>
      <c r="E8" s="11" t="s">
        <v>133</v>
      </c>
      <c r="F8" s="1">
        <v>1.08</v>
      </c>
      <c r="G8" s="147" t="s">
        <v>318</v>
      </c>
      <c r="H8" s="1">
        <f>INDEX(Data_base_case!$D$8:$FS$114,MATCH(Scenarios_definition!C8,Data_base_case!$D$8:$D$114,0),MATCH(Scenarios_definition!D8&amp;Scenarios_definition!G8,Data_base_case!$D$7:$FS$7,0))</f>
        <v>1.256830601092896</v>
      </c>
    </row>
    <row r="9" spans="1:140" x14ac:dyDescent="0.3">
      <c r="A9" s="1" t="s">
        <v>476</v>
      </c>
      <c r="B9" s="107" t="s">
        <v>484</v>
      </c>
      <c r="C9" s="13" t="s">
        <v>447</v>
      </c>
      <c r="D9" s="1" t="s">
        <v>187</v>
      </c>
      <c r="E9" s="11" t="s">
        <v>133</v>
      </c>
      <c r="F9" s="1">
        <f>H9</f>
        <v>0.35699999999999998</v>
      </c>
      <c r="G9" s="147" t="s">
        <v>322</v>
      </c>
      <c r="H9" s="1">
        <f>INDEX(Data_base_case!$D$8:$FS$114,MATCH(Scenarios_definition!C9,Data_base_case!$D$8:$D$114,0),MATCH(Scenarios_definition!D9&amp;Scenarios_definition!G9,Data_base_case!$D$7:$FS$7,0))</f>
        <v>0.35699999999999998</v>
      </c>
    </row>
    <row r="10" spans="1:140" x14ac:dyDescent="0.3">
      <c r="A10" s="1" t="s">
        <v>476</v>
      </c>
      <c r="B10" s="107" t="s">
        <v>482</v>
      </c>
      <c r="C10" s="13" t="s">
        <v>447</v>
      </c>
      <c r="D10" s="1" t="s">
        <v>187</v>
      </c>
      <c r="E10" s="11" t="s">
        <v>133</v>
      </c>
      <c r="F10" s="1">
        <f t="shared" si="0"/>
        <v>0.503</v>
      </c>
      <c r="G10" s="147" t="s">
        <v>284</v>
      </c>
      <c r="H10" s="1">
        <f>INDEX(Data_base_case!$D$8:$FS$114,MATCH(Scenarios_definition!C10,Data_base_case!$D$8:$D$114,0),MATCH(Scenarios_definition!D10&amp;Scenarios_definition!G10,Data_base_case!$D$7:$FS$7,0))</f>
        <v>0.503</v>
      </c>
    </row>
    <row r="11" spans="1:140" x14ac:dyDescent="0.3">
      <c r="A11" s="1" t="s">
        <v>476</v>
      </c>
      <c r="B11" s="107" t="s">
        <v>483</v>
      </c>
      <c r="C11" s="13" t="s">
        <v>443</v>
      </c>
      <c r="D11" s="1" t="s">
        <v>79</v>
      </c>
      <c r="E11" s="11" t="s">
        <v>133</v>
      </c>
      <c r="F11" s="1" t="e">
        <f t="shared" si="0"/>
        <v>#N/A</v>
      </c>
      <c r="G11" s="147" t="s">
        <v>318</v>
      </c>
      <c r="H11" s="1" t="e">
        <f>INDEX(Data_base_case!$D$8:$FS$114,MATCH(Scenarios_definition!C11,Data_base_case!$D$8:$D$114,0),MATCH(Scenarios_definition!D11&amp;Scenarios_definition!G11,Data_base_case!$D$7:$FS$7,0))</f>
        <v>#N/A</v>
      </c>
    </row>
    <row r="12" spans="1:140" x14ac:dyDescent="0.3">
      <c r="A12" s="1" t="s">
        <v>476</v>
      </c>
      <c r="B12" s="107" t="s">
        <v>483</v>
      </c>
      <c r="C12" s="13" t="s">
        <v>447</v>
      </c>
      <c r="D12" s="1" t="s">
        <v>187</v>
      </c>
      <c r="E12" s="11" t="s">
        <v>133</v>
      </c>
      <c r="F12" s="1">
        <f t="shared" si="0"/>
        <v>0.27700000000000002</v>
      </c>
      <c r="G12" s="147" t="s">
        <v>318</v>
      </c>
      <c r="H12" s="1">
        <f>INDEX(Data_base_case!$D$8:$FS$114,MATCH(Scenarios_definition!C12,Data_base_case!$D$8:$D$114,0),MATCH(Scenarios_definition!D12&amp;Scenarios_definition!G12,Data_base_case!$D$7:$FS$7,0))</f>
        <v>0.27700000000000002</v>
      </c>
    </row>
    <row r="13" spans="1:140" x14ac:dyDescent="0.3">
      <c r="A13" s="1" t="s">
        <v>478</v>
      </c>
      <c r="B13" s="75" t="s">
        <v>458</v>
      </c>
      <c r="C13" s="11" t="s">
        <v>43</v>
      </c>
      <c r="D13" s="148" t="s">
        <v>131</v>
      </c>
      <c r="E13" s="11" t="s">
        <v>133</v>
      </c>
      <c r="F13" s="1">
        <v>1</v>
      </c>
      <c r="G13" s="1" t="s">
        <v>133</v>
      </c>
      <c r="H13" s="1">
        <f>INDEX(Data_base_case!$D$8:$FS$114,MATCH(Scenarios_definition!C13,Data_base_case!$D$8:$D$114,0),MATCH(Scenarios_definition!D13&amp;Scenarios_definition!G13,Data_base_case!$D$7:$FS$7,0))</f>
        <v>0</v>
      </c>
    </row>
    <row r="14" spans="1:140" x14ac:dyDescent="0.3">
      <c r="B14" s="75" t="s">
        <v>458</v>
      </c>
      <c r="C14" s="13" t="s">
        <v>47</v>
      </c>
      <c r="D14" s="148" t="s">
        <v>131</v>
      </c>
      <c r="E14" s="11" t="s">
        <v>133</v>
      </c>
      <c r="F14" s="1">
        <v>1</v>
      </c>
      <c r="G14" s="1" t="s">
        <v>133</v>
      </c>
      <c r="H14" s="1">
        <f>INDEX(Data_base_case!$D$8:$FS$114,MATCH(Scenarios_definition!C14,Data_base_case!$D$8:$D$114,0),MATCH(Scenarios_definition!D14&amp;Scenarios_definition!G14,Data_base_case!$D$7:$FS$7,0))</f>
        <v>1</v>
      </c>
    </row>
    <row r="15" spans="1:140" x14ac:dyDescent="0.3">
      <c r="B15" s="75" t="s">
        <v>458</v>
      </c>
      <c r="C15" s="13" t="s">
        <v>49</v>
      </c>
      <c r="D15" s="148" t="s">
        <v>131</v>
      </c>
      <c r="E15" s="11" t="s">
        <v>133</v>
      </c>
      <c r="F15" s="1">
        <v>1</v>
      </c>
      <c r="G15" s="1" t="s">
        <v>133</v>
      </c>
      <c r="H15" s="1">
        <f>INDEX(Data_base_case!$D$8:$FS$114,MATCH(Scenarios_definition!C15,Data_base_case!$D$8:$D$114,0),MATCH(Scenarios_definition!D15&amp;Scenarios_definition!G15,Data_base_case!$D$7:$FS$7,0))</f>
        <v>1</v>
      </c>
    </row>
    <row r="16" spans="1:140" x14ac:dyDescent="0.3">
      <c r="B16" s="75" t="s">
        <v>458</v>
      </c>
      <c r="C16" s="13" t="s">
        <v>164</v>
      </c>
      <c r="D16" s="148" t="s">
        <v>131</v>
      </c>
      <c r="E16" s="11" t="s">
        <v>133</v>
      </c>
      <c r="F16" s="1">
        <v>1</v>
      </c>
      <c r="G16" s="1" t="s">
        <v>133</v>
      </c>
      <c r="H16" s="1">
        <f>INDEX(Data_base_case!$D$8:$FS$114,MATCH(Scenarios_definition!C16,Data_base_case!$D$8:$D$114,0),MATCH(Scenarios_definition!D16&amp;Scenarios_definition!G16,Data_base_case!$D$7:$FS$7,0))</f>
        <v>1</v>
      </c>
    </row>
    <row r="17" spans="1:8" x14ac:dyDescent="0.3">
      <c r="B17" s="75" t="s">
        <v>458</v>
      </c>
      <c r="C17" s="13" t="s">
        <v>54</v>
      </c>
      <c r="D17" s="148" t="s">
        <v>131</v>
      </c>
      <c r="E17" s="11" t="s">
        <v>133</v>
      </c>
      <c r="F17" s="1">
        <v>1</v>
      </c>
      <c r="G17" s="1" t="s">
        <v>133</v>
      </c>
      <c r="H17" s="1">
        <f>INDEX(Data_base_case!$D$8:$FS$114,MATCH(Scenarios_definition!C17,Data_base_case!$D$8:$D$114,0),MATCH(Scenarios_definition!D17&amp;Scenarios_definition!G17,Data_base_case!$D$7:$FS$7,0))</f>
        <v>1</v>
      </c>
    </row>
    <row r="18" spans="1:8" x14ac:dyDescent="0.3">
      <c r="B18" s="75" t="s">
        <v>458</v>
      </c>
      <c r="C18" s="13" t="s">
        <v>56</v>
      </c>
      <c r="D18" s="148" t="s">
        <v>131</v>
      </c>
      <c r="E18" s="11" t="s">
        <v>133</v>
      </c>
      <c r="F18" s="1">
        <v>1</v>
      </c>
      <c r="G18" s="1" t="s">
        <v>133</v>
      </c>
      <c r="H18" s="1">
        <f>INDEX(Data_base_case!$D$8:$FS$114,MATCH(Scenarios_definition!C18,Data_base_case!$D$8:$D$114,0),MATCH(Scenarios_definition!D18&amp;Scenarios_definition!G18,Data_base_case!$D$7:$FS$7,0))</f>
        <v>1</v>
      </c>
    </row>
    <row r="19" spans="1:8" x14ac:dyDescent="0.3">
      <c r="B19" s="75" t="s">
        <v>458</v>
      </c>
      <c r="C19" s="13" t="s">
        <v>58</v>
      </c>
      <c r="D19" s="148" t="s">
        <v>131</v>
      </c>
      <c r="E19" s="11" t="s">
        <v>133</v>
      </c>
      <c r="F19" s="1">
        <v>1</v>
      </c>
      <c r="G19" s="1" t="s">
        <v>133</v>
      </c>
      <c r="H19" s="1">
        <f>INDEX(Data_base_case!$D$8:$FS$114,MATCH(Scenarios_definition!C19,Data_base_case!$D$8:$D$114,0),MATCH(Scenarios_definition!D19&amp;Scenarios_definition!G19,Data_base_case!$D$7:$FS$7,0))</f>
        <v>1</v>
      </c>
    </row>
    <row r="20" spans="1:8" x14ac:dyDescent="0.3">
      <c r="B20" s="75" t="s">
        <v>458</v>
      </c>
      <c r="C20" s="13" t="s">
        <v>60</v>
      </c>
      <c r="D20" s="148" t="s">
        <v>131</v>
      </c>
      <c r="E20" s="11" t="s">
        <v>133</v>
      </c>
      <c r="F20" s="1">
        <v>1</v>
      </c>
      <c r="G20" s="1" t="s">
        <v>133</v>
      </c>
      <c r="H20" s="1">
        <f>INDEX(Data_base_case!$D$8:$FS$114,MATCH(Scenarios_definition!C20,Data_base_case!$D$8:$D$114,0),MATCH(Scenarios_definition!D20&amp;Scenarios_definition!G20,Data_base_case!$D$7:$FS$7,0))</f>
        <v>1</v>
      </c>
    </row>
    <row r="21" spans="1:8" x14ac:dyDescent="0.3">
      <c r="B21" s="75" t="s">
        <v>458</v>
      </c>
      <c r="C21" s="13" t="s">
        <v>62</v>
      </c>
      <c r="D21" s="148" t="s">
        <v>131</v>
      </c>
      <c r="E21" s="11" t="s">
        <v>133</v>
      </c>
      <c r="F21" s="1">
        <v>1</v>
      </c>
      <c r="G21" s="1" t="s">
        <v>133</v>
      </c>
      <c r="H21" s="1">
        <f>INDEX(Data_base_case!$D$8:$FS$114,MATCH(Scenarios_definition!C21,Data_base_case!$D$8:$D$114,0),MATCH(Scenarios_definition!D21&amp;Scenarios_definition!G21,Data_base_case!$D$7:$FS$7,0))</f>
        <v>1</v>
      </c>
    </row>
    <row r="22" spans="1:8" x14ac:dyDescent="0.3">
      <c r="B22" s="75" t="s">
        <v>458</v>
      </c>
      <c r="C22" s="13" t="s">
        <v>64</v>
      </c>
      <c r="D22" s="148" t="s">
        <v>131</v>
      </c>
      <c r="E22" s="11" t="s">
        <v>133</v>
      </c>
      <c r="F22" s="1">
        <v>1</v>
      </c>
      <c r="G22" s="1" t="s">
        <v>133</v>
      </c>
      <c r="H22" s="1">
        <f>INDEX(Data_base_case!$D$8:$FS$114,MATCH(Scenarios_definition!C22,Data_base_case!$D$8:$D$114,0),MATCH(Scenarios_definition!D22&amp;Scenarios_definition!G22,Data_base_case!$D$7:$FS$7,0))</f>
        <v>1</v>
      </c>
    </row>
    <row r="23" spans="1:8" x14ac:dyDescent="0.3">
      <c r="B23" s="75" t="s">
        <v>458</v>
      </c>
      <c r="C23" s="13" t="s">
        <v>66</v>
      </c>
      <c r="D23" s="148" t="s">
        <v>131</v>
      </c>
      <c r="E23" s="11" t="s">
        <v>133</v>
      </c>
      <c r="F23" s="1">
        <v>1</v>
      </c>
      <c r="G23" s="1" t="s">
        <v>133</v>
      </c>
      <c r="H23" s="1">
        <f>INDEX(Data_base_case!$D$8:$FS$114,MATCH(Scenarios_definition!C23,Data_base_case!$D$8:$D$114,0),MATCH(Scenarios_definition!D23&amp;Scenarios_definition!G23,Data_base_case!$D$7:$FS$7,0))</f>
        <v>1</v>
      </c>
    </row>
    <row r="24" spans="1:8" x14ac:dyDescent="0.3">
      <c r="B24" s="75" t="s">
        <v>458</v>
      </c>
      <c r="C24" s="13" t="s">
        <v>68</v>
      </c>
      <c r="D24" s="148" t="s">
        <v>131</v>
      </c>
      <c r="E24" s="11" t="s">
        <v>133</v>
      </c>
      <c r="F24" s="1">
        <v>1</v>
      </c>
      <c r="G24" s="1" t="s">
        <v>133</v>
      </c>
      <c r="H24" s="1">
        <f>INDEX(Data_base_case!$D$8:$FS$114,MATCH(Scenarios_definition!C24,Data_base_case!$D$8:$D$114,0),MATCH(Scenarios_definition!D24&amp;Scenarios_definition!G24,Data_base_case!$D$7:$FS$7,0))</f>
        <v>1</v>
      </c>
    </row>
    <row r="25" spans="1:8" x14ac:dyDescent="0.3">
      <c r="B25" s="75" t="s">
        <v>458</v>
      </c>
      <c r="C25" s="13" t="s">
        <v>70</v>
      </c>
      <c r="D25" s="148" t="s">
        <v>131</v>
      </c>
      <c r="E25" s="11" t="s">
        <v>133</v>
      </c>
      <c r="F25" s="1">
        <v>1</v>
      </c>
      <c r="G25" s="1" t="s">
        <v>133</v>
      </c>
      <c r="H25" s="1">
        <f>INDEX(Data_base_case!$D$8:$FS$114,MATCH(Scenarios_definition!C25,Data_base_case!$D$8:$D$114,0),MATCH(Scenarios_definition!D25&amp;Scenarios_definition!G25,Data_base_case!$D$7:$FS$7,0))</f>
        <v>1</v>
      </c>
    </row>
    <row r="26" spans="1:8" x14ac:dyDescent="0.3">
      <c r="B26" s="75" t="s">
        <v>458</v>
      </c>
      <c r="C26" s="13" t="s">
        <v>72</v>
      </c>
      <c r="D26" s="148" t="s">
        <v>131</v>
      </c>
      <c r="E26" s="11" t="s">
        <v>133</v>
      </c>
      <c r="F26" s="1">
        <v>1</v>
      </c>
      <c r="G26" s="1" t="s">
        <v>133</v>
      </c>
      <c r="H26" s="1">
        <f>INDEX(Data_base_case!$D$8:$FS$114,MATCH(Scenarios_definition!C26,Data_base_case!$D$8:$D$114,0),MATCH(Scenarios_definition!D26&amp;Scenarios_definition!G26,Data_base_case!$D$7:$FS$7,0))</f>
        <v>1</v>
      </c>
    </row>
    <row r="27" spans="1:8" x14ac:dyDescent="0.3">
      <c r="B27" s="75" t="s">
        <v>458</v>
      </c>
      <c r="C27" s="13" t="s">
        <v>165</v>
      </c>
      <c r="D27" s="148" t="s">
        <v>131</v>
      </c>
      <c r="E27" s="11" t="s">
        <v>133</v>
      </c>
      <c r="F27" s="1">
        <v>1</v>
      </c>
      <c r="G27" s="1" t="s">
        <v>133</v>
      </c>
      <c r="H27" s="1">
        <f>INDEX(Data_base_case!$D$8:$FS$114,MATCH(Scenarios_definition!C27,Data_base_case!$D$8:$D$114,0),MATCH(Scenarios_definition!D27&amp;Scenarios_definition!G27,Data_base_case!$D$7:$FS$7,0))</f>
        <v>1</v>
      </c>
    </row>
    <row r="28" spans="1:8" x14ac:dyDescent="0.3">
      <c r="A28" s="33" t="s">
        <v>489</v>
      </c>
      <c r="B28" s="75" t="s">
        <v>495</v>
      </c>
      <c r="C28" s="11" t="s">
        <v>43</v>
      </c>
      <c r="D28" s="148" t="s">
        <v>131</v>
      </c>
      <c r="E28" s="11" t="s">
        <v>133</v>
      </c>
      <c r="F28" s="1">
        <v>1</v>
      </c>
      <c r="G28" s="1" t="s">
        <v>133</v>
      </c>
      <c r="H28" s="1">
        <f>INDEX(Data_base_case!$D$8:$FS$114,MATCH(Scenarios_definition!C28,Data_base_case!$D$8:$D$114,0),MATCH(Scenarios_definition!D28&amp;Scenarios_definition!G28,Data_base_case!$D$7:$FS$7,0))</f>
        <v>0</v>
      </c>
    </row>
    <row r="29" spans="1:8" x14ac:dyDescent="0.3">
      <c r="A29" s="33" t="s">
        <v>488</v>
      </c>
      <c r="B29" s="75" t="s">
        <v>496</v>
      </c>
      <c r="C29" s="11" t="s">
        <v>43</v>
      </c>
      <c r="D29" s="148" t="s">
        <v>131</v>
      </c>
      <c r="E29" s="11" t="s">
        <v>133</v>
      </c>
      <c r="F29" s="1">
        <v>1</v>
      </c>
      <c r="G29" s="1" t="s">
        <v>133</v>
      </c>
      <c r="H29" s="1">
        <f>INDEX(Data_base_case!$D$8:$FS$114,MATCH(Scenarios_definition!C29,Data_base_case!$D$8:$D$114,0),MATCH(Scenarios_definition!D29&amp;Scenarios_definition!G29,Data_base_case!$D$7:$FS$7,0))</f>
        <v>0</v>
      </c>
    </row>
    <row r="30" spans="1:8" x14ac:dyDescent="0.3">
      <c r="A30" s="33" t="s">
        <v>491</v>
      </c>
      <c r="B30" s="75" t="s">
        <v>497</v>
      </c>
      <c r="C30" s="11" t="s">
        <v>43</v>
      </c>
      <c r="D30" s="148" t="s">
        <v>131</v>
      </c>
      <c r="E30" s="11" t="s">
        <v>133</v>
      </c>
      <c r="F30" s="1">
        <v>1</v>
      </c>
      <c r="G30" s="1" t="s">
        <v>133</v>
      </c>
      <c r="H30" s="1">
        <f>INDEX(Data_base_case!$D$8:$FS$114,MATCH(Scenarios_definition!C30,Data_base_case!$D$8:$D$114,0),MATCH(Scenarios_definition!D30&amp;Scenarios_definition!G30,Data_base_case!$D$7:$FS$7,0))</f>
        <v>0</v>
      </c>
    </row>
    <row r="31" spans="1:8" x14ac:dyDescent="0.3">
      <c r="A31" s="33" t="s">
        <v>492</v>
      </c>
      <c r="B31" s="75" t="s">
        <v>498</v>
      </c>
      <c r="C31" s="11" t="s">
        <v>43</v>
      </c>
      <c r="D31" s="148" t="s">
        <v>131</v>
      </c>
      <c r="E31" s="11" t="s">
        <v>133</v>
      </c>
      <c r="F31" s="1">
        <v>1</v>
      </c>
      <c r="G31" s="1" t="s">
        <v>133</v>
      </c>
      <c r="H31" s="1">
        <f>INDEX(Data_base_case!$D$8:$FS$114,MATCH(Scenarios_definition!C31,Data_base_case!$D$8:$D$114,0),MATCH(Scenarios_definition!D31&amp;Scenarios_definition!G31,Data_base_case!$D$7:$FS$7,0))</f>
        <v>0</v>
      </c>
    </row>
    <row r="32" spans="1:8" x14ac:dyDescent="0.3">
      <c r="A32" s="1" t="s">
        <v>430</v>
      </c>
      <c r="B32" s="131" t="s">
        <v>509</v>
      </c>
      <c r="C32" s="13" t="s">
        <v>437</v>
      </c>
      <c r="D32" s="1" t="s">
        <v>187</v>
      </c>
      <c r="E32" s="11" t="s">
        <v>133</v>
      </c>
      <c r="F32" s="1">
        <f>H32</f>
        <v>7.2499999999999995E-2</v>
      </c>
      <c r="G32" s="147" t="s">
        <v>318</v>
      </c>
      <c r="H32" s="1">
        <f>INDEX(Data_base_case!$D$8:$FS$114,MATCH(Scenarios_definition!C32,Data_base_case!$D$8:$D$114,0),MATCH(Scenarios_definition!D32&amp;Scenarios_definition!G32,Data_base_case!$D$7:$FS$7,0))</f>
        <v>7.2499999999999995E-2</v>
      </c>
    </row>
    <row r="33" spans="1:8" x14ac:dyDescent="0.3">
      <c r="A33" s="1" t="s">
        <v>430</v>
      </c>
      <c r="B33" s="131" t="s">
        <v>510</v>
      </c>
      <c r="C33" s="13" t="s">
        <v>437</v>
      </c>
      <c r="D33" s="1" t="s">
        <v>187</v>
      </c>
      <c r="E33" s="11" t="s">
        <v>133</v>
      </c>
      <c r="F33" s="1">
        <f>H33</f>
        <v>0.13195000000000001</v>
      </c>
      <c r="G33" s="147" t="s">
        <v>284</v>
      </c>
      <c r="H33" s="1">
        <f>INDEX(Data_base_case!$D$8:$FS$114,MATCH(Scenarios_definition!C33,Data_base_case!$D$8:$D$114,0),MATCH(Scenarios_definition!D33&amp;Scenarios_definition!G33,Data_base_case!$D$7:$FS$7,0))</f>
        <v>0.13195000000000001</v>
      </c>
    </row>
    <row r="34" spans="1:8" x14ac:dyDescent="0.3">
      <c r="A34" s="33" t="s">
        <v>517</v>
      </c>
      <c r="B34" s="120" t="s">
        <v>516</v>
      </c>
      <c r="C34" s="11" t="s">
        <v>43</v>
      </c>
      <c r="D34" s="148" t="s">
        <v>131</v>
      </c>
      <c r="E34" s="11" t="s">
        <v>133</v>
      </c>
      <c r="F34" s="1">
        <v>0</v>
      </c>
      <c r="G34" s="1" t="s">
        <v>133</v>
      </c>
      <c r="H34" s="1">
        <f>INDEX(Data_base_case!$D$8:$FS$114,MATCH(Scenarios_definition!C34,Data_base_case!$D$8:$D$114,0),MATCH(Scenarios_definition!D34&amp;Scenarios_definition!G34,Data_base_case!$D$7:$FS$7,0))</f>
        <v>0</v>
      </c>
    </row>
    <row r="35" spans="1:8" x14ac:dyDescent="0.3">
      <c r="A35" s="33" t="s">
        <v>517</v>
      </c>
      <c r="B35" s="149" t="s">
        <v>519</v>
      </c>
      <c r="C35" s="11" t="s">
        <v>43</v>
      </c>
      <c r="D35" s="148" t="s">
        <v>131</v>
      </c>
      <c r="E35" s="11" t="s">
        <v>133</v>
      </c>
      <c r="F35" s="1">
        <v>0</v>
      </c>
      <c r="G35" s="1" t="s">
        <v>133</v>
      </c>
      <c r="H35" s="1">
        <f>INDEX(Data_base_case!$D$8:$FS$114,MATCH(Scenarios_definition!C35,Data_base_case!$D$8:$D$114,0),MATCH(Scenarios_definition!D35&amp;Scenarios_definition!G35,Data_base_case!$D$7:$FS$7,0))</f>
        <v>0</v>
      </c>
    </row>
    <row r="36" spans="1:8" x14ac:dyDescent="0.3">
      <c r="A36" s="1" t="s">
        <v>430</v>
      </c>
      <c r="B36" s="131" t="s">
        <v>521</v>
      </c>
      <c r="C36" s="13" t="s">
        <v>437</v>
      </c>
      <c r="D36" s="1" t="s">
        <v>187</v>
      </c>
      <c r="E36" s="11" t="s">
        <v>133</v>
      </c>
      <c r="F36" s="1">
        <f>H36</f>
        <v>9.2799999999999994E-2</v>
      </c>
      <c r="G36" s="147" t="s">
        <v>322</v>
      </c>
      <c r="H36" s="1">
        <f>INDEX(Data_base_case!$D$8:$FS$114,MATCH(Scenarios_definition!C36,Data_base_case!$D$8:$D$114,0),MATCH(Scenarios_definition!D36&amp;Scenarios_definition!G36,Data_base_case!$D$7:$FS$7,0))</f>
        <v>9.2799999999999994E-2</v>
      </c>
    </row>
    <row r="37" spans="1:8" x14ac:dyDescent="0.3">
      <c r="A37" s="1" t="s">
        <v>430</v>
      </c>
      <c r="B37" s="131" t="s">
        <v>523</v>
      </c>
      <c r="C37" s="13" t="s">
        <v>427</v>
      </c>
      <c r="D37" s="1" t="s">
        <v>186</v>
      </c>
      <c r="E37" s="11" t="s">
        <v>133</v>
      </c>
      <c r="F37" s="1">
        <f>H37</f>
        <v>0.16</v>
      </c>
      <c r="G37" s="147" t="s">
        <v>318</v>
      </c>
      <c r="H37" s="1">
        <f>INDEX(Data_base_case!$D$8:$FS$114,MATCH(Scenarios_definition!C37,Data_base_case!$D$8:$D$114,0),MATCH(Scenarios_definition!D37&amp;Scenarios_definition!G37,Data_base_case!$D$7:$FS$7,0))</f>
        <v>0.16</v>
      </c>
    </row>
    <row r="38" spans="1:8" x14ac:dyDescent="0.3">
      <c r="A38" s="1" t="s">
        <v>535</v>
      </c>
      <c r="B38" s="168" t="s">
        <v>531</v>
      </c>
      <c r="C38" s="11" t="s">
        <v>43</v>
      </c>
      <c r="D38" s="148" t="s">
        <v>131</v>
      </c>
      <c r="E38" s="11" t="s">
        <v>133</v>
      </c>
      <c r="F38" s="1">
        <v>0</v>
      </c>
      <c r="G38" s="1" t="s">
        <v>133</v>
      </c>
      <c r="H38" s="1">
        <f>INDEX(Data_base_case!$D$8:$FS$114,MATCH(Scenarios_definition!C38,Data_base_case!$D$8:$D$114,0),MATCH(Scenarios_definition!D38&amp;Scenarios_definition!G38,Data_base_case!$D$7:$FS$7,0))</f>
        <v>0</v>
      </c>
    </row>
  </sheetData>
  <pageMargins left="0.7" right="0.7" top="0.75" bottom="0.75" header="0.3" footer="0.3"/>
  <pageSetup paperSize="9" orientation="portrait" horizontalDpi="429496729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I34"/>
  <sheetViews>
    <sheetView tabSelected="1" zoomScale="112" zoomScaleNormal="112" workbookViewId="0">
      <selection activeCell="B11" sqref="B11"/>
    </sheetView>
  </sheetViews>
  <sheetFormatPr defaultRowHeight="14.4" x14ac:dyDescent="0.3"/>
  <cols>
    <col min="1" max="1" width="15.109375" bestFit="1" customWidth="1"/>
    <col min="2" max="2" width="31.5546875" customWidth="1"/>
    <col min="3" max="3" width="36.88671875" style="17" customWidth="1"/>
    <col min="4" max="4" width="22.21875" style="17" customWidth="1"/>
    <col min="5" max="5" width="10.5546875" style="17" customWidth="1"/>
    <col min="6" max="6" width="11.77734375" style="17" customWidth="1"/>
    <col min="7" max="7" width="11.44140625" style="17" customWidth="1"/>
    <col min="8" max="8" width="16.33203125" style="17" customWidth="1"/>
    <col min="9" max="9" width="12.21875" style="17" customWidth="1"/>
    <col min="10" max="10" width="11.21875" style="17" customWidth="1"/>
    <col min="11" max="11" width="12.6640625" style="17" customWidth="1"/>
    <col min="12" max="12" width="13.44140625" style="17" customWidth="1"/>
    <col min="13" max="13" width="15.77734375" style="17" customWidth="1"/>
    <col min="14" max="14" width="17.21875" style="17" customWidth="1"/>
    <col min="15" max="15" width="18.44140625" style="17" customWidth="1"/>
    <col min="16" max="17" width="13.44140625" style="17" customWidth="1"/>
    <col min="18" max="19" width="21.33203125" customWidth="1"/>
    <col min="20" max="20" width="23.88671875" customWidth="1"/>
    <col min="21" max="21" width="9.6640625" style="20" bestFit="1" customWidth="1"/>
    <col min="22" max="22" width="7.88671875" bestFit="1" customWidth="1"/>
    <col min="23" max="23" width="11.77734375" bestFit="1" customWidth="1"/>
    <col min="24" max="24" width="8.109375" bestFit="1" customWidth="1"/>
    <col min="25" max="25" width="19.21875" bestFit="1" customWidth="1"/>
    <col min="26" max="26" width="20.21875" customWidth="1"/>
    <col min="27" max="27" width="14.77734375" customWidth="1"/>
    <col min="28" max="28" width="13.5546875" customWidth="1"/>
    <col min="29" max="29" width="16" customWidth="1"/>
    <col min="30" max="30" width="20.5546875" customWidth="1"/>
    <col min="31" max="31" width="16" customWidth="1"/>
    <col min="32" max="32" width="14.6640625" style="21" bestFit="1" customWidth="1"/>
    <col min="33" max="33" width="12.21875" bestFit="1" customWidth="1"/>
    <col min="34" max="34" width="8.21875" bestFit="1" customWidth="1"/>
    <col min="35" max="35" width="5.77734375" bestFit="1" customWidth="1"/>
  </cols>
  <sheetData>
    <row r="1" spans="1:35" x14ac:dyDescent="0.3">
      <c r="C1" s="17" t="s">
        <v>149</v>
      </c>
      <c r="R1" s="17"/>
      <c r="S1" s="17"/>
      <c r="T1" s="49"/>
    </row>
    <row r="2" spans="1:35" ht="16.5" customHeight="1" x14ac:dyDescent="0.3">
      <c r="B2" s="176" t="s">
        <v>156</v>
      </c>
      <c r="C2" s="177" t="s">
        <v>148</v>
      </c>
      <c r="D2" s="13" t="s">
        <v>258</v>
      </c>
      <c r="E2" s="13" t="s">
        <v>103</v>
      </c>
      <c r="F2" s="13" t="s">
        <v>124</v>
      </c>
      <c r="G2" s="13">
        <v>2020</v>
      </c>
      <c r="H2" s="178" t="s">
        <v>182</v>
      </c>
      <c r="I2" s="178" t="s">
        <v>181</v>
      </c>
      <c r="J2" s="13" t="s">
        <v>87</v>
      </c>
      <c r="K2" s="13" t="s">
        <v>167</v>
      </c>
      <c r="L2" s="13" t="s">
        <v>167</v>
      </c>
      <c r="M2" s="178" t="s">
        <v>254</v>
      </c>
      <c r="N2" s="179" t="s">
        <v>255</v>
      </c>
      <c r="O2" s="180" t="s">
        <v>257</v>
      </c>
      <c r="P2" s="178" t="s">
        <v>173</v>
      </c>
      <c r="Q2" s="178" t="s">
        <v>174</v>
      </c>
      <c r="R2" s="13" t="s">
        <v>209</v>
      </c>
      <c r="S2" s="13" t="s">
        <v>209</v>
      </c>
      <c r="T2" s="13" t="s">
        <v>150</v>
      </c>
    </row>
    <row r="3" spans="1:35" x14ac:dyDescent="0.3">
      <c r="B3" s="176"/>
      <c r="C3" s="177"/>
      <c r="D3" s="13" t="s">
        <v>259</v>
      </c>
      <c r="E3" s="13" t="s">
        <v>532</v>
      </c>
      <c r="F3" s="13" t="s">
        <v>93</v>
      </c>
      <c r="G3" s="13">
        <v>2030</v>
      </c>
      <c r="H3" s="178"/>
      <c r="I3" s="178"/>
      <c r="J3" s="13" t="s">
        <v>104</v>
      </c>
      <c r="M3" s="178"/>
      <c r="N3" s="179"/>
      <c r="O3" s="180"/>
      <c r="P3" s="178"/>
      <c r="Q3" s="178"/>
      <c r="R3" s="13"/>
      <c r="S3" s="13"/>
      <c r="T3" s="13"/>
    </row>
    <row r="4" spans="1:35" x14ac:dyDescent="0.3">
      <c r="B4" s="176"/>
      <c r="C4" s="177"/>
      <c r="D4" s="13" t="s">
        <v>240</v>
      </c>
      <c r="E4" s="13"/>
      <c r="F4" s="13" t="s">
        <v>122</v>
      </c>
      <c r="G4" s="13">
        <v>2050</v>
      </c>
      <c r="H4" s="13"/>
      <c r="I4" s="178"/>
      <c r="J4" s="13" t="s">
        <v>233</v>
      </c>
      <c r="K4" s="13"/>
      <c r="L4" s="13"/>
      <c r="M4" s="178"/>
      <c r="N4" s="179"/>
      <c r="O4" s="180"/>
      <c r="P4" s="178"/>
      <c r="Q4" s="178"/>
      <c r="R4" s="13"/>
      <c r="S4" s="13"/>
      <c r="T4" s="13"/>
    </row>
    <row r="5" spans="1:35" x14ac:dyDescent="0.3">
      <c r="B5" s="176"/>
      <c r="C5" s="177"/>
      <c r="D5" s="13"/>
      <c r="F5" s="13" t="s">
        <v>533</v>
      </c>
      <c r="G5" s="13"/>
      <c r="H5" s="13"/>
      <c r="I5" s="40"/>
      <c r="J5" s="13"/>
      <c r="K5" s="13"/>
      <c r="L5" s="13"/>
      <c r="M5" s="178"/>
      <c r="N5" s="179"/>
      <c r="O5" s="180"/>
      <c r="P5" s="178"/>
      <c r="Q5" s="178"/>
      <c r="R5" s="13"/>
      <c r="S5" s="13"/>
      <c r="T5" s="13"/>
    </row>
    <row r="6" spans="1:35" x14ac:dyDescent="0.3">
      <c r="B6" s="176"/>
      <c r="C6" s="177"/>
      <c r="D6" s="13"/>
      <c r="E6" s="13"/>
      <c r="F6" s="13" t="s">
        <v>529</v>
      </c>
      <c r="G6" s="13"/>
      <c r="H6" s="13"/>
      <c r="I6" s="40"/>
      <c r="J6" s="13"/>
      <c r="K6" s="13"/>
      <c r="L6" s="13"/>
      <c r="M6" s="178"/>
      <c r="N6" s="179"/>
      <c r="O6" s="180"/>
      <c r="P6" s="178"/>
      <c r="Q6" s="178"/>
      <c r="R6" s="13"/>
      <c r="S6" s="13"/>
      <c r="T6" s="13"/>
    </row>
    <row r="7" spans="1:35" x14ac:dyDescent="0.3">
      <c r="B7" s="176"/>
      <c r="C7" s="177"/>
      <c r="F7" s="13" t="s">
        <v>528</v>
      </c>
      <c r="G7" s="13"/>
      <c r="H7" s="13"/>
      <c r="I7" s="13"/>
      <c r="J7" s="13"/>
      <c r="K7" s="13"/>
      <c r="L7" s="13"/>
      <c r="M7" s="178"/>
      <c r="N7" s="179"/>
      <c r="O7" s="180"/>
      <c r="P7" s="178"/>
      <c r="Q7" s="178"/>
      <c r="R7" s="2"/>
      <c r="S7" s="2"/>
      <c r="T7" s="2"/>
      <c r="V7" s="36" t="s">
        <v>147</v>
      </c>
      <c r="W7" s="2"/>
      <c r="X7" s="2"/>
      <c r="Y7" s="2"/>
      <c r="Z7" s="2"/>
      <c r="AA7" s="2"/>
      <c r="AB7" s="2"/>
      <c r="AC7" s="2"/>
      <c r="AD7" s="2"/>
      <c r="AE7" s="2"/>
      <c r="AF7" s="35"/>
      <c r="AG7" s="175" t="s">
        <v>151</v>
      </c>
      <c r="AH7" s="172"/>
      <c r="AI7" s="172"/>
    </row>
    <row r="8" spans="1:35" x14ac:dyDescent="0.3">
      <c r="R8" s="17"/>
      <c r="S8" s="17"/>
      <c r="T8" s="17"/>
      <c r="V8" s="2"/>
      <c r="W8" s="2"/>
      <c r="X8" s="2"/>
      <c r="Y8" s="2"/>
      <c r="Z8" s="2"/>
      <c r="AA8" s="2"/>
      <c r="AB8" s="2"/>
      <c r="AC8" s="2"/>
      <c r="AD8" s="2"/>
      <c r="AE8" s="2"/>
      <c r="AF8" s="35"/>
      <c r="AG8" s="2"/>
      <c r="AH8" s="2"/>
    </row>
    <row r="9" spans="1:35" s="29" customFormat="1" x14ac:dyDescent="0.3">
      <c r="A9" s="29" t="s">
        <v>105</v>
      </c>
      <c r="B9" s="29" t="s">
        <v>155</v>
      </c>
      <c r="C9" s="29" t="s">
        <v>154</v>
      </c>
      <c r="D9" s="29" t="s">
        <v>220</v>
      </c>
      <c r="E9" s="29" t="s">
        <v>106</v>
      </c>
      <c r="F9" s="29" t="s">
        <v>121</v>
      </c>
      <c r="G9" s="29" t="s">
        <v>179</v>
      </c>
      <c r="H9" s="29" t="s">
        <v>180</v>
      </c>
      <c r="I9" s="29" t="s">
        <v>109</v>
      </c>
      <c r="J9" s="29" t="s">
        <v>107</v>
      </c>
      <c r="K9" s="29" t="s">
        <v>168</v>
      </c>
      <c r="L9" s="29" t="s">
        <v>166</v>
      </c>
      <c r="M9" s="29" t="s">
        <v>223</v>
      </c>
      <c r="N9" s="29" t="s">
        <v>238</v>
      </c>
      <c r="O9" s="29" t="s">
        <v>256</v>
      </c>
      <c r="P9" s="29" t="s">
        <v>172</v>
      </c>
      <c r="Q9" s="29" t="s">
        <v>175</v>
      </c>
      <c r="R9" s="29" t="s">
        <v>108</v>
      </c>
      <c r="S9" s="29" t="s">
        <v>208</v>
      </c>
      <c r="T9" s="29" t="s">
        <v>110</v>
      </c>
      <c r="U9" s="30" t="s">
        <v>111</v>
      </c>
      <c r="V9" s="29" t="s">
        <v>112</v>
      </c>
      <c r="W9" s="29" t="s">
        <v>113</v>
      </c>
      <c r="X9" s="29" t="s">
        <v>114</v>
      </c>
      <c r="Y9" s="29" t="s">
        <v>115</v>
      </c>
      <c r="Z9" s="29" t="s">
        <v>126</v>
      </c>
      <c r="AA9" s="29" t="s">
        <v>127</v>
      </c>
      <c r="AB9" s="29" t="s">
        <v>128</v>
      </c>
      <c r="AC9" s="29" t="s">
        <v>129</v>
      </c>
      <c r="AD9" s="29" t="s">
        <v>431</v>
      </c>
      <c r="AE9" s="29" t="s">
        <v>432</v>
      </c>
      <c r="AF9" s="31" t="s">
        <v>116</v>
      </c>
      <c r="AG9" s="29" t="s">
        <v>117</v>
      </c>
      <c r="AH9" s="29" t="s">
        <v>118</v>
      </c>
      <c r="AI9" s="29" t="s">
        <v>119</v>
      </c>
    </row>
    <row r="10" spans="1:35" s="131" customFormat="1" x14ac:dyDescent="0.3">
      <c r="A10" s="130">
        <f t="shared" ref="A10:A14" si="0">ROW(A10)-ROW($A$9)</f>
        <v>1</v>
      </c>
      <c r="B10" s="130" t="s">
        <v>439</v>
      </c>
      <c r="C10" s="129" t="s">
        <v>430</v>
      </c>
      <c r="D10" s="131" t="s">
        <v>231</v>
      </c>
      <c r="E10" s="130" t="s">
        <v>532</v>
      </c>
      <c r="F10" s="144" t="s">
        <v>533</v>
      </c>
      <c r="G10" s="144" t="str">
        <f t="shared" ref="G10:G14" si="1">"2030 bench"</f>
        <v>2030 bench</v>
      </c>
      <c r="H10" s="144" t="s">
        <v>239</v>
      </c>
      <c r="I10" s="144" t="str">
        <f t="shared" ref="I10:I14" si="2">"2019"</f>
        <v>2019</v>
      </c>
      <c r="J10" s="144" t="s">
        <v>104</v>
      </c>
      <c r="K10" s="144">
        <v>0</v>
      </c>
      <c r="L10" s="144">
        <v>0</v>
      </c>
      <c r="M10" s="144">
        <v>-1</v>
      </c>
      <c r="N10" s="144" t="s">
        <v>122</v>
      </c>
      <c r="O10" s="144">
        <v>0</v>
      </c>
      <c r="P10" s="144">
        <v>1</v>
      </c>
      <c r="Q10" s="144">
        <v>0</v>
      </c>
      <c r="R10" s="131" t="s">
        <v>221</v>
      </c>
      <c r="S10" s="131" t="s">
        <v>222</v>
      </c>
      <c r="T10" s="131" t="s">
        <v>421</v>
      </c>
      <c r="U10" s="145" t="b">
        <v>0</v>
      </c>
      <c r="V10" s="131" t="b">
        <v>1</v>
      </c>
      <c r="W10" s="131" t="b">
        <v>0</v>
      </c>
      <c r="X10" s="131" t="b">
        <v>0</v>
      </c>
      <c r="Y10" s="131" t="b">
        <v>1</v>
      </c>
      <c r="Z10" s="131" t="b">
        <v>0</v>
      </c>
      <c r="AA10" s="131" t="b">
        <v>0</v>
      </c>
      <c r="AB10" s="131" t="b">
        <v>1</v>
      </c>
      <c r="AC10" s="131" t="b">
        <v>0</v>
      </c>
      <c r="AD10" s="131" t="b">
        <v>1</v>
      </c>
      <c r="AE10" s="131" t="b">
        <v>1</v>
      </c>
      <c r="AF10" s="146" t="b">
        <v>0</v>
      </c>
      <c r="AG10" s="131" t="b">
        <v>0</v>
      </c>
      <c r="AH10" s="131" t="b">
        <v>0</v>
      </c>
      <c r="AI10" s="131" t="b">
        <v>0</v>
      </c>
    </row>
    <row r="11" spans="1:35" s="131" customFormat="1" x14ac:dyDescent="0.3">
      <c r="A11" s="130">
        <f>ROW(A11)-ROW($A$9)</f>
        <v>2</v>
      </c>
      <c r="B11" s="130" t="s">
        <v>511</v>
      </c>
      <c r="C11" s="129" t="s">
        <v>509</v>
      </c>
      <c r="D11" s="131" t="s">
        <v>231</v>
      </c>
      <c r="E11" s="130" t="s">
        <v>532</v>
      </c>
      <c r="F11" s="144" t="s">
        <v>533</v>
      </c>
      <c r="G11" s="144" t="str">
        <f t="shared" ref="G11:G34" si="3">"2030 bench"</f>
        <v>2030 bench</v>
      </c>
      <c r="H11" s="144" t="s">
        <v>239</v>
      </c>
      <c r="I11" s="144" t="str">
        <f t="shared" ref="I11:I13" si="4">"2019"</f>
        <v>2019</v>
      </c>
      <c r="J11" s="144" t="s">
        <v>104</v>
      </c>
      <c r="K11" s="144">
        <v>0</v>
      </c>
      <c r="L11" s="144">
        <v>0</v>
      </c>
      <c r="M11" s="144">
        <v>-1</v>
      </c>
      <c r="N11" s="144" t="s">
        <v>122</v>
      </c>
      <c r="O11" s="144">
        <v>0</v>
      </c>
      <c r="P11" s="144">
        <v>1</v>
      </c>
      <c r="Q11" s="144">
        <v>0</v>
      </c>
      <c r="R11" s="131" t="s">
        <v>221</v>
      </c>
      <c r="S11" s="131" t="s">
        <v>222</v>
      </c>
      <c r="T11" s="131" t="s">
        <v>421</v>
      </c>
      <c r="U11" s="145" t="b">
        <v>0</v>
      </c>
      <c r="V11" s="131" t="b">
        <v>1</v>
      </c>
      <c r="W11" s="131" t="b">
        <v>0</v>
      </c>
      <c r="X11" s="131" t="b">
        <v>0</v>
      </c>
      <c r="Y11" s="131" t="b">
        <v>1</v>
      </c>
      <c r="Z11" s="131" t="b">
        <v>0</v>
      </c>
      <c r="AA11" s="131" t="b">
        <v>0</v>
      </c>
      <c r="AB11" s="131" t="b">
        <v>1</v>
      </c>
      <c r="AC11" s="131" t="b">
        <v>0</v>
      </c>
      <c r="AD11" s="131" t="b">
        <v>1</v>
      </c>
      <c r="AE11" s="131" t="b">
        <v>1</v>
      </c>
      <c r="AF11" s="146" t="b">
        <v>0</v>
      </c>
      <c r="AG11" s="131" t="b">
        <v>0</v>
      </c>
      <c r="AH11" s="131" t="b">
        <v>0</v>
      </c>
      <c r="AI11" s="131" t="b">
        <v>0</v>
      </c>
    </row>
    <row r="12" spans="1:35" s="131" customFormat="1" x14ac:dyDescent="0.3">
      <c r="A12" s="130">
        <f>ROW(A12)-ROW($A$9)</f>
        <v>3</v>
      </c>
      <c r="B12" s="130" t="s">
        <v>508</v>
      </c>
      <c r="C12" s="129" t="s">
        <v>510</v>
      </c>
      <c r="D12" s="131" t="s">
        <v>231</v>
      </c>
      <c r="E12" s="130" t="s">
        <v>532</v>
      </c>
      <c r="F12" s="144" t="s">
        <v>533</v>
      </c>
      <c r="G12" s="144" t="str">
        <f t="shared" si="3"/>
        <v>2030 bench</v>
      </c>
      <c r="H12" s="144" t="s">
        <v>239</v>
      </c>
      <c r="I12" s="144" t="str">
        <f t="shared" si="4"/>
        <v>2019</v>
      </c>
      <c r="J12" s="144" t="s">
        <v>104</v>
      </c>
      <c r="K12" s="144">
        <v>0</v>
      </c>
      <c r="L12" s="144">
        <v>0</v>
      </c>
      <c r="M12" s="144">
        <v>-1</v>
      </c>
      <c r="N12" s="144" t="s">
        <v>122</v>
      </c>
      <c r="O12" s="144">
        <v>0</v>
      </c>
      <c r="P12" s="144">
        <v>1</v>
      </c>
      <c r="Q12" s="144">
        <v>0</v>
      </c>
      <c r="R12" s="131" t="s">
        <v>221</v>
      </c>
      <c r="S12" s="131" t="s">
        <v>222</v>
      </c>
      <c r="T12" s="131" t="s">
        <v>421</v>
      </c>
      <c r="U12" s="145" t="b">
        <v>0</v>
      </c>
      <c r="V12" s="131" t="b">
        <v>1</v>
      </c>
      <c r="W12" s="131" t="b">
        <v>0</v>
      </c>
      <c r="X12" s="131" t="b">
        <v>0</v>
      </c>
      <c r="Y12" s="131" t="b">
        <v>1</v>
      </c>
      <c r="Z12" s="131" t="b">
        <v>0</v>
      </c>
      <c r="AA12" s="131" t="b">
        <v>0</v>
      </c>
      <c r="AB12" s="131" t="b">
        <v>1</v>
      </c>
      <c r="AC12" s="131" t="b">
        <v>0</v>
      </c>
      <c r="AD12" s="131" t="b">
        <v>1</v>
      </c>
      <c r="AE12" s="131" t="b">
        <v>1</v>
      </c>
      <c r="AF12" s="146" t="b">
        <v>0</v>
      </c>
      <c r="AG12" s="131" t="b">
        <v>0</v>
      </c>
      <c r="AH12" s="131" t="b">
        <v>0</v>
      </c>
      <c r="AI12" s="131" t="b">
        <v>0</v>
      </c>
    </row>
    <row r="13" spans="1:35" s="131" customFormat="1" x14ac:dyDescent="0.3">
      <c r="A13" s="130">
        <f>ROW(A13)-ROW($A$9)</f>
        <v>4</v>
      </c>
      <c r="B13" s="130" t="s">
        <v>520</v>
      </c>
      <c r="C13" s="129" t="s">
        <v>521</v>
      </c>
      <c r="D13" s="131" t="s">
        <v>231</v>
      </c>
      <c r="E13" s="130" t="s">
        <v>532</v>
      </c>
      <c r="F13" s="144" t="s">
        <v>533</v>
      </c>
      <c r="G13" s="144" t="str">
        <f t="shared" si="3"/>
        <v>2030 bench</v>
      </c>
      <c r="H13" s="144" t="s">
        <v>239</v>
      </c>
      <c r="I13" s="144" t="str">
        <f t="shared" si="4"/>
        <v>2019</v>
      </c>
      <c r="J13" s="144" t="s">
        <v>104</v>
      </c>
      <c r="K13" s="144">
        <v>0</v>
      </c>
      <c r="L13" s="144">
        <v>0</v>
      </c>
      <c r="M13" s="144">
        <v>-1</v>
      </c>
      <c r="N13" s="144" t="s">
        <v>122</v>
      </c>
      <c r="O13" s="144">
        <v>0</v>
      </c>
      <c r="P13" s="144">
        <v>1</v>
      </c>
      <c r="Q13" s="144">
        <v>0</v>
      </c>
      <c r="R13" s="131" t="s">
        <v>221</v>
      </c>
      <c r="S13" s="131" t="s">
        <v>222</v>
      </c>
      <c r="T13" s="131" t="s">
        <v>421</v>
      </c>
      <c r="U13" s="145" t="b">
        <v>0</v>
      </c>
      <c r="V13" s="131" t="b">
        <v>1</v>
      </c>
      <c r="W13" s="131" t="b">
        <v>0</v>
      </c>
      <c r="X13" s="131" t="b">
        <v>0</v>
      </c>
      <c r="Y13" s="131" t="b">
        <v>1</v>
      </c>
      <c r="Z13" s="131" t="b">
        <v>0</v>
      </c>
      <c r="AA13" s="131" t="b">
        <v>0</v>
      </c>
      <c r="AB13" s="131" t="b">
        <v>0</v>
      </c>
      <c r="AC13" s="131" t="b">
        <v>0</v>
      </c>
      <c r="AD13" s="131" t="b">
        <v>0</v>
      </c>
      <c r="AE13" s="131" t="b">
        <v>0</v>
      </c>
      <c r="AF13" s="146" t="b">
        <v>0</v>
      </c>
      <c r="AG13" s="131" t="b">
        <v>0</v>
      </c>
      <c r="AH13" s="131" t="b">
        <v>0</v>
      </c>
      <c r="AI13" s="131" t="b">
        <v>0</v>
      </c>
    </row>
    <row r="14" spans="1:35" s="131" customFormat="1" x14ac:dyDescent="0.3">
      <c r="A14" s="130">
        <f t="shared" si="0"/>
        <v>5</v>
      </c>
      <c r="B14" s="130" t="s">
        <v>522</v>
      </c>
      <c r="C14" s="169" t="s">
        <v>523</v>
      </c>
      <c r="D14" s="131" t="s">
        <v>231</v>
      </c>
      <c r="E14" s="130" t="s">
        <v>532</v>
      </c>
      <c r="F14" s="144" t="s">
        <v>533</v>
      </c>
      <c r="G14" s="144" t="str">
        <f t="shared" si="1"/>
        <v>2030 bench</v>
      </c>
      <c r="H14" s="144" t="s">
        <v>239</v>
      </c>
      <c r="I14" s="144" t="str">
        <f t="shared" si="2"/>
        <v>2019</v>
      </c>
      <c r="J14" s="144" t="s">
        <v>104</v>
      </c>
      <c r="K14" s="144">
        <v>0</v>
      </c>
      <c r="L14" s="144">
        <v>0</v>
      </c>
      <c r="M14" s="144">
        <v>-1</v>
      </c>
      <c r="N14" s="144" t="s">
        <v>122</v>
      </c>
      <c r="O14" s="144">
        <v>0</v>
      </c>
      <c r="P14" s="144">
        <v>1</v>
      </c>
      <c r="Q14" s="144">
        <v>0</v>
      </c>
      <c r="R14" s="131" t="s">
        <v>221</v>
      </c>
      <c r="S14" s="131" t="s">
        <v>222</v>
      </c>
      <c r="T14" s="131" t="s">
        <v>421</v>
      </c>
      <c r="U14" s="145" t="b">
        <v>0</v>
      </c>
      <c r="V14" s="131" t="b">
        <v>1</v>
      </c>
      <c r="W14" s="131" t="b">
        <v>0</v>
      </c>
      <c r="X14" s="131" t="b">
        <v>0</v>
      </c>
      <c r="Y14" s="131" t="b">
        <v>1</v>
      </c>
      <c r="Z14" s="131" t="b">
        <v>0</v>
      </c>
      <c r="AA14" s="131" t="b">
        <v>0</v>
      </c>
      <c r="AB14" s="131" t="b">
        <v>1</v>
      </c>
      <c r="AC14" s="131" t="b">
        <v>0</v>
      </c>
      <c r="AD14" s="131" t="b">
        <v>1</v>
      </c>
      <c r="AE14" s="131" t="b">
        <v>1</v>
      </c>
      <c r="AF14" s="146" t="b">
        <v>0</v>
      </c>
      <c r="AG14" s="131" t="b">
        <v>0</v>
      </c>
      <c r="AH14" s="131" t="b">
        <v>0</v>
      </c>
      <c r="AI14" s="131" t="b">
        <v>1</v>
      </c>
    </row>
    <row r="15" spans="1:35" s="107" customFormat="1" x14ac:dyDescent="0.3">
      <c r="A15" s="104">
        <f t="shared" ref="A15:A17" si="5">ROW(A15)-ROW($A$9)</f>
        <v>6</v>
      </c>
      <c r="B15" s="104" t="s">
        <v>479</v>
      </c>
      <c r="C15" s="103" t="s">
        <v>484</v>
      </c>
      <c r="D15" s="107" t="s">
        <v>231</v>
      </c>
      <c r="E15" s="104" t="s">
        <v>103</v>
      </c>
      <c r="F15" s="141" t="s">
        <v>529</v>
      </c>
      <c r="G15" s="141" t="str">
        <f t="shared" ref="G15:G17" si="6">"2030 bench"</f>
        <v>2030 bench</v>
      </c>
      <c r="H15" s="141" t="s">
        <v>239</v>
      </c>
      <c r="I15" s="141" t="str">
        <f t="shared" ref="I15:I26" si="7">"2019"</f>
        <v>2019</v>
      </c>
      <c r="J15" s="141" t="s">
        <v>122</v>
      </c>
      <c r="K15" s="141">
        <v>0</v>
      </c>
      <c r="L15" s="141">
        <v>0</v>
      </c>
      <c r="M15" s="141">
        <v>-1</v>
      </c>
      <c r="N15" s="141" t="s">
        <v>122</v>
      </c>
      <c r="O15" s="141">
        <v>0</v>
      </c>
      <c r="P15" s="141">
        <v>1</v>
      </c>
      <c r="Q15" s="141">
        <v>0</v>
      </c>
      <c r="R15" s="107" t="s">
        <v>221</v>
      </c>
      <c r="S15" s="107" t="s">
        <v>222</v>
      </c>
      <c r="T15" s="107" t="s">
        <v>421</v>
      </c>
      <c r="U15" s="142" t="b">
        <v>0</v>
      </c>
      <c r="V15" s="107" t="b">
        <v>1</v>
      </c>
      <c r="W15" s="107" t="b">
        <v>0</v>
      </c>
      <c r="X15" s="107" t="b">
        <v>0</v>
      </c>
      <c r="Y15" s="107" t="b">
        <v>1</v>
      </c>
      <c r="Z15" s="107" t="b">
        <v>0</v>
      </c>
      <c r="AA15" s="107" t="b">
        <v>0</v>
      </c>
      <c r="AB15" s="107" t="b">
        <v>1</v>
      </c>
      <c r="AC15" s="107" t="b">
        <v>0</v>
      </c>
      <c r="AD15" s="107" t="b">
        <v>1</v>
      </c>
      <c r="AE15" s="107" t="b">
        <v>1</v>
      </c>
      <c r="AF15" s="143" t="b">
        <v>0</v>
      </c>
      <c r="AG15" s="107" t="b">
        <v>0</v>
      </c>
      <c r="AH15" s="107" t="b">
        <v>0</v>
      </c>
      <c r="AI15" s="107" t="b">
        <v>0</v>
      </c>
    </row>
    <row r="16" spans="1:35" s="107" customFormat="1" x14ac:dyDescent="0.3">
      <c r="A16" s="104">
        <f t="shared" si="5"/>
        <v>7</v>
      </c>
      <c r="B16" s="104" t="s">
        <v>480</v>
      </c>
      <c r="C16" s="103" t="s">
        <v>482</v>
      </c>
      <c r="D16" s="107" t="s">
        <v>231</v>
      </c>
      <c r="E16" s="104" t="s">
        <v>103</v>
      </c>
      <c r="F16" s="141" t="s">
        <v>529</v>
      </c>
      <c r="G16" s="141" t="str">
        <f t="shared" si="6"/>
        <v>2030 bench</v>
      </c>
      <c r="H16" s="141" t="s">
        <v>239</v>
      </c>
      <c r="I16" s="141" t="str">
        <f t="shared" si="7"/>
        <v>2019</v>
      </c>
      <c r="J16" s="141" t="s">
        <v>122</v>
      </c>
      <c r="K16" s="141">
        <v>0</v>
      </c>
      <c r="L16" s="141">
        <v>0</v>
      </c>
      <c r="M16" s="141">
        <v>-1</v>
      </c>
      <c r="N16" s="141" t="s">
        <v>122</v>
      </c>
      <c r="O16" s="141">
        <v>0</v>
      </c>
      <c r="P16" s="141">
        <v>1</v>
      </c>
      <c r="Q16" s="141">
        <v>0</v>
      </c>
      <c r="R16" s="107" t="s">
        <v>221</v>
      </c>
      <c r="S16" s="107" t="s">
        <v>222</v>
      </c>
      <c r="T16" s="107" t="s">
        <v>421</v>
      </c>
      <c r="U16" s="142" t="b">
        <v>0</v>
      </c>
      <c r="V16" s="107" t="b">
        <v>1</v>
      </c>
      <c r="W16" s="107" t="b">
        <v>0</v>
      </c>
      <c r="X16" s="107" t="b">
        <v>0</v>
      </c>
      <c r="Y16" s="107" t="b">
        <v>1</v>
      </c>
      <c r="Z16" s="107" t="b">
        <v>0</v>
      </c>
      <c r="AA16" s="107" t="b">
        <v>0</v>
      </c>
      <c r="AB16" s="107" t="b">
        <v>1</v>
      </c>
      <c r="AC16" s="107" t="b">
        <v>0</v>
      </c>
      <c r="AD16" s="107" t="b">
        <v>1</v>
      </c>
      <c r="AE16" s="107" t="b">
        <v>1</v>
      </c>
      <c r="AF16" s="143" t="b">
        <v>0</v>
      </c>
      <c r="AG16" s="107" t="b">
        <v>0</v>
      </c>
      <c r="AH16" s="107" t="b">
        <v>0</v>
      </c>
      <c r="AI16" s="107" t="b">
        <v>0</v>
      </c>
    </row>
    <row r="17" spans="1:35" s="107" customFormat="1" x14ac:dyDescent="0.3">
      <c r="A17" s="104">
        <f t="shared" si="5"/>
        <v>8</v>
      </c>
      <c r="B17" s="104" t="s">
        <v>481</v>
      </c>
      <c r="C17" s="103" t="s">
        <v>483</v>
      </c>
      <c r="D17" s="107" t="s">
        <v>231</v>
      </c>
      <c r="E17" s="104" t="s">
        <v>103</v>
      </c>
      <c r="F17" s="141" t="s">
        <v>529</v>
      </c>
      <c r="G17" s="141" t="str">
        <f t="shared" si="6"/>
        <v>2030 bench</v>
      </c>
      <c r="H17" s="141" t="s">
        <v>239</v>
      </c>
      <c r="I17" s="141" t="str">
        <f t="shared" si="7"/>
        <v>2019</v>
      </c>
      <c r="J17" s="141" t="s">
        <v>122</v>
      </c>
      <c r="K17" s="141">
        <v>0</v>
      </c>
      <c r="L17" s="141">
        <v>0</v>
      </c>
      <c r="M17" s="141">
        <v>-1</v>
      </c>
      <c r="N17" s="141" t="s">
        <v>122</v>
      </c>
      <c r="O17" s="141">
        <v>0</v>
      </c>
      <c r="P17" s="141">
        <v>1</v>
      </c>
      <c r="Q17" s="141">
        <v>0</v>
      </c>
      <c r="R17" s="107" t="s">
        <v>221</v>
      </c>
      <c r="S17" s="107" t="s">
        <v>222</v>
      </c>
      <c r="T17" s="107" t="s">
        <v>421</v>
      </c>
      <c r="U17" s="142" t="b">
        <v>0</v>
      </c>
      <c r="V17" s="107" t="b">
        <v>1</v>
      </c>
      <c r="W17" s="107" t="b">
        <v>0</v>
      </c>
      <c r="X17" s="107" t="b">
        <v>0</v>
      </c>
      <c r="Y17" s="107" t="b">
        <v>1</v>
      </c>
      <c r="Z17" s="107" t="b">
        <v>0</v>
      </c>
      <c r="AA17" s="107" t="b">
        <v>0</v>
      </c>
      <c r="AB17" s="107" t="b">
        <v>1</v>
      </c>
      <c r="AC17" s="107" t="b">
        <v>0</v>
      </c>
      <c r="AD17" s="107" t="b">
        <v>1</v>
      </c>
      <c r="AE17" s="107" t="b">
        <v>1</v>
      </c>
      <c r="AF17" s="143" t="b">
        <v>0</v>
      </c>
      <c r="AG17" s="107" t="b">
        <v>0</v>
      </c>
      <c r="AH17" s="107" t="b">
        <v>0</v>
      </c>
      <c r="AI17" s="107" t="b">
        <v>0</v>
      </c>
    </row>
    <row r="18" spans="1:35" s="120" customFormat="1" x14ac:dyDescent="0.3">
      <c r="A18" s="117">
        <f>ROW(A18)-ROW($A$9)</f>
        <v>9</v>
      </c>
      <c r="B18" s="117" t="s">
        <v>513</v>
      </c>
      <c r="C18" s="116" t="s">
        <v>516</v>
      </c>
      <c r="D18" s="120" t="s">
        <v>231</v>
      </c>
      <c r="E18" s="117" t="s">
        <v>103</v>
      </c>
      <c r="F18" s="137" t="s">
        <v>512</v>
      </c>
      <c r="G18" s="137" t="str">
        <f t="shared" si="3"/>
        <v>2030 bench</v>
      </c>
      <c r="H18" s="137" t="s">
        <v>239</v>
      </c>
      <c r="I18" s="138">
        <v>2019</v>
      </c>
      <c r="J18" s="137" t="s">
        <v>104</v>
      </c>
      <c r="K18" s="137">
        <v>0</v>
      </c>
      <c r="L18" s="137">
        <v>0</v>
      </c>
      <c r="M18" s="137">
        <v>-1</v>
      </c>
      <c r="N18" s="137" t="s">
        <v>122</v>
      </c>
      <c r="O18" s="137">
        <v>0</v>
      </c>
      <c r="P18" s="137">
        <v>1</v>
      </c>
      <c r="Q18" s="137">
        <v>0</v>
      </c>
      <c r="R18" s="120" t="s">
        <v>221</v>
      </c>
      <c r="S18" s="120" t="s">
        <v>222</v>
      </c>
      <c r="T18" s="120" t="s">
        <v>421</v>
      </c>
      <c r="U18" s="139" t="b">
        <v>0</v>
      </c>
      <c r="V18" s="120" t="b">
        <v>1</v>
      </c>
      <c r="W18" s="120" t="b">
        <v>0</v>
      </c>
      <c r="X18" s="120" t="b">
        <v>0</v>
      </c>
      <c r="Y18" s="120" t="b">
        <v>1</v>
      </c>
      <c r="Z18" s="120" t="b">
        <v>0</v>
      </c>
      <c r="AA18" s="120" t="b">
        <v>0</v>
      </c>
      <c r="AB18" s="120" t="b">
        <v>1</v>
      </c>
      <c r="AC18" s="120" t="b">
        <v>0</v>
      </c>
      <c r="AD18" s="120" t="b">
        <v>1</v>
      </c>
      <c r="AE18" s="120" t="b">
        <v>1</v>
      </c>
      <c r="AF18" s="140" t="b">
        <v>0</v>
      </c>
      <c r="AG18" s="120" t="b">
        <v>0</v>
      </c>
      <c r="AH18" s="120" t="b">
        <v>0</v>
      </c>
      <c r="AI18" s="120" t="b">
        <v>0</v>
      </c>
    </row>
    <row r="19" spans="1:35" x14ac:dyDescent="0.3">
      <c r="A19" s="73">
        <f t="shared" ref="A19:A34" si="8">ROW(A19)-ROW($A$9)</f>
        <v>10</v>
      </c>
      <c r="B19" s="73" t="s">
        <v>485</v>
      </c>
      <c r="C19" s="74" t="s">
        <v>489</v>
      </c>
      <c r="D19" s="75" t="s">
        <v>231</v>
      </c>
      <c r="E19" s="73" t="s">
        <v>103</v>
      </c>
      <c r="F19" s="76" t="s">
        <v>529</v>
      </c>
      <c r="G19" s="76" t="str">
        <f t="shared" si="3"/>
        <v>2030 bench</v>
      </c>
      <c r="H19" s="76" t="s">
        <v>239</v>
      </c>
      <c r="I19" s="76" t="str">
        <f t="shared" si="7"/>
        <v>2019</v>
      </c>
      <c r="J19" s="76" t="s">
        <v>104</v>
      </c>
      <c r="K19" s="76">
        <v>0</v>
      </c>
      <c r="L19" s="76">
        <v>0</v>
      </c>
      <c r="M19" s="76">
        <v>-1</v>
      </c>
      <c r="N19" s="76" t="s">
        <v>122</v>
      </c>
      <c r="O19" s="76">
        <v>0</v>
      </c>
      <c r="P19" s="76">
        <v>1</v>
      </c>
      <c r="Q19" s="76">
        <v>0</v>
      </c>
      <c r="R19" s="75" t="s">
        <v>221</v>
      </c>
      <c r="S19" s="75" t="s">
        <v>222</v>
      </c>
      <c r="T19" s="75" t="s">
        <v>421</v>
      </c>
      <c r="U19" s="77" t="b">
        <v>0</v>
      </c>
      <c r="V19" s="75" t="b">
        <v>1</v>
      </c>
      <c r="W19" s="75" t="b">
        <v>0</v>
      </c>
      <c r="X19" s="75" t="b">
        <v>0</v>
      </c>
      <c r="Y19" s="75" t="b">
        <v>1</v>
      </c>
      <c r="Z19" s="75" t="b">
        <v>0</v>
      </c>
      <c r="AA19" s="75" t="b">
        <v>0</v>
      </c>
      <c r="AB19" s="75" t="b">
        <v>1</v>
      </c>
      <c r="AC19" s="75" t="b">
        <v>0</v>
      </c>
      <c r="AD19" s="75" t="b">
        <v>1</v>
      </c>
      <c r="AE19" s="75" t="b">
        <v>1</v>
      </c>
      <c r="AF19" s="78" t="b">
        <v>0</v>
      </c>
      <c r="AG19" s="75" t="b">
        <v>0</v>
      </c>
      <c r="AH19" s="75" t="b">
        <v>0</v>
      </c>
      <c r="AI19" s="75" t="b">
        <v>1</v>
      </c>
    </row>
    <row r="20" spans="1:35" x14ac:dyDescent="0.3">
      <c r="A20" s="73">
        <f t="shared" si="8"/>
        <v>11</v>
      </c>
      <c r="B20" s="73" t="s">
        <v>486</v>
      </c>
      <c r="C20" s="74" t="s">
        <v>488</v>
      </c>
      <c r="D20" s="75" t="s">
        <v>231</v>
      </c>
      <c r="E20" s="73" t="s">
        <v>103</v>
      </c>
      <c r="F20" s="76" t="s">
        <v>529</v>
      </c>
      <c r="G20" s="76" t="str">
        <f t="shared" si="3"/>
        <v>2030 bench</v>
      </c>
      <c r="H20" s="76" t="s">
        <v>239</v>
      </c>
      <c r="I20" s="76" t="str">
        <f t="shared" si="7"/>
        <v>2019</v>
      </c>
      <c r="J20" s="76" t="s">
        <v>87</v>
      </c>
      <c r="K20" s="76">
        <v>0</v>
      </c>
      <c r="L20" s="76">
        <v>0</v>
      </c>
      <c r="M20" s="76">
        <v>-1</v>
      </c>
      <c r="N20" s="76" t="s">
        <v>122</v>
      </c>
      <c r="O20" s="76">
        <v>0</v>
      </c>
      <c r="P20" s="76">
        <v>1</v>
      </c>
      <c r="Q20" s="76">
        <v>0</v>
      </c>
      <c r="R20" s="75" t="s">
        <v>221</v>
      </c>
      <c r="S20" s="75" t="s">
        <v>222</v>
      </c>
      <c r="T20" s="75" t="s">
        <v>421</v>
      </c>
      <c r="U20" s="77" t="b">
        <v>0</v>
      </c>
      <c r="V20" s="75" t="b">
        <v>1</v>
      </c>
      <c r="W20" s="75" t="b">
        <v>0</v>
      </c>
      <c r="X20" s="75" t="b">
        <v>0</v>
      </c>
      <c r="Y20" s="75" t="b">
        <v>1</v>
      </c>
      <c r="Z20" s="75" t="b">
        <v>0</v>
      </c>
      <c r="AA20" s="75" t="b">
        <v>0</v>
      </c>
      <c r="AB20" s="75" t="b">
        <v>1</v>
      </c>
      <c r="AC20" s="75" t="b">
        <v>0</v>
      </c>
      <c r="AD20" s="75" t="b">
        <v>1</v>
      </c>
      <c r="AE20" s="75" t="b">
        <v>1</v>
      </c>
      <c r="AF20" s="78" t="b">
        <v>0</v>
      </c>
      <c r="AG20" s="75" t="b">
        <v>0</v>
      </c>
      <c r="AH20" s="75" t="b">
        <v>0</v>
      </c>
      <c r="AI20" s="75" t="b">
        <v>1</v>
      </c>
    </row>
    <row r="21" spans="1:35" x14ac:dyDescent="0.3">
      <c r="A21" s="73">
        <f t="shared" si="8"/>
        <v>12</v>
      </c>
      <c r="B21" s="73" t="s">
        <v>487</v>
      </c>
      <c r="C21" s="74" t="s">
        <v>491</v>
      </c>
      <c r="D21" s="75" t="s">
        <v>231</v>
      </c>
      <c r="E21" s="73" t="s">
        <v>103</v>
      </c>
      <c r="F21" s="76" t="s">
        <v>529</v>
      </c>
      <c r="G21" s="76" t="str">
        <f t="shared" si="3"/>
        <v>2030 bench</v>
      </c>
      <c r="H21" s="76" t="s">
        <v>239</v>
      </c>
      <c r="I21" s="76" t="str">
        <f t="shared" si="7"/>
        <v>2019</v>
      </c>
      <c r="J21" s="76" t="s">
        <v>104</v>
      </c>
      <c r="K21" s="76">
        <v>0</v>
      </c>
      <c r="L21" s="76">
        <v>0</v>
      </c>
      <c r="M21" s="76">
        <v>-1</v>
      </c>
      <c r="N21" s="76" t="s">
        <v>122</v>
      </c>
      <c r="O21" s="76">
        <v>0</v>
      </c>
      <c r="P21" s="76">
        <v>1</v>
      </c>
      <c r="Q21" s="76">
        <v>0</v>
      </c>
      <c r="R21" s="75" t="s">
        <v>221</v>
      </c>
      <c r="S21" s="75" t="s">
        <v>222</v>
      </c>
      <c r="T21" s="75" t="s">
        <v>421</v>
      </c>
      <c r="U21" s="77" t="b">
        <v>0</v>
      </c>
      <c r="V21" s="75" t="b">
        <v>1</v>
      </c>
      <c r="W21" s="75" t="b">
        <v>0</v>
      </c>
      <c r="X21" s="75" t="b">
        <v>0</v>
      </c>
      <c r="Y21" s="75" t="b">
        <v>1</v>
      </c>
      <c r="Z21" s="75" t="b">
        <v>0</v>
      </c>
      <c r="AA21" s="75" t="b">
        <v>0</v>
      </c>
      <c r="AB21" s="75" t="b">
        <v>1</v>
      </c>
      <c r="AC21" s="75" t="b">
        <v>0</v>
      </c>
      <c r="AD21" s="75" t="b">
        <v>1</v>
      </c>
      <c r="AE21" s="75" t="b">
        <v>1</v>
      </c>
      <c r="AF21" s="78" t="b">
        <v>0</v>
      </c>
      <c r="AG21" s="75" t="b">
        <v>0</v>
      </c>
      <c r="AH21" s="75" t="b">
        <v>0</v>
      </c>
      <c r="AI21" s="75" t="b">
        <v>1</v>
      </c>
    </row>
    <row r="22" spans="1:35" x14ac:dyDescent="0.3">
      <c r="A22" s="73">
        <f t="shared" si="8"/>
        <v>13</v>
      </c>
      <c r="B22" s="73" t="s">
        <v>490</v>
      </c>
      <c r="C22" s="74" t="s">
        <v>492</v>
      </c>
      <c r="D22" s="75" t="s">
        <v>231</v>
      </c>
      <c r="E22" s="73" t="s">
        <v>103</v>
      </c>
      <c r="F22" s="76" t="s">
        <v>529</v>
      </c>
      <c r="G22" s="76" t="str">
        <f t="shared" si="3"/>
        <v>2030 bench</v>
      </c>
      <c r="H22" s="76" t="s">
        <v>239</v>
      </c>
      <c r="I22" s="76" t="str">
        <f t="shared" si="7"/>
        <v>2019</v>
      </c>
      <c r="J22" s="76" t="s">
        <v>104</v>
      </c>
      <c r="K22" s="76">
        <v>0</v>
      </c>
      <c r="L22" s="76">
        <v>0</v>
      </c>
      <c r="M22" s="76">
        <v>-1</v>
      </c>
      <c r="N22" s="76" t="s">
        <v>122</v>
      </c>
      <c r="O22" s="76">
        <v>0</v>
      </c>
      <c r="P22" s="76">
        <v>1</v>
      </c>
      <c r="Q22" s="76">
        <v>0</v>
      </c>
      <c r="R22" s="75" t="s">
        <v>221</v>
      </c>
      <c r="S22" s="75" t="s">
        <v>222</v>
      </c>
      <c r="T22" s="75" t="s">
        <v>421</v>
      </c>
      <c r="U22" s="77" t="b">
        <v>0</v>
      </c>
      <c r="V22" s="75" t="b">
        <v>1</v>
      </c>
      <c r="W22" s="75" t="b">
        <v>0</v>
      </c>
      <c r="X22" s="75" t="b">
        <v>0</v>
      </c>
      <c r="Y22" s="75" t="b">
        <v>1</v>
      </c>
      <c r="Z22" s="75" t="b">
        <v>0</v>
      </c>
      <c r="AA22" s="75" t="b">
        <v>0</v>
      </c>
      <c r="AB22" s="75" t="b">
        <v>1</v>
      </c>
      <c r="AC22" s="75" t="b">
        <v>0</v>
      </c>
      <c r="AD22" s="75" t="b">
        <v>1</v>
      </c>
      <c r="AE22" s="75" t="b">
        <v>1</v>
      </c>
      <c r="AF22" s="78" t="b">
        <v>0</v>
      </c>
      <c r="AG22" s="75" t="b">
        <v>0</v>
      </c>
      <c r="AH22" s="75" t="b">
        <v>0</v>
      </c>
      <c r="AI22" s="75" t="b">
        <v>1</v>
      </c>
    </row>
    <row r="23" spans="1:35" x14ac:dyDescent="0.3">
      <c r="A23" s="73">
        <f t="shared" si="8"/>
        <v>14</v>
      </c>
      <c r="B23" s="73" t="s">
        <v>494</v>
      </c>
      <c r="C23" s="74" t="s">
        <v>495</v>
      </c>
      <c r="D23" s="75" t="s">
        <v>231</v>
      </c>
      <c r="E23" s="73" t="s">
        <v>103</v>
      </c>
      <c r="F23" s="76" t="s">
        <v>529</v>
      </c>
      <c r="G23" s="76" t="str">
        <f t="shared" si="3"/>
        <v>2030 bench</v>
      </c>
      <c r="H23" s="76" t="s">
        <v>239</v>
      </c>
      <c r="I23" s="76" t="str">
        <f t="shared" si="7"/>
        <v>2019</v>
      </c>
      <c r="J23" s="76" t="s">
        <v>104</v>
      </c>
      <c r="K23" s="76">
        <v>0</v>
      </c>
      <c r="L23" s="76">
        <v>0</v>
      </c>
      <c r="M23" s="76">
        <v>-1</v>
      </c>
      <c r="N23" s="76" t="s">
        <v>122</v>
      </c>
      <c r="O23" s="76">
        <v>0</v>
      </c>
      <c r="P23" s="76">
        <v>1</v>
      </c>
      <c r="Q23" s="76">
        <v>0</v>
      </c>
      <c r="R23" s="75" t="s">
        <v>221</v>
      </c>
      <c r="S23" s="75" t="s">
        <v>222</v>
      </c>
      <c r="T23" s="75" t="s">
        <v>421</v>
      </c>
      <c r="U23" s="77" t="b">
        <v>0</v>
      </c>
      <c r="V23" s="75" t="b">
        <v>1</v>
      </c>
      <c r="W23" s="75" t="b">
        <v>0</v>
      </c>
      <c r="X23" s="75" t="b">
        <v>0</v>
      </c>
      <c r="Y23" s="75" t="b">
        <v>1</v>
      </c>
      <c r="Z23" s="75" t="b">
        <v>0</v>
      </c>
      <c r="AA23" s="75" t="b">
        <v>0</v>
      </c>
      <c r="AB23" s="75" t="b">
        <v>1</v>
      </c>
      <c r="AC23" s="75" t="b">
        <v>0</v>
      </c>
      <c r="AD23" s="75" t="b">
        <v>1</v>
      </c>
      <c r="AE23" s="75" t="b">
        <v>1</v>
      </c>
      <c r="AF23" s="78" t="b">
        <v>0</v>
      </c>
      <c r="AG23" s="75" t="b">
        <v>0</v>
      </c>
      <c r="AH23" s="75" t="b">
        <v>0</v>
      </c>
      <c r="AI23" s="75" t="b">
        <v>1</v>
      </c>
    </row>
    <row r="24" spans="1:35" x14ac:dyDescent="0.3">
      <c r="A24" s="73">
        <f t="shared" si="8"/>
        <v>15</v>
      </c>
      <c r="B24" s="73" t="s">
        <v>494</v>
      </c>
      <c r="C24" s="74" t="s">
        <v>496</v>
      </c>
      <c r="D24" s="75" t="s">
        <v>231</v>
      </c>
      <c r="E24" s="73" t="s">
        <v>103</v>
      </c>
      <c r="F24" s="76" t="s">
        <v>529</v>
      </c>
      <c r="G24" s="76" t="str">
        <f t="shared" si="3"/>
        <v>2030 bench</v>
      </c>
      <c r="H24" s="76" t="s">
        <v>239</v>
      </c>
      <c r="I24" s="76" t="str">
        <f t="shared" si="7"/>
        <v>2019</v>
      </c>
      <c r="J24" s="76" t="s">
        <v>87</v>
      </c>
      <c r="K24" s="76">
        <v>0</v>
      </c>
      <c r="L24" s="76">
        <v>0</v>
      </c>
      <c r="M24" s="76">
        <v>-1</v>
      </c>
      <c r="N24" s="76" t="s">
        <v>122</v>
      </c>
      <c r="O24" s="76">
        <v>0</v>
      </c>
      <c r="P24" s="76">
        <v>1</v>
      </c>
      <c r="Q24" s="76">
        <v>0</v>
      </c>
      <c r="R24" s="75" t="s">
        <v>221</v>
      </c>
      <c r="S24" s="75" t="s">
        <v>222</v>
      </c>
      <c r="T24" s="75" t="s">
        <v>421</v>
      </c>
      <c r="U24" s="77" t="b">
        <v>0</v>
      </c>
      <c r="V24" s="75" t="b">
        <v>1</v>
      </c>
      <c r="W24" s="75" t="b">
        <v>0</v>
      </c>
      <c r="X24" s="75" t="b">
        <v>0</v>
      </c>
      <c r="Y24" s="75" t="b">
        <v>1</v>
      </c>
      <c r="Z24" s="75" t="b">
        <v>0</v>
      </c>
      <c r="AA24" s="75" t="b">
        <v>0</v>
      </c>
      <c r="AB24" s="75" t="b">
        <v>1</v>
      </c>
      <c r="AC24" s="75" t="b">
        <v>0</v>
      </c>
      <c r="AD24" s="75" t="b">
        <v>1</v>
      </c>
      <c r="AE24" s="75" t="b">
        <v>1</v>
      </c>
      <c r="AF24" s="78" t="b">
        <v>0</v>
      </c>
      <c r="AG24" s="75" t="b">
        <v>0</v>
      </c>
      <c r="AH24" s="75" t="b">
        <v>0</v>
      </c>
      <c r="AI24" s="75" t="b">
        <v>1</v>
      </c>
    </row>
    <row r="25" spans="1:35" x14ac:dyDescent="0.3">
      <c r="A25" s="73">
        <f t="shared" si="8"/>
        <v>16</v>
      </c>
      <c r="B25" s="73" t="s">
        <v>494</v>
      </c>
      <c r="C25" s="74" t="s">
        <v>497</v>
      </c>
      <c r="D25" s="75" t="s">
        <v>231</v>
      </c>
      <c r="E25" s="73" t="s">
        <v>103</v>
      </c>
      <c r="F25" s="76" t="s">
        <v>529</v>
      </c>
      <c r="G25" s="76" t="str">
        <f t="shared" si="3"/>
        <v>2030 bench</v>
      </c>
      <c r="H25" s="76" t="s">
        <v>239</v>
      </c>
      <c r="I25" s="76" t="str">
        <f t="shared" si="7"/>
        <v>2019</v>
      </c>
      <c r="J25" s="76" t="s">
        <v>104</v>
      </c>
      <c r="K25" s="76">
        <v>0</v>
      </c>
      <c r="L25" s="76">
        <v>0</v>
      </c>
      <c r="M25" s="76">
        <v>-1</v>
      </c>
      <c r="N25" s="76" t="s">
        <v>122</v>
      </c>
      <c r="O25" s="76">
        <v>0</v>
      </c>
      <c r="P25" s="76">
        <v>1</v>
      </c>
      <c r="Q25" s="76">
        <v>0</v>
      </c>
      <c r="R25" s="75" t="s">
        <v>221</v>
      </c>
      <c r="S25" s="75" t="s">
        <v>222</v>
      </c>
      <c r="T25" s="75" t="s">
        <v>421</v>
      </c>
      <c r="U25" s="77" t="b">
        <v>0</v>
      </c>
      <c r="V25" s="75" t="b">
        <v>1</v>
      </c>
      <c r="W25" s="75" t="b">
        <v>0</v>
      </c>
      <c r="X25" s="75" t="b">
        <v>0</v>
      </c>
      <c r="Y25" s="75" t="b">
        <v>1</v>
      </c>
      <c r="Z25" s="75" t="b">
        <v>0</v>
      </c>
      <c r="AA25" s="75" t="b">
        <v>0</v>
      </c>
      <c r="AB25" s="75" t="b">
        <v>1</v>
      </c>
      <c r="AC25" s="75" t="b">
        <v>0</v>
      </c>
      <c r="AD25" s="75" t="b">
        <v>1</v>
      </c>
      <c r="AE25" s="75" t="b">
        <v>1</v>
      </c>
      <c r="AF25" s="78" t="b">
        <v>0</v>
      </c>
      <c r="AG25" s="75" t="b">
        <v>0</v>
      </c>
      <c r="AH25" s="75" t="b">
        <v>0</v>
      </c>
      <c r="AI25" s="75" t="b">
        <v>1</v>
      </c>
    </row>
    <row r="26" spans="1:35" x14ac:dyDescent="0.3">
      <c r="A26" s="73">
        <f t="shared" si="8"/>
        <v>17</v>
      </c>
      <c r="B26" s="73" t="s">
        <v>494</v>
      </c>
      <c r="C26" s="74" t="s">
        <v>498</v>
      </c>
      <c r="D26" s="75" t="s">
        <v>231</v>
      </c>
      <c r="E26" s="73" t="s">
        <v>103</v>
      </c>
      <c r="F26" s="76" t="s">
        <v>529</v>
      </c>
      <c r="G26" s="76" t="str">
        <f t="shared" si="3"/>
        <v>2030 bench</v>
      </c>
      <c r="H26" s="76" t="s">
        <v>239</v>
      </c>
      <c r="I26" s="76" t="str">
        <f t="shared" si="7"/>
        <v>2019</v>
      </c>
      <c r="J26" s="76" t="s">
        <v>104</v>
      </c>
      <c r="K26" s="76">
        <v>0</v>
      </c>
      <c r="L26" s="76">
        <v>0</v>
      </c>
      <c r="M26" s="76">
        <v>-1</v>
      </c>
      <c r="N26" s="76" t="s">
        <v>122</v>
      </c>
      <c r="O26" s="76">
        <v>0</v>
      </c>
      <c r="P26" s="76">
        <v>1</v>
      </c>
      <c r="Q26" s="76">
        <v>0</v>
      </c>
      <c r="R26" s="75" t="s">
        <v>221</v>
      </c>
      <c r="S26" s="75" t="s">
        <v>222</v>
      </c>
      <c r="T26" s="75" t="s">
        <v>421</v>
      </c>
      <c r="U26" s="77" t="b">
        <v>0</v>
      </c>
      <c r="V26" s="75" t="b">
        <v>1</v>
      </c>
      <c r="W26" s="75" t="b">
        <v>0</v>
      </c>
      <c r="X26" s="75" t="b">
        <v>0</v>
      </c>
      <c r="Y26" s="75" t="b">
        <v>1</v>
      </c>
      <c r="Z26" s="75" t="b">
        <v>0</v>
      </c>
      <c r="AA26" s="75" t="b">
        <v>0</v>
      </c>
      <c r="AB26" s="75" t="b">
        <v>1</v>
      </c>
      <c r="AC26" s="75" t="b">
        <v>0</v>
      </c>
      <c r="AD26" s="75" t="b">
        <v>1</v>
      </c>
      <c r="AE26" s="75" t="b">
        <v>1</v>
      </c>
      <c r="AF26" s="78" t="b">
        <v>0</v>
      </c>
      <c r="AG26" s="75" t="b">
        <v>0</v>
      </c>
      <c r="AH26" s="75" t="b">
        <v>0</v>
      </c>
      <c r="AI26" s="75" t="b">
        <v>1</v>
      </c>
    </row>
    <row r="27" spans="1:35" x14ac:dyDescent="0.3">
      <c r="A27" s="73">
        <f t="shared" si="8"/>
        <v>18</v>
      </c>
      <c r="B27" s="73" t="s">
        <v>501</v>
      </c>
      <c r="C27" s="74" t="s">
        <v>495</v>
      </c>
      <c r="D27" s="75" t="s">
        <v>231</v>
      </c>
      <c r="E27" s="73" t="s">
        <v>103</v>
      </c>
      <c r="F27" s="76" t="s">
        <v>529</v>
      </c>
      <c r="G27" s="76" t="str">
        <f t="shared" si="3"/>
        <v>2030 bench</v>
      </c>
      <c r="H27" s="76" t="s">
        <v>239</v>
      </c>
      <c r="I27" s="80" t="s">
        <v>499</v>
      </c>
      <c r="J27" s="76" t="s">
        <v>104</v>
      </c>
      <c r="K27" s="76">
        <v>0</v>
      </c>
      <c r="L27" s="76">
        <v>0</v>
      </c>
      <c r="M27" s="76">
        <v>3.6999999999999998E-2</v>
      </c>
      <c r="N27" s="76" t="s">
        <v>122</v>
      </c>
      <c r="O27" s="76">
        <v>0</v>
      </c>
      <c r="P27" s="76">
        <v>1</v>
      </c>
      <c r="Q27" s="76">
        <v>0</v>
      </c>
      <c r="R27" s="75" t="s">
        <v>221</v>
      </c>
      <c r="S27" s="75" t="s">
        <v>222</v>
      </c>
      <c r="T27" s="75" t="s">
        <v>421</v>
      </c>
      <c r="U27" s="77" t="b">
        <v>0</v>
      </c>
      <c r="V27" s="75" t="b">
        <v>1</v>
      </c>
      <c r="W27" s="75" t="b">
        <v>0</v>
      </c>
      <c r="X27" s="75" t="b">
        <v>0</v>
      </c>
      <c r="Y27" s="75" t="b">
        <v>1</v>
      </c>
      <c r="Z27" s="75" t="b">
        <v>0</v>
      </c>
      <c r="AA27" s="75" t="b">
        <v>0</v>
      </c>
      <c r="AB27" s="75" t="b">
        <v>1</v>
      </c>
      <c r="AC27" s="75" t="b">
        <v>0</v>
      </c>
      <c r="AD27" s="75" t="b">
        <v>1</v>
      </c>
      <c r="AE27" s="75" t="b">
        <v>1</v>
      </c>
      <c r="AF27" s="78" t="b">
        <v>0</v>
      </c>
      <c r="AG27" s="75" t="b">
        <v>0</v>
      </c>
      <c r="AH27" s="75" t="b">
        <v>1</v>
      </c>
      <c r="AI27" s="75" t="b">
        <v>1</v>
      </c>
    </row>
    <row r="28" spans="1:35" x14ac:dyDescent="0.3">
      <c r="A28" s="73">
        <f t="shared" si="8"/>
        <v>19</v>
      </c>
      <c r="B28" s="73" t="s">
        <v>502</v>
      </c>
      <c r="C28" s="74" t="s">
        <v>495</v>
      </c>
      <c r="D28" s="75" t="s">
        <v>231</v>
      </c>
      <c r="E28" s="73" t="s">
        <v>103</v>
      </c>
      <c r="F28" s="76" t="s">
        <v>529</v>
      </c>
      <c r="G28" s="76" t="str">
        <f t="shared" si="3"/>
        <v>2030 bench</v>
      </c>
      <c r="H28" s="76" t="s">
        <v>239</v>
      </c>
      <c r="I28" s="80" t="s">
        <v>500</v>
      </c>
      <c r="J28" s="76" t="s">
        <v>104</v>
      </c>
      <c r="K28" s="76">
        <v>0</v>
      </c>
      <c r="L28" s="76">
        <v>0</v>
      </c>
      <c r="M28" s="76">
        <v>3.6999999999999998E-2</v>
      </c>
      <c r="N28" s="76" t="s">
        <v>122</v>
      </c>
      <c r="O28" s="76">
        <v>0</v>
      </c>
      <c r="P28" s="76">
        <v>1</v>
      </c>
      <c r="Q28" s="76">
        <v>0</v>
      </c>
      <c r="R28" s="75" t="s">
        <v>221</v>
      </c>
      <c r="S28" s="75" t="s">
        <v>222</v>
      </c>
      <c r="T28" s="75" t="s">
        <v>421</v>
      </c>
      <c r="U28" s="77" t="b">
        <v>0</v>
      </c>
      <c r="V28" s="75" t="b">
        <v>1</v>
      </c>
      <c r="W28" s="75" t="b">
        <v>0</v>
      </c>
      <c r="X28" s="75" t="b">
        <v>0</v>
      </c>
      <c r="Y28" s="75" t="b">
        <v>1</v>
      </c>
      <c r="Z28" s="75" t="b">
        <v>0</v>
      </c>
      <c r="AA28" s="75" t="b">
        <v>0</v>
      </c>
      <c r="AB28" s="75" t="b">
        <v>1</v>
      </c>
      <c r="AC28" s="75" t="b">
        <v>0</v>
      </c>
      <c r="AD28" s="75" t="b">
        <v>1</v>
      </c>
      <c r="AE28" s="75" t="b">
        <v>1</v>
      </c>
      <c r="AF28" s="78" t="b">
        <v>0</v>
      </c>
      <c r="AG28" s="75" t="b">
        <v>0</v>
      </c>
      <c r="AH28" s="75" t="b">
        <v>1</v>
      </c>
      <c r="AI28" s="75" t="b">
        <v>1</v>
      </c>
    </row>
    <row r="29" spans="1:35" x14ac:dyDescent="0.3">
      <c r="A29" s="73">
        <f t="shared" si="8"/>
        <v>20</v>
      </c>
      <c r="B29" s="73" t="s">
        <v>503</v>
      </c>
      <c r="C29" s="74" t="s">
        <v>495</v>
      </c>
      <c r="D29" s="75" t="s">
        <v>231</v>
      </c>
      <c r="E29" s="73" t="s">
        <v>103</v>
      </c>
      <c r="F29" s="76" t="s">
        <v>529</v>
      </c>
      <c r="G29" s="76" t="str">
        <f t="shared" si="3"/>
        <v>2030 bench</v>
      </c>
      <c r="H29" s="76" t="s">
        <v>239</v>
      </c>
      <c r="I29" s="80" t="s">
        <v>499</v>
      </c>
      <c r="J29" s="76" t="s">
        <v>104</v>
      </c>
      <c r="K29" s="76">
        <v>0</v>
      </c>
      <c r="L29" s="76">
        <v>0</v>
      </c>
      <c r="M29" s="76">
        <v>-1</v>
      </c>
      <c r="N29" s="76" t="s">
        <v>266</v>
      </c>
      <c r="O29" s="76">
        <v>-1</v>
      </c>
      <c r="P29" s="76">
        <v>1</v>
      </c>
      <c r="Q29" s="76">
        <v>0</v>
      </c>
      <c r="R29" s="75" t="s">
        <v>221</v>
      </c>
      <c r="S29" s="75" t="s">
        <v>222</v>
      </c>
      <c r="T29" s="75" t="s">
        <v>421</v>
      </c>
      <c r="U29" s="77" t="b">
        <v>0</v>
      </c>
      <c r="V29" s="75" t="b">
        <v>1</v>
      </c>
      <c r="W29" s="75" t="b">
        <v>0</v>
      </c>
      <c r="X29" s="75" t="b">
        <v>0</v>
      </c>
      <c r="Y29" s="75" t="b">
        <v>1</v>
      </c>
      <c r="Z29" s="75" t="b">
        <v>0</v>
      </c>
      <c r="AA29" s="75" t="b">
        <v>0</v>
      </c>
      <c r="AB29" s="75" t="b">
        <v>1</v>
      </c>
      <c r="AC29" s="75" t="b">
        <v>0</v>
      </c>
      <c r="AD29" s="75" t="b">
        <v>1</v>
      </c>
      <c r="AE29" s="75" t="b">
        <v>1</v>
      </c>
      <c r="AF29" s="78" t="b">
        <v>0</v>
      </c>
      <c r="AG29" s="75" t="b">
        <v>0</v>
      </c>
      <c r="AH29" s="75" t="b">
        <v>0</v>
      </c>
      <c r="AI29" s="75" t="b">
        <v>1</v>
      </c>
    </row>
    <row r="30" spans="1:35" x14ac:dyDescent="0.3">
      <c r="A30" s="73">
        <f t="shared" si="8"/>
        <v>21</v>
      </c>
      <c r="B30" s="73" t="s">
        <v>504</v>
      </c>
      <c r="C30" s="74" t="s">
        <v>495</v>
      </c>
      <c r="D30" s="75" t="s">
        <v>231</v>
      </c>
      <c r="E30" s="73" t="s">
        <v>103</v>
      </c>
      <c r="F30" s="76" t="s">
        <v>529</v>
      </c>
      <c r="G30" s="76" t="str">
        <f t="shared" si="3"/>
        <v>2030 bench</v>
      </c>
      <c r="H30" s="76" t="s">
        <v>239</v>
      </c>
      <c r="I30" s="80" t="s">
        <v>500</v>
      </c>
      <c r="J30" s="76" t="s">
        <v>104</v>
      </c>
      <c r="K30" s="76">
        <v>0</v>
      </c>
      <c r="L30" s="76">
        <v>0</v>
      </c>
      <c r="M30" s="76">
        <v>-1</v>
      </c>
      <c r="N30" s="76" t="s">
        <v>266</v>
      </c>
      <c r="O30" s="76">
        <v>-1</v>
      </c>
      <c r="P30" s="76">
        <v>1</v>
      </c>
      <c r="Q30" s="76">
        <v>0</v>
      </c>
      <c r="R30" s="75" t="s">
        <v>221</v>
      </c>
      <c r="S30" s="75" t="s">
        <v>222</v>
      </c>
      <c r="T30" s="75" t="s">
        <v>421</v>
      </c>
      <c r="U30" s="77" t="b">
        <v>0</v>
      </c>
      <c r="V30" s="75" t="b">
        <v>1</v>
      </c>
      <c r="W30" s="75" t="b">
        <v>0</v>
      </c>
      <c r="X30" s="75" t="b">
        <v>0</v>
      </c>
      <c r="Y30" s="75" t="b">
        <v>1</v>
      </c>
      <c r="Z30" s="75" t="b">
        <v>0</v>
      </c>
      <c r="AA30" s="75" t="b">
        <v>0</v>
      </c>
      <c r="AB30" s="75" t="b">
        <v>1</v>
      </c>
      <c r="AC30" s="75" t="b">
        <v>0</v>
      </c>
      <c r="AD30" s="75" t="b">
        <v>1</v>
      </c>
      <c r="AE30" s="75" t="b">
        <v>1</v>
      </c>
      <c r="AF30" s="78" t="b">
        <v>0</v>
      </c>
      <c r="AG30" s="75" t="b">
        <v>0</v>
      </c>
      <c r="AH30" s="75" t="b">
        <v>0</v>
      </c>
      <c r="AI30" s="75" t="b">
        <v>1</v>
      </c>
    </row>
    <row r="31" spans="1:35" x14ac:dyDescent="0.3">
      <c r="A31" s="73">
        <f t="shared" si="8"/>
        <v>22</v>
      </c>
      <c r="B31" s="73" t="s">
        <v>501</v>
      </c>
      <c r="C31" s="74" t="s">
        <v>495</v>
      </c>
      <c r="D31" s="75" t="s">
        <v>231</v>
      </c>
      <c r="E31" s="73" t="s">
        <v>103</v>
      </c>
      <c r="F31" s="76" t="s">
        <v>529</v>
      </c>
      <c r="G31" s="76" t="str">
        <f t="shared" si="3"/>
        <v>2030 bench</v>
      </c>
      <c r="H31" s="76" t="s">
        <v>239</v>
      </c>
      <c r="I31" s="80" t="s">
        <v>505</v>
      </c>
      <c r="J31" s="76" t="s">
        <v>104</v>
      </c>
      <c r="K31" s="76">
        <v>0</v>
      </c>
      <c r="L31" s="76">
        <v>0</v>
      </c>
      <c r="M31" s="76">
        <v>-1</v>
      </c>
      <c r="N31" s="76" t="s">
        <v>122</v>
      </c>
      <c r="O31" s="76">
        <v>0</v>
      </c>
      <c r="P31" s="76">
        <v>1</v>
      </c>
      <c r="Q31" s="76">
        <v>0</v>
      </c>
      <c r="R31" s="75" t="s">
        <v>221</v>
      </c>
      <c r="S31" s="75" t="s">
        <v>222</v>
      </c>
      <c r="T31" s="75" t="s">
        <v>421</v>
      </c>
      <c r="U31" s="77" t="b">
        <v>0</v>
      </c>
      <c r="V31" s="75" t="b">
        <v>1</v>
      </c>
      <c r="W31" s="75" t="b">
        <v>0</v>
      </c>
      <c r="X31" s="75" t="b">
        <v>0</v>
      </c>
      <c r="Y31" s="75" t="b">
        <v>1</v>
      </c>
      <c r="Z31" s="75" t="b">
        <v>0</v>
      </c>
      <c r="AA31" s="75" t="b">
        <v>0</v>
      </c>
      <c r="AB31" s="75" t="b">
        <v>1</v>
      </c>
      <c r="AC31" s="75" t="b">
        <v>0</v>
      </c>
      <c r="AD31" s="75" t="b">
        <v>1</v>
      </c>
      <c r="AE31" s="75" t="b">
        <v>1</v>
      </c>
      <c r="AF31" s="78" t="b">
        <v>0</v>
      </c>
      <c r="AG31" s="75" t="b">
        <v>0</v>
      </c>
      <c r="AH31" s="75" t="b">
        <v>0</v>
      </c>
      <c r="AI31" s="75" t="b">
        <v>1</v>
      </c>
    </row>
    <row r="32" spans="1:35" x14ac:dyDescent="0.3">
      <c r="A32" s="73">
        <f t="shared" si="8"/>
        <v>23</v>
      </c>
      <c r="B32" s="73" t="s">
        <v>502</v>
      </c>
      <c r="C32" s="74" t="s">
        <v>495</v>
      </c>
      <c r="D32" s="75" t="s">
        <v>231</v>
      </c>
      <c r="E32" s="73" t="s">
        <v>103</v>
      </c>
      <c r="F32" s="76" t="s">
        <v>529</v>
      </c>
      <c r="G32" s="76" t="str">
        <f t="shared" si="3"/>
        <v>2030 bench</v>
      </c>
      <c r="H32" s="76" t="s">
        <v>239</v>
      </c>
      <c r="I32" s="80" t="s">
        <v>506</v>
      </c>
      <c r="J32" s="76" t="s">
        <v>104</v>
      </c>
      <c r="K32" s="76">
        <v>0</v>
      </c>
      <c r="L32" s="76">
        <v>0</v>
      </c>
      <c r="M32" s="76">
        <v>-1</v>
      </c>
      <c r="N32" s="76" t="s">
        <v>122</v>
      </c>
      <c r="O32" s="76">
        <v>0</v>
      </c>
      <c r="P32" s="76">
        <v>1</v>
      </c>
      <c r="Q32" s="76">
        <v>0</v>
      </c>
      <c r="R32" s="75" t="s">
        <v>221</v>
      </c>
      <c r="S32" s="75" t="s">
        <v>222</v>
      </c>
      <c r="T32" s="75" t="s">
        <v>421</v>
      </c>
      <c r="U32" s="77" t="b">
        <v>0</v>
      </c>
      <c r="V32" s="75" t="b">
        <v>1</v>
      </c>
      <c r="W32" s="75" t="b">
        <v>0</v>
      </c>
      <c r="X32" s="75" t="b">
        <v>0</v>
      </c>
      <c r="Y32" s="75" t="b">
        <v>1</v>
      </c>
      <c r="Z32" s="75" t="b">
        <v>0</v>
      </c>
      <c r="AA32" s="75" t="b">
        <v>0</v>
      </c>
      <c r="AB32" s="75" t="b">
        <v>1</v>
      </c>
      <c r="AC32" s="75" t="b">
        <v>0</v>
      </c>
      <c r="AD32" s="75" t="b">
        <v>1</v>
      </c>
      <c r="AE32" s="75" t="b">
        <v>1</v>
      </c>
      <c r="AF32" s="78" t="b">
        <v>0</v>
      </c>
      <c r="AG32" s="75" t="b">
        <v>0</v>
      </c>
      <c r="AH32" s="75" t="b">
        <v>0</v>
      </c>
      <c r="AI32" s="75" t="b">
        <v>1</v>
      </c>
    </row>
    <row r="33" spans="1:35" x14ac:dyDescent="0.3">
      <c r="A33" s="73">
        <f t="shared" si="8"/>
        <v>24</v>
      </c>
      <c r="B33" s="73" t="s">
        <v>518</v>
      </c>
      <c r="C33" s="74" t="s">
        <v>519</v>
      </c>
      <c r="D33" s="75" t="s">
        <v>231</v>
      </c>
      <c r="E33" s="73" t="s">
        <v>103</v>
      </c>
      <c r="F33" s="76" t="s">
        <v>529</v>
      </c>
      <c r="G33" s="76" t="str">
        <f t="shared" si="3"/>
        <v>2030 bench</v>
      </c>
      <c r="H33" s="76" t="s">
        <v>239</v>
      </c>
      <c r="I33" s="76" t="str">
        <f t="shared" ref="I33:I34" si="9">"2019"</f>
        <v>2019</v>
      </c>
      <c r="J33" s="76" t="s">
        <v>104</v>
      </c>
      <c r="K33" s="76">
        <v>0</v>
      </c>
      <c r="L33" s="76">
        <v>0</v>
      </c>
      <c r="M33" s="76">
        <v>-1</v>
      </c>
      <c r="N33" s="76" t="s">
        <v>122</v>
      </c>
      <c r="O33" s="76">
        <v>0</v>
      </c>
      <c r="P33" s="76">
        <v>1</v>
      </c>
      <c r="Q33" s="76">
        <v>0</v>
      </c>
      <c r="R33" s="75" t="s">
        <v>221</v>
      </c>
      <c r="S33" s="75" t="s">
        <v>222</v>
      </c>
      <c r="T33" s="75" t="s">
        <v>421</v>
      </c>
      <c r="U33" s="77" t="b">
        <v>0</v>
      </c>
      <c r="V33" s="75" t="b">
        <v>1</v>
      </c>
      <c r="W33" s="75" t="b">
        <v>0</v>
      </c>
      <c r="X33" s="75" t="b">
        <v>0</v>
      </c>
      <c r="Y33" s="75" t="b">
        <v>1</v>
      </c>
      <c r="Z33" s="75" t="b">
        <v>0</v>
      </c>
      <c r="AA33" s="75" t="b">
        <v>0</v>
      </c>
      <c r="AB33" s="75" t="b">
        <v>1</v>
      </c>
      <c r="AC33" s="75" t="b">
        <v>0</v>
      </c>
      <c r="AD33" s="75" t="b">
        <v>1</v>
      </c>
      <c r="AE33" s="75" t="b">
        <v>1</v>
      </c>
      <c r="AF33" s="78" t="b">
        <v>0</v>
      </c>
      <c r="AG33" s="75" t="b">
        <v>0</v>
      </c>
      <c r="AH33" s="75" t="b">
        <v>0</v>
      </c>
      <c r="AI33" s="75" t="b">
        <v>1</v>
      </c>
    </row>
    <row r="34" spans="1:35" s="155" customFormat="1" x14ac:dyDescent="0.3">
      <c r="A34" s="151">
        <f t="shared" si="8"/>
        <v>25</v>
      </c>
      <c r="B34" s="151" t="s">
        <v>530</v>
      </c>
      <c r="C34" s="152" t="s">
        <v>531</v>
      </c>
      <c r="D34" s="155" t="s">
        <v>231</v>
      </c>
      <c r="E34" s="151" t="s">
        <v>103</v>
      </c>
      <c r="F34" s="164" t="s">
        <v>528</v>
      </c>
      <c r="G34" s="164" t="str">
        <f t="shared" si="3"/>
        <v>2030 bench</v>
      </c>
      <c r="H34" s="164" t="s">
        <v>239</v>
      </c>
      <c r="I34" s="164" t="str">
        <f t="shared" si="9"/>
        <v>2019</v>
      </c>
      <c r="J34" s="164" t="s">
        <v>104</v>
      </c>
      <c r="K34" s="164">
        <v>0</v>
      </c>
      <c r="L34" s="164">
        <v>0</v>
      </c>
      <c r="M34" s="164">
        <v>-1</v>
      </c>
      <c r="N34" s="164" t="s">
        <v>122</v>
      </c>
      <c r="O34" s="164">
        <v>0</v>
      </c>
      <c r="P34" s="164">
        <v>1</v>
      </c>
      <c r="Q34" s="164">
        <v>0</v>
      </c>
      <c r="R34" s="155" t="s">
        <v>221</v>
      </c>
      <c r="S34" s="155" t="s">
        <v>222</v>
      </c>
      <c r="T34" s="155" t="s">
        <v>421</v>
      </c>
      <c r="U34" s="165" t="b">
        <v>0</v>
      </c>
      <c r="V34" s="155" t="b">
        <v>1</v>
      </c>
      <c r="W34" s="155" t="b">
        <v>0</v>
      </c>
      <c r="X34" s="155" t="b">
        <v>0</v>
      </c>
      <c r="Y34" s="155" t="b">
        <v>1</v>
      </c>
      <c r="Z34" s="155" t="b">
        <v>0</v>
      </c>
      <c r="AA34" s="155" t="b">
        <v>0</v>
      </c>
      <c r="AB34" s="155" t="b">
        <v>1</v>
      </c>
      <c r="AC34" s="155" t="b">
        <v>0</v>
      </c>
      <c r="AD34" s="155" t="b">
        <v>1</v>
      </c>
      <c r="AE34" s="155" t="b">
        <v>1</v>
      </c>
      <c r="AF34" s="166" t="b">
        <v>0</v>
      </c>
      <c r="AG34" s="155" t="b">
        <v>0</v>
      </c>
      <c r="AH34" s="155" t="b">
        <v>0</v>
      </c>
      <c r="AI34" s="155" t="b">
        <v>1</v>
      </c>
    </row>
  </sheetData>
  <mergeCells count="10">
    <mergeCell ref="AG7:AI7"/>
    <mergeCell ref="B2:B7"/>
    <mergeCell ref="C2:C7"/>
    <mergeCell ref="P2:P7"/>
    <mergeCell ref="Q2:Q7"/>
    <mergeCell ref="I2:I4"/>
    <mergeCell ref="H2:H3"/>
    <mergeCell ref="N2:N7"/>
    <mergeCell ref="M2:M7"/>
    <mergeCell ref="O2:O7"/>
  </mergeCells>
  <conditionalFormatting sqref="U10:AI34">
    <cfRule type="cellIs" dxfId="7" priority="1" operator="equal">
      <formula>TRUE</formula>
    </cfRule>
    <cfRule type="cellIs" dxfId="6" priority="2" operator="equal">
      <formula>FALSE</formula>
    </cfRule>
  </conditionalFormatting>
  <pageMargins left="0.7" right="0.7" top="0.75" bottom="0.75" header="0.3" footer="0.3"/>
  <pageSetup paperSize="9" orientation="portrait" horizontalDpi="429496729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AG127"/>
  <sheetViews>
    <sheetView workbookViewId="0"/>
  </sheetViews>
  <sheetFormatPr defaultRowHeight="14.4" x14ac:dyDescent="0.3"/>
  <cols>
    <col min="1" max="1" width="15.109375" bestFit="1" customWidth="1"/>
    <col min="2" max="2" width="27" customWidth="1"/>
    <col min="3" max="3" width="23.5546875" style="17" customWidth="1"/>
    <col min="4" max="4" width="22.21875" style="17" customWidth="1"/>
    <col min="5" max="5" width="10.5546875" style="17" customWidth="1"/>
    <col min="6" max="6" width="11.77734375" style="17" customWidth="1"/>
    <col min="7" max="7" width="10.33203125" style="17" customWidth="1"/>
    <col min="8" max="8" width="16.33203125" style="17" customWidth="1"/>
    <col min="9" max="9" width="12.21875" style="17" customWidth="1"/>
    <col min="10" max="10" width="11.21875" style="17" customWidth="1"/>
    <col min="11" max="11" width="12.6640625" style="17" customWidth="1"/>
    <col min="12" max="12" width="13.44140625" style="17" customWidth="1"/>
    <col min="13" max="13" width="15.77734375" style="17" customWidth="1"/>
    <col min="14" max="14" width="17.21875" style="17" customWidth="1"/>
    <col min="15" max="15" width="18.44140625" style="17" customWidth="1"/>
    <col min="16" max="17" width="13.44140625" style="17" customWidth="1"/>
    <col min="18" max="19" width="21.33203125" customWidth="1"/>
    <col min="20" max="20" width="23.88671875" customWidth="1"/>
    <col min="21" max="21" width="9.6640625" style="20" bestFit="1" customWidth="1"/>
    <col min="22" max="22" width="7.88671875" bestFit="1" customWidth="1"/>
    <col min="23" max="23" width="11.77734375" bestFit="1" customWidth="1"/>
    <col min="24" max="24" width="8.109375" bestFit="1" customWidth="1"/>
    <col min="25" max="25" width="19.21875" bestFit="1" customWidth="1"/>
    <col min="26" max="26" width="20.21875" customWidth="1"/>
    <col min="27" max="27" width="14.77734375" customWidth="1"/>
    <col min="28" max="28" width="13.5546875" customWidth="1"/>
    <col min="29" max="29" width="16" customWidth="1"/>
    <col min="30" max="30" width="14.6640625" style="21" bestFit="1" customWidth="1"/>
    <col min="31" max="31" width="12.21875" bestFit="1" customWidth="1"/>
    <col min="32" max="32" width="8.21875" bestFit="1" customWidth="1"/>
    <col min="33" max="33" width="5.5546875" bestFit="1" customWidth="1"/>
  </cols>
  <sheetData>
    <row r="1" spans="1:33" x14ac:dyDescent="0.3">
      <c r="C1" s="17" t="s">
        <v>149</v>
      </c>
      <c r="R1" s="17"/>
      <c r="S1" s="17"/>
      <c r="T1" s="49"/>
    </row>
    <row r="2" spans="1:33" ht="16.5" customHeight="1" x14ac:dyDescent="0.3">
      <c r="B2" s="176" t="s">
        <v>156</v>
      </c>
      <c r="C2" s="177" t="s">
        <v>148</v>
      </c>
      <c r="D2" s="13" t="s">
        <v>231</v>
      </c>
      <c r="E2" s="13" t="s">
        <v>103</v>
      </c>
      <c r="F2" s="13" t="s">
        <v>124</v>
      </c>
      <c r="G2" s="13">
        <v>2020</v>
      </c>
      <c r="H2" s="178" t="s">
        <v>182</v>
      </c>
      <c r="I2" s="178" t="s">
        <v>181</v>
      </c>
      <c r="J2" s="13" t="s">
        <v>87</v>
      </c>
      <c r="K2" s="13" t="s">
        <v>167</v>
      </c>
      <c r="L2" s="13" t="s">
        <v>167</v>
      </c>
      <c r="M2" s="178" t="s">
        <v>254</v>
      </c>
      <c r="N2" s="179" t="s">
        <v>255</v>
      </c>
      <c r="O2" s="180" t="s">
        <v>257</v>
      </c>
      <c r="P2" s="178" t="s">
        <v>173</v>
      </c>
      <c r="Q2" s="178" t="s">
        <v>174</v>
      </c>
      <c r="R2" s="13" t="s">
        <v>209</v>
      </c>
      <c r="S2" s="13" t="s">
        <v>209</v>
      </c>
      <c r="T2" s="13" t="s">
        <v>150</v>
      </c>
    </row>
    <row r="3" spans="1:33" x14ac:dyDescent="0.3">
      <c r="B3" s="176"/>
      <c r="C3" s="177"/>
      <c r="D3" s="13"/>
      <c r="E3" s="13" t="s">
        <v>120</v>
      </c>
      <c r="F3" s="13" t="s">
        <v>93</v>
      </c>
      <c r="G3" s="13">
        <v>2030</v>
      </c>
      <c r="H3" s="178"/>
      <c r="I3" s="178"/>
      <c r="J3" s="13" t="s">
        <v>104</v>
      </c>
      <c r="M3" s="178"/>
      <c r="N3" s="179"/>
      <c r="O3" s="180"/>
      <c r="P3" s="178"/>
      <c r="Q3" s="178"/>
      <c r="R3" s="13"/>
      <c r="S3" s="13"/>
      <c r="T3" s="13"/>
    </row>
    <row r="4" spans="1:33" x14ac:dyDescent="0.3">
      <c r="B4" s="176"/>
      <c r="C4" s="177"/>
      <c r="D4" s="13"/>
      <c r="E4" s="13" t="s">
        <v>97</v>
      </c>
      <c r="F4" s="13" t="s">
        <v>122</v>
      </c>
      <c r="G4" s="13">
        <v>2050</v>
      </c>
      <c r="H4" s="13"/>
      <c r="I4" s="178"/>
      <c r="J4" s="13" t="s">
        <v>233</v>
      </c>
      <c r="K4" s="13"/>
      <c r="L4" s="13"/>
      <c r="M4" s="178"/>
      <c r="N4" s="179"/>
      <c r="O4" s="180"/>
      <c r="P4" s="178"/>
      <c r="Q4" s="178"/>
      <c r="R4" s="13"/>
      <c r="S4" s="13"/>
      <c r="T4" s="13"/>
    </row>
    <row r="5" spans="1:33" x14ac:dyDescent="0.3">
      <c r="B5" s="176"/>
      <c r="C5" s="177"/>
      <c r="E5" s="13"/>
      <c r="F5" s="13"/>
      <c r="G5" s="13"/>
      <c r="H5" s="13"/>
      <c r="I5" s="13"/>
      <c r="J5" s="13"/>
      <c r="K5" s="13"/>
      <c r="L5" s="13"/>
      <c r="M5" s="178"/>
      <c r="N5" s="179"/>
      <c r="O5" s="180"/>
      <c r="P5" s="178"/>
      <c r="Q5" s="178"/>
      <c r="R5" s="2"/>
      <c r="S5" s="2"/>
      <c r="T5" s="2"/>
      <c r="V5" s="36" t="s">
        <v>147</v>
      </c>
      <c r="W5" s="2"/>
      <c r="X5" s="2"/>
      <c r="Y5" s="2"/>
      <c r="Z5" s="2"/>
      <c r="AA5" s="2"/>
      <c r="AB5" s="2"/>
      <c r="AC5" s="2"/>
      <c r="AD5" s="35"/>
      <c r="AE5" s="175" t="s">
        <v>151</v>
      </c>
      <c r="AF5" s="172"/>
      <c r="AG5" s="172"/>
    </row>
    <row r="6" spans="1:33" x14ac:dyDescent="0.3">
      <c r="R6" s="17"/>
      <c r="S6" s="17"/>
      <c r="T6" s="17"/>
      <c r="V6" s="2"/>
      <c r="W6" s="2"/>
      <c r="X6" s="2"/>
      <c r="Y6" s="2"/>
      <c r="Z6" s="2"/>
      <c r="AA6" s="2"/>
      <c r="AB6" s="2"/>
      <c r="AC6" s="2"/>
      <c r="AD6" s="35"/>
      <c r="AE6" s="2"/>
      <c r="AF6" s="2"/>
    </row>
    <row r="7" spans="1:33" s="29" customFormat="1" x14ac:dyDescent="0.3">
      <c r="A7" s="29" t="s">
        <v>105</v>
      </c>
      <c r="B7" s="29" t="s">
        <v>155</v>
      </c>
      <c r="C7" s="29" t="s">
        <v>154</v>
      </c>
      <c r="D7" s="29" t="s">
        <v>220</v>
      </c>
      <c r="E7" s="29" t="s">
        <v>106</v>
      </c>
      <c r="F7" s="29" t="s">
        <v>121</v>
      </c>
      <c r="G7" s="29" t="s">
        <v>179</v>
      </c>
      <c r="H7" s="29" t="s">
        <v>180</v>
      </c>
      <c r="I7" s="29" t="s">
        <v>109</v>
      </c>
      <c r="J7" s="29" t="s">
        <v>107</v>
      </c>
      <c r="K7" s="29" t="s">
        <v>168</v>
      </c>
      <c r="L7" s="29" t="s">
        <v>166</v>
      </c>
      <c r="M7" s="29" t="s">
        <v>223</v>
      </c>
      <c r="N7" s="29" t="s">
        <v>238</v>
      </c>
      <c r="O7" s="29" t="s">
        <v>256</v>
      </c>
      <c r="P7" s="29" t="s">
        <v>172</v>
      </c>
      <c r="Q7" s="29" t="s">
        <v>175</v>
      </c>
      <c r="R7" s="29" t="s">
        <v>108</v>
      </c>
      <c r="S7" s="29" t="s">
        <v>208</v>
      </c>
      <c r="T7" s="29" t="s">
        <v>110</v>
      </c>
      <c r="U7" s="30" t="s">
        <v>111</v>
      </c>
      <c r="V7" s="29" t="s">
        <v>112</v>
      </c>
      <c r="W7" s="29" t="s">
        <v>113</v>
      </c>
      <c r="X7" s="29" t="s">
        <v>114</v>
      </c>
      <c r="Y7" s="29" t="s">
        <v>115</v>
      </c>
      <c r="Z7" s="29" t="s">
        <v>126</v>
      </c>
      <c r="AA7" s="29" t="s">
        <v>127</v>
      </c>
      <c r="AB7" s="29" t="s">
        <v>128</v>
      </c>
      <c r="AC7" s="29" t="s">
        <v>129</v>
      </c>
      <c r="AD7" s="31" t="s">
        <v>116</v>
      </c>
      <c r="AE7" s="29" t="s">
        <v>117</v>
      </c>
      <c r="AF7" s="29" t="s">
        <v>118</v>
      </c>
      <c r="AG7" s="29" t="s">
        <v>119</v>
      </c>
    </row>
    <row r="8" spans="1:33" x14ac:dyDescent="0.3">
      <c r="A8" s="13">
        <f t="shared" ref="A8:A25" si="0">ROW(A8)-ROW($A$7)</f>
        <v>1</v>
      </c>
      <c r="B8" s="13" t="s">
        <v>279</v>
      </c>
      <c r="C8" s="17" t="s">
        <v>216</v>
      </c>
      <c r="D8" t="s">
        <v>258</v>
      </c>
      <c r="E8" s="17" t="s">
        <v>120</v>
      </c>
      <c r="F8" s="17" t="s">
        <v>122</v>
      </c>
      <c r="G8" s="17" t="str">
        <f t="shared" ref="G8:G89" si="1">"2030"</f>
        <v>2030</v>
      </c>
      <c r="H8" s="17" t="s">
        <v>239</v>
      </c>
      <c r="I8" s="17" t="str">
        <f t="shared" ref="I8:I34" si="2">"2019"</f>
        <v>2019</v>
      </c>
      <c r="J8" s="17" t="s">
        <v>87</v>
      </c>
      <c r="K8" s="17">
        <v>0</v>
      </c>
      <c r="L8" s="17">
        <v>0</v>
      </c>
      <c r="M8" s="17">
        <v>-1</v>
      </c>
      <c r="N8" s="17" t="s">
        <v>122</v>
      </c>
      <c r="O8" s="17">
        <v>0</v>
      </c>
      <c r="P8" s="17">
        <v>1</v>
      </c>
      <c r="Q8" s="17">
        <v>0</v>
      </c>
      <c r="R8" t="s">
        <v>221</v>
      </c>
      <c r="S8" t="s">
        <v>222</v>
      </c>
      <c r="T8" t="s">
        <v>280</v>
      </c>
      <c r="U8" s="20" t="b">
        <v>0</v>
      </c>
      <c r="V8" t="b">
        <v>1</v>
      </c>
      <c r="W8" t="b">
        <v>0</v>
      </c>
      <c r="X8" t="b">
        <v>0</v>
      </c>
      <c r="Y8" t="b">
        <v>1</v>
      </c>
      <c r="Z8" t="b">
        <v>0</v>
      </c>
      <c r="AA8" t="b">
        <v>0</v>
      </c>
      <c r="AB8" t="b">
        <v>0</v>
      </c>
      <c r="AC8" t="b">
        <v>0</v>
      </c>
      <c r="AD8" s="21" t="b">
        <v>0</v>
      </c>
      <c r="AE8" t="b">
        <v>0</v>
      </c>
      <c r="AF8" t="b">
        <v>0</v>
      </c>
      <c r="AG8" t="b">
        <v>0</v>
      </c>
    </row>
    <row r="9" spans="1:33" x14ac:dyDescent="0.3">
      <c r="A9" s="13">
        <f t="shared" si="0"/>
        <v>2</v>
      </c>
      <c r="B9" s="13" t="s">
        <v>279</v>
      </c>
      <c r="C9" s="17" t="s">
        <v>216</v>
      </c>
      <c r="D9" t="s">
        <v>259</v>
      </c>
      <c r="E9" s="17" t="s">
        <v>120</v>
      </c>
      <c r="F9" s="17" t="s">
        <v>122</v>
      </c>
      <c r="G9" s="17" t="str">
        <f t="shared" si="1"/>
        <v>2030</v>
      </c>
      <c r="H9" s="17" t="s">
        <v>239</v>
      </c>
      <c r="I9" s="17" t="str">
        <f t="shared" si="2"/>
        <v>2019</v>
      </c>
      <c r="J9" s="17" t="s">
        <v>87</v>
      </c>
      <c r="K9" s="17">
        <v>0</v>
      </c>
      <c r="L9" s="17">
        <v>0</v>
      </c>
      <c r="M9" s="17">
        <v>-1</v>
      </c>
      <c r="N9" s="17" t="s">
        <v>122</v>
      </c>
      <c r="O9" s="17">
        <v>0</v>
      </c>
      <c r="P9" s="17">
        <v>1</v>
      </c>
      <c r="Q9" s="17">
        <v>0</v>
      </c>
      <c r="R9" t="s">
        <v>221</v>
      </c>
      <c r="S9" t="s">
        <v>222</v>
      </c>
      <c r="T9" t="s">
        <v>280</v>
      </c>
      <c r="U9" s="20" t="b">
        <v>0</v>
      </c>
      <c r="V9" t="b">
        <v>1</v>
      </c>
      <c r="W9" t="b">
        <v>0</v>
      </c>
      <c r="X9" t="b">
        <v>0</v>
      </c>
      <c r="Y9" t="b">
        <v>1</v>
      </c>
      <c r="Z9" t="b">
        <v>0</v>
      </c>
      <c r="AA9" t="b">
        <v>0</v>
      </c>
      <c r="AB9" t="b">
        <v>0</v>
      </c>
      <c r="AC9" t="b">
        <v>0</v>
      </c>
      <c r="AD9" s="21" t="b">
        <v>0</v>
      </c>
      <c r="AE9" t="b">
        <v>0</v>
      </c>
      <c r="AF9" t="b">
        <v>0</v>
      </c>
      <c r="AG9" t="b">
        <v>0</v>
      </c>
    </row>
    <row r="10" spans="1:33" x14ac:dyDescent="0.3">
      <c r="A10" s="13">
        <f t="shared" si="0"/>
        <v>3</v>
      </c>
      <c r="B10" s="13" t="s">
        <v>279</v>
      </c>
      <c r="C10" s="17" t="s">
        <v>216</v>
      </c>
      <c r="D10" t="s">
        <v>240</v>
      </c>
      <c r="E10" s="17" t="s">
        <v>120</v>
      </c>
      <c r="F10" s="17" t="s">
        <v>122</v>
      </c>
      <c r="G10" s="17" t="str">
        <f t="shared" si="1"/>
        <v>2030</v>
      </c>
      <c r="H10" s="17" t="s">
        <v>239</v>
      </c>
      <c r="I10" s="17" t="str">
        <f t="shared" si="2"/>
        <v>2019</v>
      </c>
      <c r="J10" s="17" t="s">
        <v>87</v>
      </c>
      <c r="K10" s="17">
        <v>0</v>
      </c>
      <c r="L10" s="17">
        <v>0</v>
      </c>
      <c r="M10" s="17">
        <v>-1</v>
      </c>
      <c r="N10" s="17" t="s">
        <v>122</v>
      </c>
      <c r="O10" s="17">
        <v>0</v>
      </c>
      <c r="P10" s="17">
        <v>1</v>
      </c>
      <c r="Q10" s="17">
        <v>0</v>
      </c>
      <c r="R10" t="s">
        <v>221</v>
      </c>
      <c r="S10" t="s">
        <v>222</v>
      </c>
      <c r="T10" t="s">
        <v>280</v>
      </c>
      <c r="U10" s="20" t="b">
        <v>0</v>
      </c>
      <c r="V10" t="b">
        <v>1</v>
      </c>
      <c r="W10" t="b">
        <v>0</v>
      </c>
      <c r="X10" t="b">
        <v>0</v>
      </c>
      <c r="Y10" t="b">
        <v>1</v>
      </c>
      <c r="Z10" t="b">
        <v>0</v>
      </c>
      <c r="AA10" t="b">
        <v>0</v>
      </c>
      <c r="AB10" t="b">
        <v>0</v>
      </c>
      <c r="AC10" t="b">
        <v>0</v>
      </c>
      <c r="AD10" s="21" t="b">
        <v>0</v>
      </c>
      <c r="AE10" t="b">
        <v>0</v>
      </c>
      <c r="AF10" t="b">
        <v>0</v>
      </c>
      <c r="AG10" t="b">
        <v>0</v>
      </c>
    </row>
    <row r="11" spans="1:33" x14ac:dyDescent="0.3">
      <c r="A11" s="13">
        <f t="shared" si="0"/>
        <v>4</v>
      </c>
      <c r="B11" s="13" t="s">
        <v>279</v>
      </c>
      <c r="C11" s="17" t="s">
        <v>216</v>
      </c>
      <c r="D11" t="s">
        <v>258</v>
      </c>
      <c r="E11" s="17" t="s">
        <v>120</v>
      </c>
      <c r="F11" s="17" t="s">
        <v>122</v>
      </c>
      <c r="G11" s="17" t="str">
        <f t="shared" si="1"/>
        <v>2030</v>
      </c>
      <c r="H11" s="17" t="s">
        <v>239</v>
      </c>
      <c r="I11" s="17" t="str">
        <f t="shared" si="2"/>
        <v>2019</v>
      </c>
      <c r="J11" s="17" t="s">
        <v>104</v>
      </c>
      <c r="K11" s="17">
        <v>0</v>
      </c>
      <c r="L11" s="17">
        <v>0</v>
      </c>
      <c r="M11" s="17">
        <v>-1</v>
      </c>
      <c r="N11" s="17" t="s">
        <v>122</v>
      </c>
      <c r="O11" s="17">
        <v>0</v>
      </c>
      <c r="P11" s="17">
        <v>1</v>
      </c>
      <c r="Q11" s="17">
        <v>0</v>
      </c>
      <c r="R11" t="s">
        <v>221</v>
      </c>
      <c r="S11" t="s">
        <v>222</v>
      </c>
      <c r="T11" t="s">
        <v>280</v>
      </c>
      <c r="U11" s="20" t="b">
        <v>0</v>
      </c>
      <c r="V11" t="b">
        <v>1</v>
      </c>
      <c r="W11" t="b">
        <v>0</v>
      </c>
      <c r="X11" t="b">
        <v>0</v>
      </c>
      <c r="Y11" t="b">
        <v>1</v>
      </c>
      <c r="Z11" t="b">
        <v>0</v>
      </c>
      <c r="AA11" t="b">
        <v>0</v>
      </c>
      <c r="AB11" t="b">
        <v>0</v>
      </c>
      <c r="AC11" t="b">
        <v>0</v>
      </c>
      <c r="AD11" s="21" t="b">
        <v>0</v>
      </c>
      <c r="AE11" t="b">
        <v>0</v>
      </c>
      <c r="AF11" t="b">
        <v>0</v>
      </c>
      <c r="AG11" t="b">
        <v>0</v>
      </c>
    </row>
    <row r="12" spans="1:33" x14ac:dyDescent="0.3">
      <c r="A12" s="13">
        <f t="shared" si="0"/>
        <v>5</v>
      </c>
      <c r="B12" s="13" t="s">
        <v>279</v>
      </c>
      <c r="C12" s="17" t="s">
        <v>216</v>
      </c>
      <c r="D12" t="s">
        <v>259</v>
      </c>
      <c r="E12" s="17" t="s">
        <v>120</v>
      </c>
      <c r="F12" s="17" t="s">
        <v>122</v>
      </c>
      <c r="G12" s="17" t="str">
        <f t="shared" si="1"/>
        <v>2030</v>
      </c>
      <c r="H12" s="17" t="s">
        <v>239</v>
      </c>
      <c r="I12" s="17" t="str">
        <f t="shared" si="2"/>
        <v>2019</v>
      </c>
      <c r="J12" s="17" t="s">
        <v>104</v>
      </c>
      <c r="K12" s="17">
        <v>0</v>
      </c>
      <c r="L12" s="17">
        <v>0</v>
      </c>
      <c r="M12" s="17">
        <v>-1</v>
      </c>
      <c r="N12" s="17" t="s">
        <v>122</v>
      </c>
      <c r="O12" s="17">
        <v>0</v>
      </c>
      <c r="P12" s="17">
        <v>1</v>
      </c>
      <c r="Q12" s="17">
        <v>0</v>
      </c>
      <c r="R12" t="s">
        <v>221</v>
      </c>
      <c r="S12" t="s">
        <v>222</v>
      </c>
      <c r="T12" t="s">
        <v>280</v>
      </c>
      <c r="U12" s="20" t="b">
        <v>0</v>
      </c>
      <c r="V12" t="b">
        <v>1</v>
      </c>
      <c r="W12" t="b">
        <v>0</v>
      </c>
      <c r="X12" t="b">
        <v>0</v>
      </c>
      <c r="Y12" t="b">
        <v>1</v>
      </c>
      <c r="Z12" t="b">
        <v>0</v>
      </c>
      <c r="AA12" t="b">
        <v>0</v>
      </c>
      <c r="AB12" t="b">
        <v>0</v>
      </c>
      <c r="AC12" t="b">
        <v>0</v>
      </c>
      <c r="AD12" s="21" t="b">
        <v>0</v>
      </c>
      <c r="AE12" t="b">
        <v>0</v>
      </c>
      <c r="AF12" t="b">
        <v>0</v>
      </c>
      <c r="AG12" t="b">
        <v>0</v>
      </c>
    </row>
    <row r="13" spans="1:33" x14ac:dyDescent="0.3">
      <c r="A13" s="13">
        <f t="shared" si="0"/>
        <v>6</v>
      </c>
      <c r="B13" s="13" t="s">
        <v>279</v>
      </c>
      <c r="C13" s="17" t="s">
        <v>216</v>
      </c>
      <c r="D13" t="s">
        <v>240</v>
      </c>
      <c r="E13" s="17" t="s">
        <v>120</v>
      </c>
      <c r="F13" s="17" t="s">
        <v>122</v>
      </c>
      <c r="G13" s="17" t="str">
        <f t="shared" si="1"/>
        <v>2030</v>
      </c>
      <c r="H13" s="17" t="s">
        <v>239</v>
      </c>
      <c r="I13" s="17" t="str">
        <f t="shared" si="2"/>
        <v>2019</v>
      </c>
      <c r="J13" s="17" t="s">
        <v>104</v>
      </c>
      <c r="K13" s="17">
        <v>0</v>
      </c>
      <c r="L13" s="17">
        <v>0</v>
      </c>
      <c r="M13" s="17">
        <v>-1</v>
      </c>
      <c r="N13" s="17" t="s">
        <v>122</v>
      </c>
      <c r="O13" s="17">
        <v>0</v>
      </c>
      <c r="P13" s="17">
        <v>1</v>
      </c>
      <c r="Q13" s="17">
        <v>0</v>
      </c>
      <c r="R13" t="s">
        <v>221</v>
      </c>
      <c r="S13" t="s">
        <v>222</v>
      </c>
      <c r="T13" t="s">
        <v>280</v>
      </c>
      <c r="U13" s="20" t="b">
        <v>0</v>
      </c>
      <c r="V13" t="b">
        <v>1</v>
      </c>
      <c r="W13" t="b">
        <v>0</v>
      </c>
      <c r="X13" t="b">
        <v>0</v>
      </c>
      <c r="Y13" t="b">
        <v>1</v>
      </c>
      <c r="Z13" t="b">
        <v>0</v>
      </c>
      <c r="AA13" t="b">
        <v>0</v>
      </c>
      <c r="AB13" t="b">
        <v>0</v>
      </c>
      <c r="AC13" t="b">
        <v>0</v>
      </c>
      <c r="AD13" s="21" t="b">
        <v>0</v>
      </c>
      <c r="AE13" t="b">
        <v>0</v>
      </c>
      <c r="AF13" t="b">
        <v>0</v>
      </c>
      <c r="AG13" t="b">
        <v>0</v>
      </c>
    </row>
    <row r="14" spans="1:33" x14ac:dyDescent="0.3">
      <c r="A14" s="13">
        <f t="shared" si="0"/>
        <v>7</v>
      </c>
      <c r="B14" s="13" t="s">
        <v>279</v>
      </c>
      <c r="C14" s="17" t="s">
        <v>216</v>
      </c>
      <c r="D14" t="s">
        <v>258</v>
      </c>
      <c r="E14" s="17" t="s">
        <v>103</v>
      </c>
      <c r="F14" s="17" t="s">
        <v>124</v>
      </c>
      <c r="G14" s="17" t="str">
        <f t="shared" si="1"/>
        <v>2030</v>
      </c>
      <c r="H14" s="17" t="s">
        <v>239</v>
      </c>
      <c r="I14" s="17" t="str">
        <f t="shared" si="2"/>
        <v>2019</v>
      </c>
      <c r="J14" s="17" t="s">
        <v>87</v>
      </c>
      <c r="K14" s="17">
        <v>0</v>
      </c>
      <c r="L14" s="17">
        <v>0</v>
      </c>
      <c r="M14" s="17">
        <v>-1</v>
      </c>
      <c r="N14" s="17" t="s">
        <v>122</v>
      </c>
      <c r="O14" s="17">
        <v>0</v>
      </c>
      <c r="P14" s="17">
        <v>1</v>
      </c>
      <c r="Q14" s="17">
        <v>0</v>
      </c>
      <c r="R14" t="s">
        <v>221</v>
      </c>
      <c r="S14" t="s">
        <v>222</v>
      </c>
      <c r="T14" t="s">
        <v>280</v>
      </c>
      <c r="U14" s="20" t="b">
        <v>0</v>
      </c>
      <c r="V14" t="b">
        <v>1</v>
      </c>
      <c r="W14" t="b">
        <v>0</v>
      </c>
      <c r="X14" t="b">
        <v>0</v>
      </c>
      <c r="Y14" t="b">
        <v>1</v>
      </c>
      <c r="Z14" t="b">
        <v>0</v>
      </c>
      <c r="AA14" t="b">
        <v>0</v>
      </c>
      <c r="AB14" t="b">
        <v>0</v>
      </c>
      <c r="AC14" t="b">
        <v>0</v>
      </c>
      <c r="AD14" s="21" t="b">
        <v>0</v>
      </c>
      <c r="AE14" t="b">
        <v>0</v>
      </c>
      <c r="AF14" t="b">
        <v>0</v>
      </c>
      <c r="AG14" t="b">
        <v>0</v>
      </c>
    </row>
    <row r="15" spans="1:33" x14ac:dyDescent="0.3">
      <c r="A15" s="13">
        <f t="shared" si="0"/>
        <v>8</v>
      </c>
      <c r="B15" s="13" t="s">
        <v>279</v>
      </c>
      <c r="C15" s="17" t="s">
        <v>216</v>
      </c>
      <c r="D15" t="s">
        <v>259</v>
      </c>
      <c r="E15" s="17" t="s">
        <v>103</v>
      </c>
      <c r="F15" s="17" t="s">
        <v>124</v>
      </c>
      <c r="G15" s="17" t="str">
        <f t="shared" si="1"/>
        <v>2030</v>
      </c>
      <c r="H15" s="17" t="s">
        <v>239</v>
      </c>
      <c r="I15" s="17" t="str">
        <f t="shared" si="2"/>
        <v>2019</v>
      </c>
      <c r="J15" s="17" t="s">
        <v>87</v>
      </c>
      <c r="K15" s="17">
        <v>0</v>
      </c>
      <c r="L15" s="17">
        <v>0</v>
      </c>
      <c r="M15" s="17">
        <v>-1</v>
      </c>
      <c r="N15" s="17" t="s">
        <v>122</v>
      </c>
      <c r="O15" s="17">
        <v>0</v>
      </c>
      <c r="P15" s="17">
        <v>1</v>
      </c>
      <c r="Q15" s="17">
        <v>0</v>
      </c>
      <c r="R15" t="s">
        <v>221</v>
      </c>
      <c r="S15" t="s">
        <v>222</v>
      </c>
      <c r="T15" t="s">
        <v>280</v>
      </c>
      <c r="U15" s="20" t="b">
        <v>0</v>
      </c>
      <c r="V15" t="b">
        <v>1</v>
      </c>
      <c r="W15" t="b">
        <v>0</v>
      </c>
      <c r="X15" t="b">
        <v>0</v>
      </c>
      <c r="Y15" t="b">
        <v>1</v>
      </c>
      <c r="Z15" t="b">
        <v>0</v>
      </c>
      <c r="AA15" t="b">
        <v>0</v>
      </c>
      <c r="AB15" t="b">
        <v>0</v>
      </c>
      <c r="AC15" t="b">
        <v>0</v>
      </c>
      <c r="AD15" s="21" t="b">
        <v>0</v>
      </c>
      <c r="AE15" t="b">
        <v>0</v>
      </c>
      <c r="AF15" t="b">
        <v>0</v>
      </c>
      <c r="AG15" t="b">
        <v>0</v>
      </c>
    </row>
    <row r="16" spans="1:33" x14ac:dyDescent="0.3">
      <c r="A16" s="13">
        <f t="shared" si="0"/>
        <v>9</v>
      </c>
      <c r="B16" s="13" t="s">
        <v>279</v>
      </c>
      <c r="C16" s="17" t="s">
        <v>216</v>
      </c>
      <c r="D16" t="s">
        <v>240</v>
      </c>
      <c r="E16" s="17" t="s">
        <v>103</v>
      </c>
      <c r="F16" s="17" t="s">
        <v>124</v>
      </c>
      <c r="G16" s="17" t="str">
        <f t="shared" si="1"/>
        <v>2030</v>
      </c>
      <c r="H16" s="17" t="s">
        <v>239</v>
      </c>
      <c r="I16" s="17" t="str">
        <f t="shared" si="2"/>
        <v>2019</v>
      </c>
      <c r="J16" s="17" t="s">
        <v>87</v>
      </c>
      <c r="K16" s="17">
        <v>0</v>
      </c>
      <c r="L16" s="17">
        <v>0</v>
      </c>
      <c r="M16" s="17">
        <v>-1</v>
      </c>
      <c r="N16" s="17" t="s">
        <v>122</v>
      </c>
      <c r="O16" s="17">
        <v>0</v>
      </c>
      <c r="P16" s="17">
        <v>1</v>
      </c>
      <c r="Q16" s="17">
        <v>0</v>
      </c>
      <c r="R16" t="s">
        <v>221</v>
      </c>
      <c r="S16" t="s">
        <v>222</v>
      </c>
      <c r="T16" t="s">
        <v>280</v>
      </c>
      <c r="U16" s="20" t="b">
        <v>0</v>
      </c>
      <c r="V16" t="b">
        <v>1</v>
      </c>
      <c r="W16" t="b">
        <v>0</v>
      </c>
      <c r="X16" t="b">
        <v>0</v>
      </c>
      <c r="Y16" t="b">
        <v>1</v>
      </c>
      <c r="Z16" t="b">
        <v>0</v>
      </c>
      <c r="AA16" t="b">
        <v>0</v>
      </c>
      <c r="AB16" t="b">
        <v>0</v>
      </c>
      <c r="AC16" t="b">
        <v>0</v>
      </c>
      <c r="AD16" s="21" t="b">
        <v>0</v>
      </c>
      <c r="AE16" t="b">
        <v>0</v>
      </c>
      <c r="AF16" t="b">
        <v>0</v>
      </c>
      <c r="AG16" t="b">
        <v>0</v>
      </c>
    </row>
    <row r="17" spans="1:33" x14ac:dyDescent="0.3">
      <c r="A17" s="13">
        <f t="shared" si="0"/>
        <v>10</v>
      </c>
      <c r="B17" s="13" t="s">
        <v>279</v>
      </c>
      <c r="C17" s="17" t="s">
        <v>216</v>
      </c>
      <c r="D17" t="s">
        <v>258</v>
      </c>
      <c r="E17" s="17" t="s">
        <v>103</v>
      </c>
      <c r="F17" s="17" t="s">
        <v>124</v>
      </c>
      <c r="G17" s="17" t="str">
        <f t="shared" si="1"/>
        <v>2030</v>
      </c>
      <c r="H17" s="17" t="s">
        <v>239</v>
      </c>
      <c r="I17" s="17" t="str">
        <f t="shared" si="2"/>
        <v>2019</v>
      </c>
      <c r="J17" s="17" t="s">
        <v>104</v>
      </c>
      <c r="K17" s="17">
        <v>0</v>
      </c>
      <c r="L17" s="17">
        <v>0</v>
      </c>
      <c r="M17" s="17">
        <v>-1</v>
      </c>
      <c r="N17" s="17" t="s">
        <v>122</v>
      </c>
      <c r="O17" s="17">
        <v>0</v>
      </c>
      <c r="P17" s="17">
        <v>1</v>
      </c>
      <c r="Q17" s="17">
        <v>0</v>
      </c>
      <c r="R17" t="s">
        <v>221</v>
      </c>
      <c r="S17" t="s">
        <v>222</v>
      </c>
      <c r="T17" t="s">
        <v>280</v>
      </c>
      <c r="U17" s="20" t="b">
        <v>0</v>
      </c>
      <c r="V17" t="b">
        <v>1</v>
      </c>
      <c r="W17" t="b">
        <v>0</v>
      </c>
      <c r="X17" t="b">
        <v>0</v>
      </c>
      <c r="Y17" t="b">
        <v>1</v>
      </c>
      <c r="Z17" t="b">
        <v>0</v>
      </c>
      <c r="AA17" t="b">
        <v>0</v>
      </c>
      <c r="AB17" t="b">
        <v>0</v>
      </c>
      <c r="AC17" t="b">
        <v>0</v>
      </c>
      <c r="AD17" s="21" t="b">
        <v>0</v>
      </c>
      <c r="AE17" t="b">
        <v>0</v>
      </c>
      <c r="AF17" t="b">
        <v>0</v>
      </c>
      <c r="AG17" t="b">
        <v>0</v>
      </c>
    </row>
    <row r="18" spans="1:33" x14ac:dyDescent="0.3">
      <c r="A18" s="13">
        <f t="shared" si="0"/>
        <v>11</v>
      </c>
      <c r="B18" s="13" t="s">
        <v>279</v>
      </c>
      <c r="C18" s="17" t="s">
        <v>216</v>
      </c>
      <c r="D18" t="s">
        <v>259</v>
      </c>
      <c r="E18" s="17" t="s">
        <v>103</v>
      </c>
      <c r="F18" s="17" t="s">
        <v>124</v>
      </c>
      <c r="G18" s="17" t="str">
        <f t="shared" si="1"/>
        <v>2030</v>
      </c>
      <c r="H18" s="17" t="s">
        <v>239</v>
      </c>
      <c r="I18" s="17" t="str">
        <f t="shared" si="2"/>
        <v>2019</v>
      </c>
      <c r="J18" s="17" t="s">
        <v>104</v>
      </c>
      <c r="K18" s="17">
        <v>0</v>
      </c>
      <c r="L18" s="17">
        <v>0</v>
      </c>
      <c r="M18" s="17">
        <v>-1</v>
      </c>
      <c r="N18" s="17" t="s">
        <v>122</v>
      </c>
      <c r="O18" s="17">
        <v>0</v>
      </c>
      <c r="P18" s="17">
        <v>1</v>
      </c>
      <c r="Q18" s="17">
        <v>0</v>
      </c>
      <c r="R18" t="s">
        <v>221</v>
      </c>
      <c r="S18" t="s">
        <v>222</v>
      </c>
      <c r="T18" t="s">
        <v>280</v>
      </c>
      <c r="U18" s="20" t="b">
        <v>0</v>
      </c>
      <c r="V18" t="b">
        <v>1</v>
      </c>
      <c r="W18" t="b">
        <v>0</v>
      </c>
      <c r="X18" t="b">
        <v>0</v>
      </c>
      <c r="Y18" t="b">
        <v>1</v>
      </c>
      <c r="Z18" t="b">
        <v>0</v>
      </c>
      <c r="AA18" t="b">
        <v>0</v>
      </c>
      <c r="AB18" t="b">
        <v>0</v>
      </c>
      <c r="AC18" t="b">
        <v>0</v>
      </c>
      <c r="AD18" s="21" t="b">
        <v>0</v>
      </c>
      <c r="AE18" t="b">
        <v>0</v>
      </c>
      <c r="AF18" t="b">
        <v>0</v>
      </c>
      <c r="AG18" t="b">
        <v>0</v>
      </c>
    </row>
    <row r="19" spans="1:33" x14ac:dyDescent="0.3">
      <c r="A19" s="13">
        <f t="shared" si="0"/>
        <v>12</v>
      </c>
      <c r="B19" s="13" t="s">
        <v>279</v>
      </c>
      <c r="C19" s="17" t="s">
        <v>216</v>
      </c>
      <c r="D19" t="s">
        <v>240</v>
      </c>
      <c r="E19" s="17" t="s">
        <v>103</v>
      </c>
      <c r="F19" s="17" t="s">
        <v>124</v>
      </c>
      <c r="G19" s="17" t="str">
        <f t="shared" si="1"/>
        <v>2030</v>
      </c>
      <c r="H19" s="17" t="s">
        <v>239</v>
      </c>
      <c r="I19" s="17" t="str">
        <f t="shared" si="2"/>
        <v>2019</v>
      </c>
      <c r="J19" s="17" t="s">
        <v>104</v>
      </c>
      <c r="K19" s="17">
        <v>0</v>
      </c>
      <c r="L19" s="17">
        <v>0</v>
      </c>
      <c r="M19" s="17">
        <v>-1</v>
      </c>
      <c r="N19" s="17" t="s">
        <v>122</v>
      </c>
      <c r="O19" s="17">
        <v>0</v>
      </c>
      <c r="P19" s="17">
        <v>1</v>
      </c>
      <c r="Q19" s="17">
        <v>0</v>
      </c>
      <c r="R19" t="s">
        <v>221</v>
      </c>
      <c r="S19" t="s">
        <v>222</v>
      </c>
      <c r="T19" t="s">
        <v>280</v>
      </c>
      <c r="U19" s="20" t="b">
        <v>0</v>
      </c>
      <c r="V19" t="b">
        <v>1</v>
      </c>
      <c r="W19" t="b">
        <v>0</v>
      </c>
      <c r="X19" t="b">
        <v>0</v>
      </c>
      <c r="Y19" t="b">
        <v>1</v>
      </c>
      <c r="Z19" t="b">
        <v>0</v>
      </c>
      <c r="AA19" t="b">
        <v>0</v>
      </c>
      <c r="AB19" t="b">
        <v>0</v>
      </c>
      <c r="AC19" t="b">
        <v>0</v>
      </c>
      <c r="AD19" s="21" t="b">
        <v>0</v>
      </c>
      <c r="AE19" t="b">
        <v>0</v>
      </c>
      <c r="AF19" t="b">
        <v>0</v>
      </c>
      <c r="AG19" t="b">
        <v>0</v>
      </c>
    </row>
    <row r="20" spans="1:33" x14ac:dyDescent="0.3">
      <c r="A20" s="13">
        <f t="shared" si="0"/>
        <v>13</v>
      </c>
      <c r="B20" s="13" t="s">
        <v>279</v>
      </c>
      <c r="C20" s="17" t="s">
        <v>216</v>
      </c>
      <c r="D20" t="s">
        <v>258</v>
      </c>
      <c r="E20" s="17" t="s">
        <v>97</v>
      </c>
      <c r="F20" s="17" t="s">
        <v>122</v>
      </c>
      <c r="G20" s="17" t="str">
        <f t="shared" si="1"/>
        <v>2030</v>
      </c>
      <c r="H20" s="17" t="s">
        <v>239</v>
      </c>
      <c r="I20" s="17" t="str">
        <f t="shared" si="2"/>
        <v>2019</v>
      </c>
      <c r="J20" s="17" t="s">
        <v>87</v>
      </c>
      <c r="K20" s="17">
        <v>0</v>
      </c>
      <c r="L20" s="17">
        <v>0</v>
      </c>
      <c r="M20" s="17">
        <v>-1</v>
      </c>
      <c r="N20" s="17" t="s">
        <v>122</v>
      </c>
      <c r="O20" s="17">
        <v>0</v>
      </c>
      <c r="P20" s="17">
        <v>1</v>
      </c>
      <c r="Q20" s="17">
        <v>0</v>
      </c>
      <c r="R20" t="s">
        <v>221</v>
      </c>
      <c r="S20" t="s">
        <v>222</v>
      </c>
      <c r="T20" t="s">
        <v>260</v>
      </c>
      <c r="U20" s="20" t="b">
        <v>0</v>
      </c>
      <c r="V20" t="b">
        <v>1</v>
      </c>
      <c r="W20" t="b">
        <v>0</v>
      </c>
      <c r="X20" t="b">
        <v>0</v>
      </c>
      <c r="Y20" t="b">
        <v>1</v>
      </c>
      <c r="Z20" t="b">
        <v>0</v>
      </c>
      <c r="AA20" t="b">
        <v>0</v>
      </c>
      <c r="AB20" t="b">
        <v>0</v>
      </c>
      <c r="AC20" t="b">
        <v>0</v>
      </c>
      <c r="AD20" s="21" t="b">
        <v>0</v>
      </c>
      <c r="AE20" t="b">
        <v>0</v>
      </c>
      <c r="AF20" t="b">
        <v>0</v>
      </c>
      <c r="AG20" t="b">
        <v>1</v>
      </c>
    </row>
    <row r="21" spans="1:33" x14ac:dyDescent="0.3">
      <c r="A21" s="13">
        <f t="shared" si="0"/>
        <v>14</v>
      </c>
      <c r="B21" s="13" t="s">
        <v>279</v>
      </c>
      <c r="C21" s="17" t="s">
        <v>216</v>
      </c>
      <c r="D21" t="s">
        <v>259</v>
      </c>
      <c r="E21" s="17" t="s">
        <v>97</v>
      </c>
      <c r="F21" s="17" t="s">
        <v>122</v>
      </c>
      <c r="G21" s="17" t="str">
        <f t="shared" si="1"/>
        <v>2030</v>
      </c>
      <c r="H21" s="17" t="s">
        <v>239</v>
      </c>
      <c r="I21" s="17" t="str">
        <f t="shared" si="2"/>
        <v>2019</v>
      </c>
      <c r="J21" s="17" t="s">
        <v>87</v>
      </c>
      <c r="K21" s="17">
        <v>0</v>
      </c>
      <c r="L21" s="17">
        <v>0</v>
      </c>
      <c r="M21" s="17">
        <v>-1</v>
      </c>
      <c r="N21" s="17" t="s">
        <v>122</v>
      </c>
      <c r="O21" s="17">
        <v>0</v>
      </c>
      <c r="P21" s="17">
        <v>1</v>
      </c>
      <c r="Q21" s="17">
        <v>0</v>
      </c>
      <c r="R21" t="s">
        <v>221</v>
      </c>
      <c r="S21" t="s">
        <v>222</v>
      </c>
      <c r="T21" t="s">
        <v>260</v>
      </c>
      <c r="U21" s="20" t="b">
        <v>0</v>
      </c>
      <c r="V21" t="b">
        <v>1</v>
      </c>
      <c r="W21" t="b">
        <v>0</v>
      </c>
      <c r="X21" t="b">
        <v>0</v>
      </c>
      <c r="Y21" t="b">
        <v>1</v>
      </c>
      <c r="Z21" t="b">
        <v>0</v>
      </c>
      <c r="AA21" t="b">
        <v>0</v>
      </c>
      <c r="AB21" t="b">
        <v>0</v>
      </c>
      <c r="AC21" t="b">
        <v>0</v>
      </c>
      <c r="AD21" s="21" t="b">
        <v>0</v>
      </c>
      <c r="AE21" t="b">
        <v>0</v>
      </c>
      <c r="AF21" t="b">
        <v>0</v>
      </c>
      <c r="AG21" t="b">
        <v>1</v>
      </c>
    </row>
    <row r="22" spans="1:33" x14ac:dyDescent="0.3">
      <c r="A22" s="13">
        <f t="shared" si="0"/>
        <v>15</v>
      </c>
      <c r="B22" s="13" t="s">
        <v>279</v>
      </c>
      <c r="C22" s="17" t="s">
        <v>216</v>
      </c>
      <c r="D22" t="s">
        <v>240</v>
      </c>
      <c r="E22" s="17" t="s">
        <v>97</v>
      </c>
      <c r="F22" s="17" t="s">
        <v>122</v>
      </c>
      <c r="G22" s="17" t="str">
        <f t="shared" si="1"/>
        <v>2030</v>
      </c>
      <c r="H22" s="17" t="s">
        <v>239</v>
      </c>
      <c r="I22" s="17" t="str">
        <f t="shared" si="2"/>
        <v>2019</v>
      </c>
      <c r="J22" s="17" t="s">
        <v>87</v>
      </c>
      <c r="K22" s="17">
        <v>0</v>
      </c>
      <c r="L22" s="17">
        <v>0</v>
      </c>
      <c r="M22" s="17">
        <v>-1</v>
      </c>
      <c r="N22" s="17" t="s">
        <v>122</v>
      </c>
      <c r="O22" s="17">
        <v>0</v>
      </c>
      <c r="P22" s="17">
        <v>1</v>
      </c>
      <c r="Q22" s="17">
        <v>0</v>
      </c>
      <c r="R22" t="s">
        <v>221</v>
      </c>
      <c r="S22" t="s">
        <v>222</v>
      </c>
      <c r="T22" t="s">
        <v>260</v>
      </c>
      <c r="U22" s="20" t="b">
        <v>0</v>
      </c>
      <c r="V22" t="b">
        <v>1</v>
      </c>
      <c r="W22" t="b">
        <v>0</v>
      </c>
      <c r="X22" t="b">
        <v>0</v>
      </c>
      <c r="Y22" t="b">
        <v>1</v>
      </c>
      <c r="Z22" t="b">
        <v>0</v>
      </c>
      <c r="AA22" t="b">
        <v>0</v>
      </c>
      <c r="AB22" t="b">
        <v>0</v>
      </c>
      <c r="AC22" t="b">
        <v>0</v>
      </c>
      <c r="AD22" s="21" t="b">
        <v>0</v>
      </c>
      <c r="AE22" t="b">
        <v>0</v>
      </c>
      <c r="AF22" t="b">
        <v>0</v>
      </c>
      <c r="AG22" t="b">
        <v>1</v>
      </c>
    </row>
    <row r="23" spans="1:33" x14ac:dyDescent="0.3">
      <c r="A23" s="13">
        <f t="shared" si="0"/>
        <v>16</v>
      </c>
      <c r="B23" s="13" t="s">
        <v>279</v>
      </c>
      <c r="C23" s="17" t="s">
        <v>216</v>
      </c>
      <c r="D23" t="s">
        <v>258</v>
      </c>
      <c r="E23" s="17" t="s">
        <v>97</v>
      </c>
      <c r="F23" s="17" t="s">
        <v>122</v>
      </c>
      <c r="G23" s="17" t="str">
        <f t="shared" si="1"/>
        <v>2030</v>
      </c>
      <c r="H23" s="17" t="s">
        <v>239</v>
      </c>
      <c r="I23" s="17" t="str">
        <f t="shared" si="2"/>
        <v>2019</v>
      </c>
      <c r="J23" s="17" t="s">
        <v>104</v>
      </c>
      <c r="K23" s="17">
        <v>0</v>
      </c>
      <c r="L23" s="17">
        <v>0</v>
      </c>
      <c r="M23" s="17">
        <v>-1</v>
      </c>
      <c r="N23" s="17" t="s">
        <v>122</v>
      </c>
      <c r="O23" s="17">
        <v>0</v>
      </c>
      <c r="P23" s="17">
        <v>1</v>
      </c>
      <c r="Q23" s="17">
        <v>0</v>
      </c>
      <c r="R23" t="s">
        <v>221</v>
      </c>
      <c r="S23" t="s">
        <v>222</v>
      </c>
      <c r="T23" t="s">
        <v>260</v>
      </c>
      <c r="U23" s="20" t="b">
        <v>0</v>
      </c>
      <c r="V23" t="b">
        <v>1</v>
      </c>
      <c r="W23" t="b">
        <v>0</v>
      </c>
      <c r="X23" t="b">
        <v>0</v>
      </c>
      <c r="Y23" t="b">
        <v>1</v>
      </c>
      <c r="Z23" t="b">
        <v>0</v>
      </c>
      <c r="AA23" t="b">
        <v>0</v>
      </c>
      <c r="AB23" t="b">
        <v>0</v>
      </c>
      <c r="AC23" t="b">
        <v>0</v>
      </c>
      <c r="AD23" s="21" t="b">
        <v>0</v>
      </c>
      <c r="AE23" t="b">
        <v>0</v>
      </c>
      <c r="AF23" t="b">
        <v>0</v>
      </c>
      <c r="AG23" t="b">
        <v>1</v>
      </c>
    </row>
    <row r="24" spans="1:33" x14ac:dyDescent="0.3">
      <c r="A24" s="13">
        <f t="shared" si="0"/>
        <v>17</v>
      </c>
      <c r="B24" s="13" t="s">
        <v>279</v>
      </c>
      <c r="C24" s="17" t="s">
        <v>216</v>
      </c>
      <c r="D24" t="s">
        <v>259</v>
      </c>
      <c r="E24" s="17" t="s">
        <v>97</v>
      </c>
      <c r="F24" s="17" t="s">
        <v>122</v>
      </c>
      <c r="G24" s="17" t="str">
        <f t="shared" si="1"/>
        <v>2030</v>
      </c>
      <c r="H24" s="17" t="s">
        <v>239</v>
      </c>
      <c r="I24" s="17" t="str">
        <f t="shared" si="2"/>
        <v>2019</v>
      </c>
      <c r="J24" s="17" t="s">
        <v>104</v>
      </c>
      <c r="K24" s="17">
        <v>0</v>
      </c>
      <c r="L24" s="17">
        <v>0</v>
      </c>
      <c r="M24" s="17">
        <v>-1</v>
      </c>
      <c r="N24" s="17" t="s">
        <v>122</v>
      </c>
      <c r="O24" s="17">
        <v>0</v>
      </c>
      <c r="P24" s="17">
        <v>1</v>
      </c>
      <c r="Q24" s="17">
        <v>0</v>
      </c>
      <c r="R24" t="s">
        <v>221</v>
      </c>
      <c r="S24" t="s">
        <v>222</v>
      </c>
      <c r="T24" t="s">
        <v>260</v>
      </c>
      <c r="U24" s="20" t="b">
        <v>0</v>
      </c>
      <c r="V24" t="b">
        <v>1</v>
      </c>
      <c r="W24" t="b">
        <v>0</v>
      </c>
      <c r="X24" t="b">
        <v>0</v>
      </c>
      <c r="Y24" t="b">
        <v>1</v>
      </c>
      <c r="Z24" t="b">
        <v>0</v>
      </c>
      <c r="AA24" t="b">
        <v>0</v>
      </c>
      <c r="AB24" t="b">
        <v>0</v>
      </c>
      <c r="AC24" t="b">
        <v>0</v>
      </c>
      <c r="AD24" s="21" t="b">
        <v>0</v>
      </c>
      <c r="AE24" t="b">
        <v>0</v>
      </c>
      <c r="AF24" t="b">
        <v>0</v>
      </c>
      <c r="AG24" t="b">
        <v>1</v>
      </c>
    </row>
    <row r="25" spans="1:33" x14ac:dyDescent="0.3">
      <c r="A25" s="13">
        <f t="shared" si="0"/>
        <v>18</v>
      </c>
      <c r="B25" s="13" t="s">
        <v>279</v>
      </c>
      <c r="C25" s="17" t="s">
        <v>216</v>
      </c>
      <c r="D25" t="s">
        <v>240</v>
      </c>
      <c r="E25" s="17" t="s">
        <v>97</v>
      </c>
      <c r="F25" s="17" t="s">
        <v>122</v>
      </c>
      <c r="G25" s="17" t="str">
        <f t="shared" si="1"/>
        <v>2030</v>
      </c>
      <c r="H25" s="17" t="s">
        <v>239</v>
      </c>
      <c r="I25" s="17" t="str">
        <f t="shared" si="2"/>
        <v>2019</v>
      </c>
      <c r="J25" s="17" t="s">
        <v>104</v>
      </c>
      <c r="K25" s="17">
        <v>0</v>
      </c>
      <c r="L25" s="17">
        <v>0</v>
      </c>
      <c r="M25" s="17">
        <v>-1</v>
      </c>
      <c r="N25" s="17" t="s">
        <v>122</v>
      </c>
      <c r="O25" s="17">
        <v>0</v>
      </c>
      <c r="P25" s="17">
        <v>1</v>
      </c>
      <c r="Q25" s="17">
        <v>0</v>
      </c>
      <c r="R25" t="s">
        <v>221</v>
      </c>
      <c r="S25" t="s">
        <v>222</v>
      </c>
      <c r="T25" t="s">
        <v>260</v>
      </c>
      <c r="U25" s="20" t="b">
        <v>0</v>
      </c>
      <c r="V25" t="b">
        <v>1</v>
      </c>
      <c r="W25" t="b">
        <v>0</v>
      </c>
      <c r="X25" t="b">
        <v>0</v>
      </c>
      <c r="Y25" t="b">
        <v>1</v>
      </c>
      <c r="Z25" t="b">
        <v>0</v>
      </c>
      <c r="AA25" t="b">
        <v>0</v>
      </c>
      <c r="AB25" t="b">
        <v>0</v>
      </c>
      <c r="AC25" t="b">
        <v>0</v>
      </c>
      <c r="AD25" s="21" t="b">
        <v>0</v>
      </c>
      <c r="AE25" t="b">
        <v>0</v>
      </c>
      <c r="AF25" t="b">
        <v>0</v>
      </c>
      <c r="AG25" t="b">
        <v>1</v>
      </c>
    </row>
    <row r="26" spans="1:33" x14ac:dyDescent="0.3">
      <c r="A26" s="13">
        <f t="shared" ref="A26:A89" si="3">ROW(A26)-ROW($A$7)</f>
        <v>19</v>
      </c>
      <c r="B26" s="13" t="s">
        <v>261</v>
      </c>
      <c r="C26" s="17" t="s">
        <v>152</v>
      </c>
      <c r="D26" t="s">
        <v>258</v>
      </c>
      <c r="E26" s="17" t="s">
        <v>120</v>
      </c>
      <c r="F26" s="17" t="s">
        <v>122</v>
      </c>
      <c r="G26" s="17" t="str">
        <f t="shared" si="1"/>
        <v>2030</v>
      </c>
      <c r="H26" s="17" t="s">
        <v>239</v>
      </c>
      <c r="I26" s="17" t="str">
        <f t="shared" si="2"/>
        <v>2019</v>
      </c>
      <c r="J26" s="17" t="s">
        <v>87</v>
      </c>
      <c r="K26" s="17">
        <v>0</v>
      </c>
      <c r="L26" s="17">
        <v>0</v>
      </c>
      <c r="M26" s="17">
        <v>-1</v>
      </c>
      <c r="N26" s="17" t="s">
        <v>122</v>
      </c>
      <c r="O26" s="17">
        <v>0</v>
      </c>
      <c r="P26" s="17">
        <v>1</v>
      </c>
      <c r="Q26" s="17">
        <v>0</v>
      </c>
      <c r="R26" t="s">
        <v>221</v>
      </c>
      <c r="S26" t="s">
        <v>222</v>
      </c>
      <c r="T26" t="s">
        <v>275</v>
      </c>
      <c r="U26" s="20" t="b">
        <v>0</v>
      </c>
      <c r="V26" t="b">
        <v>1</v>
      </c>
      <c r="W26" t="b">
        <v>0</v>
      </c>
      <c r="X26" t="b">
        <v>0</v>
      </c>
      <c r="Y26" t="b">
        <v>1</v>
      </c>
      <c r="Z26" t="b">
        <v>0</v>
      </c>
      <c r="AA26" t="b">
        <v>0</v>
      </c>
      <c r="AB26" t="b">
        <v>0</v>
      </c>
      <c r="AC26" t="b">
        <v>0</v>
      </c>
      <c r="AD26" s="21" t="b">
        <v>0</v>
      </c>
      <c r="AE26" t="b">
        <v>0</v>
      </c>
      <c r="AF26" t="b">
        <v>0</v>
      </c>
      <c r="AG26" t="b">
        <v>1</v>
      </c>
    </row>
    <row r="27" spans="1:33" x14ac:dyDescent="0.3">
      <c r="A27" s="13">
        <f t="shared" si="3"/>
        <v>20</v>
      </c>
      <c r="B27" s="13" t="s">
        <v>261</v>
      </c>
      <c r="C27" s="17" t="s">
        <v>152</v>
      </c>
      <c r="D27" t="s">
        <v>259</v>
      </c>
      <c r="E27" s="17" t="s">
        <v>120</v>
      </c>
      <c r="F27" s="17" t="s">
        <v>122</v>
      </c>
      <c r="G27" s="17" t="str">
        <f t="shared" si="1"/>
        <v>2030</v>
      </c>
      <c r="H27" s="17" t="s">
        <v>239</v>
      </c>
      <c r="I27" s="17" t="str">
        <f t="shared" si="2"/>
        <v>2019</v>
      </c>
      <c r="J27" s="17" t="s">
        <v>87</v>
      </c>
      <c r="K27" s="17">
        <v>0</v>
      </c>
      <c r="L27" s="17">
        <v>0</v>
      </c>
      <c r="M27" s="17">
        <v>-1</v>
      </c>
      <c r="N27" s="17" t="s">
        <v>122</v>
      </c>
      <c r="O27" s="17">
        <v>0</v>
      </c>
      <c r="P27" s="17">
        <v>1</v>
      </c>
      <c r="Q27" s="17">
        <v>0</v>
      </c>
      <c r="R27" t="s">
        <v>221</v>
      </c>
      <c r="S27" t="s">
        <v>222</v>
      </c>
      <c r="T27" t="s">
        <v>275</v>
      </c>
      <c r="U27" s="20" t="b">
        <v>0</v>
      </c>
      <c r="V27" t="b">
        <v>1</v>
      </c>
      <c r="W27" t="b">
        <v>0</v>
      </c>
      <c r="X27" t="b">
        <v>0</v>
      </c>
      <c r="Y27" t="b">
        <v>1</v>
      </c>
      <c r="Z27" t="b">
        <v>0</v>
      </c>
      <c r="AA27" t="b">
        <v>0</v>
      </c>
      <c r="AB27" t="b">
        <v>0</v>
      </c>
      <c r="AC27" t="b">
        <v>0</v>
      </c>
      <c r="AD27" s="21" t="b">
        <v>0</v>
      </c>
      <c r="AE27" t="b">
        <v>0</v>
      </c>
      <c r="AF27" t="b">
        <v>0</v>
      </c>
      <c r="AG27" t="b">
        <v>1</v>
      </c>
    </row>
    <row r="28" spans="1:33" x14ac:dyDescent="0.3">
      <c r="A28" s="13">
        <f t="shared" si="3"/>
        <v>21</v>
      </c>
      <c r="B28" s="13" t="s">
        <v>261</v>
      </c>
      <c r="C28" s="17" t="s">
        <v>152</v>
      </c>
      <c r="D28" t="s">
        <v>240</v>
      </c>
      <c r="E28" s="17" t="s">
        <v>120</v>
      </c>
      <c r="F28" s="17" t="s">
        <v>122</v>
      </c>
      <c r="G28" s="17" t="str">
        <f t="shared" si="1"/>
        <v>2030</v>
      </c>
      <c r="H28" s="17" t="s">
        <v>239</v>
      </c>
      <c r="I28" s="17" t="str">
        <f t="shared" si="2"/>
        <v>2019</v>
      </c>
      <c r="J28" s="17" t="s">
        <v>87</v>
      </c>
      <c r="K28" s="17">
        <v>0</v>
      </c>
      <c r="L28" s="17">
        <v>0</v>
      </c>
      <c r="M28" s="17">
        <v>-1</v>
      </c>
      <c r="N28" s="17" t="s">
        <v>122</v>
      </c>
      <c r="O28" s="17">
        <v>0</v>
      </c>
      <c r="P28" s="17">
        <v>1</v>
      </c>
      <c r="Q28" s="17">
        <v>0</v>
      </c>
      <c r="R28" t="s">
        <v>221</v>
      </c>
      <c r="S28" t="s">
        <v>222</v>
      </c>
      <c r="T28" t="s">
        <v>275</v>
      </c>
      <c r="U28" s="20" t="b">
        <v>0</v>
      </c>
      <c r="V28" t="b">
        <v>1</v>
      </c>
      <c r="W28" t="b">
        <v>0</v>
      </c>
      <c r="X28" t="b">
        <v>0</v>
      </c>
      <c r="Y28" t="b">
        <v>1</v>
      </c>
      <c r="Z28" t="b">
        <v>0</v>
      </c>
      <c r="AA28" t="b">
        <v>0</v>
      </c>
      <c r="AB28" t="b">
        <v>0</v>
      </c>
      <c r="AC28" t="b">
        <v>0</v>
      </c>
      <c r="AD28" s="21" t="b">
        <v>0</v>
      </c>
      <c r="AE28" t="b">
        <v>0</v>
      </c>
      <c r="AF28" t="b">
        <v>0</v>
      </c>
      <c r="AG28" t="b">
        <v>1</v>
      </c>
    </row>
    <row r="29" spans="1:33" x14ac:dyDescent="0.3">
      <c r="A29" s="13">
        <f t="shared" si="3"/>
        <v>22</v>
      </c>
      <c r="B29" s="13" t="s">
        <v>230</v>
      </c>
      <c r="C29" s="17" t="s">
        <v>216</v>
      </c>
      <c r="D29" t="s">
        <v>258</v>
      </c>
      <c r="E29" s="17" t="s">
        <v>120</v>
      </c>
      <c r="F29" s="17" t="s">
        <v>122</v>
      </c>
      <c r="G29" s="17" t="str">
        <f t="shared" si="1"/>
        <v>2030</v>
      </c>
      <c r="H29" s="17" t="s">
        <v>239</v>
      </c>
      <c r="I29" s="17" t="str">
        <f t="shared" si="2"/>
        <v>2019</v>
      </c>
      <c r="J29" s="17" t="s">
        <v>87</v>
      </c>
      <c r="K29" s="17">
        <v>0</v>
      </c>
      <c r="L29" s="17">
        <v>0</v>
      </c>
      <c r="M29" s="17">
        <v>-1</v>
      </c>
      <c r="N29" s="17" t="s">
        <v>122</v>
      </c>
      <c r="O29" s="17">
        <v>0</v>
      </c>
      <c r="P29" s="17">
        <v>0</v>
      </c>
      <c r="Q29" s="17">
        <v>1</v>
      </c>
      <c r="R29" t="s">
        <v>221</v>
      </c>
      <c r="S29" t="s">
        <v>222</v>
      </c>
      <c r="T29" t="s">
        <v>260</v>
      </c>
      <c r="U29" s="20" t="b">
        <v>0</v>
      </c>
      <c r="V29" t="b">
        <v>1</v>
      </c>
      <c r="W29" t="b">
        <v>0</v>
      </c>
      <c r="X29" t="b">
        <v>0</v>
      </c>
      <c r="Y29" t="b">
        <v>1</v>
      </c>
      <c r="Z29" t="b">
        <v>0</v>
      </c>
      <c r="AA29" t="b">
        <v>0</v>
      </c>
      <c r="AB29" t="b">
        <v>0</v>
      </c>
      <c r="AC29" t="b">
        <v>0</v>
      </c>
      <c r="AD29" s="21" t="b">
        <v>0</v>
      </c>
      <c r="AE29" t="b">
        <v>0</v>
      </c>
      <c r="AF29" t="b">
        <v>0</v>
      </c>
      <c r="AG29" t="b">
        <v>1</v>
      </c>
    </row>
    <row r="30" spans="1:33" x14ac:dyDescent="0.3">
      <c r="A30" s="13">
        <f t="shared" si="3"/>
        <v>23</v>
      </c>
      <c r="B30" s="13" t="s">
        <v>230</v>
      </c>
      <c r="C30" s="17" t="s">
        <v>216</v>
      </c>
      <c r="D30" t="s">
        <v>259</v>
      </c>
      <c r="E30" s="17" t="s">
        <v>120</v>
      </c>
      <c r="F30" s="17" t="s">
        <v>122</v>
      </c>
      <c r="G30" s="17" t="str">
        <f t="shared" si="1"/>
        <v>2030</v>
      </c>
      <c r="H30" s="17" t="s">
        <v>239</v>
      </c>
      <c r="I30" s="17" t="str">
        <f t="shared" si="2"/>
        <v>2019</v>
      </c>
      <c r="J30" s="17" t="s">
        <v>87</v>
      </c>
      <c r="K30" s="17">
        <v>0</v>
      </c>
      <c r="L30" s="17">
        <v>0</v>
      </c>
      <c r="M30" s="17">
        <v>-1</v>
      </c>
      <c r="N30" s="17" t="s">
        <v>122</v>
      </c>
      <c r="O30" s="17">
        <v>0</v>
      </c>
      <c r="P30" s="17">
        <v>0</v>
      </c>
      <c r="Q30" s="17">
        <v>1</v>
      </c>
      <c r="R30" t="s">
        <v>221</v>
      </c>
      <c r="S30" t="s">
        <v>222</v>
      </c>
      <c r="T30" t="s">
        <v>260</v>
      </c>
      <c r="U30" s="20" t="b">
        <v>0</v>
      </c>
      <c r="V30" t="b">
        <v>1</v>
      </c>
      <c r="W30" t="b">
        <v>0</v>
      </c>
      <c r="X30" t="b">
        <v>0</v>
      </c>
      <c r="Y30" t="b">
        <v>1</v>
      </c>
      <c r="Z30" t="b">
        <v>0</v>
      </c>
      <c r="AA30" t="b">
        <v>0</v>
      </c>
      <c r="AB30" t="b">
        <v>0</v>
      </c>
      <c r="AC30" t="b">
        <v>0</v>
      </c>
      <c r="AD30" s="21" t="b">
        <v>0</v>
      </c>
      <c r="AE30" t="b">
        <v>0</v>
      </c>
      <c r="AF30" t="b">
        <v>0</v>
      </c>
      <c r="AG30" t="b">
        <v>1</v>
      </c>
    </row>
    <row r="31" spans="1:33" x14ac:dyDescent="0.3">
      <c r="A31" s="13">
        <f t="shared" si="3"/>
        <v>24</v>
      </c>
      <c r="B31" s="13" t="s">
        <v>230</v>
      </c>
      <c r="C31" s="17" t="s">
        <v>216</v>
      </c>
      <c r="D31" t="s">
        <v>240</v>
      </c>
      <c r="E31" s="17" t="s">
        <v>120</v>
      </c>
      <c r="F31" s="17" t="s">
        <v>122</v>
      </c>
      <c r="G31" s="17" t="str">
        <f t="shared" si="1"/>
        <v>2030</v>
      </c>
      <c r="H31" s="17" t="s">
        <v>239</v>
      </c>
      <c r="I31" s="17" t="str">
        <f t="shared" si="2"/>
        <v>2019</v>
      </c>
      <c r="J31" s="17" t="s">
        <v>87</v>
      </c>
      <c r="K31" s="17">
        <v>0</v>
      </c>
      <c r="L31" s="17">
        <v>0</v>
      </c>
      <c r="M31" s="17">
        <v>-1</v>
      </c>
      <c r="N31" s="17" t="s">
        <v>122</v>
      </c>
      <c r="O31" s="17">
        <v>0</v>
      </c>
      <c r="P31" s="17">
        <v>0</v>
      </c>
      <c r="Q31" s="17">
        <v>1</v>
      </c>
      <c r="R31" t="s">
        <v>221</v>
      </c>
      <c r="S31" t="s">
        <v>222</v>
      </c>
      <c r="T31" t="s">
        <v>260</v>
      </c>
      <c r="U31" s="20" t="b">
        <v>0</v>
      </c>
      <c r="V31" t="b">
        <v>1</v>
      </c>
      <c r="W31" t="b">
        <v>0</v>
      </c>
      <c r="X31" t="b">
        <v>0</v>
      </c>
      <c r="Y31" t="b">
        <v>1</v>
      </c>
      <c r="Z31" t="b">
        <v>0</v>
      </c>
      <c r="AA31" t="b">
        <v>0</v>
      </c>
      <c r="AB31" t="b">
        <v>0</v>
      </c>
      <c r="AC31" t="b">
        <v>0</v>
      </c>
      <c r="AD31" s="21" t="b">
        <v>0</v>
      </c>
      <c r="AE31" t="b">
        <v>0</v>
      </c>
      <c r="AF31" t="b">
        <v>0</v>
      </c>
      <c r="AG31" t="b">
        <v>1</v>
      </c>
    </row>
    <row r="32" spans="1:33" x14ac:dyDescent="0.3">
      <c r="A32" s="13">
        <f t="shared" si="3"/>
        <v>25</v>
      </c>
      <c r="B32" s="13" t="s">
        <v>230</v>
      </c>
      <c r="C32" s="17" t="s">
        <v>216</v>
      </c>
      <c r="D32" t="s">
        <v>240</v>
      </c>
      <c r="E32" s="17" t="s">
        <v>120</v>
      </c>
      <c r="F32" s="17" t="s">
        <v>122</v>
      </c>
      <c r="G32" s="17" t="str">
        <f t="shared" si="1"/>
        <v>2030</v>
      </c>
      <c r="H32" s="17" t="s">
        <v>239</v>
      </c>
      <c r="I32" s="17" t="str">
        <f t="shared" si="2"/>
        <v>2019</v>
      </c>
      <c r="J32" s="17" t="s">
        <v>87</v>
      </c>
      <c r="K32" s="17">
        <v>0</v>
      </c>
      <c r="L32" s="17">
        <v>0</v>
      </c>
      <c r="M32" s="17">
        <v>-1</v>
      </c>
      <c r="N32" s="17" t="s">
        <v>122</v>
      </c>
      <c r="O32" s="17">
        <v>0</v>
      </c>
      <c r="P32" s="17">
        <v>1</v>
      </c>
      <c r="Q32" s="17">
        <v>0</v>
      </c>
      <c r="R32" t="s">
        <v>221</v>
      </c>
      <c r="S32" t="s">
        <v>222</v>
      </c>
      <c r="T32" t="s">
        <v>260</v>
      </c>
      <c r="U32" s="20" t="b">
        <v>0</v>
      </c>
      <c r="V32" t="b">
        <v>1</v>
      </c>
      <c r="W32" t="b">
        <v>0</v>
      </c>
      <c r="X32" t="b">
        <v>0</v>
      </c>
      <c r="Y32" t="b">
        <v>1</v>
      </c>
      <c r="Z32" t="b">
        <v>0</v>
      </c>
      <c r="AA32" t="b">
        <v>0</v>
      </c>
      <c r="AB32" t="b">
        <v>0</v>
      </c>
      <c r="AC32" t="b">
        <v>0</v>
      </c>
      <c r="AD32" s="21" t="b">
        <v>0</v>
      </c>
      <c r="AE32" t="b">
        <v>0</v>
      </c>
      <c r="AF32" t="b">
        <v>0</v>
      </c>
      <c r="AG32" t="b">
        <v>1</v>
      </c>
    </row>
    <row r="33" spans="1:33" x14ac:dyDescent="0.3">
      <c r="A33" s="13">
        <f t="shared" si="3"/>
        <v>26</v>
      </c>
      <c r="B33" s="13" t="s">
        <v>230</v>
      </c>
      <c r="C33" s="17" t="s">
        <v>216</v>
      </c>
      <c r="D33" t="s">
        <v>240</v>
      </c>
      <c r="E33" s="17" t="s">
        <v>120</v>
      </c>
      <c r="F33" s="17" t="s">
        <v>122</v>
      </c>
      <c r="G33" s="17" t="str">
        <f t="shared" si="1"/>
        <v>2030</v>
      </c>
      <c r="H33" s="17" t="s">
        <v>239</v>
      </c>
      <c r="I33" s="17" t="str">
        <f t="shared" si="2"/>
        <v>2019</v>
      </c>
      <c r="J33" s="17" t="s">
        <v>87</v>
      </c>
      <c r="K33" s="17">
        <v>0</v>
      </c>
      <c r="L33" s="17">
        <v>0</v>
      </c>
      <c r="M33" s="17">
        <v>-1</v>
      </c>
      <c r="N33" s="17" t="s">
        <v>262</v>
      </c>
      <c r="O33" s="58">
        <v>-1</v>
      </c>
      <c r="P33" s="17">
        <v>1</v>
      </c>
      <c r="Q33" s="17">
        <v>0</v>
      </c>
      <c r="R33" t="s">
        <v>221</v>
      </c>
      <c r="S33" t="s">
        <v>222</v>
      </c>
      <c r="T33" t="s">
        <v>260</v>
      </c>
      <c r="U33" s="20" t="b">
        <v>0</v>
      </c>
      <c r="V33" t="b">
        <v>1</v>
      </c>
      <c r="W33" t="b">
        <v>0</v>
      </c>
      <c r="X33" t="b">
        <v>0</v>
      </c>
      <c r="Y33" t="b">
        <v>1</v>
      </c>
      <c r="Z33" t="b">
        <v>0</v>
      </c>
      <c r="AA33" t="b">
        <v>0</v>
      </c>
      <c r="AB33" t="b">
        <v>0</v>
      </c>
      <c r="AC33" t="b">
        <v>0</v>
      </c>
      <c r="AD33" s="21" t="b">
        <v>0</v>
      </c>
      <c r="AE33" t="b">
        <v>0</v>
      </c>
      <c r="AF33" t="b">
        <v>0</v>
      </c>
      <c r="AG33" t="b">
        <v>1</v>
      </c>
    </row>
    <row r="34" spans="1:33" x14ac:dyDescent="0.3">
      <c r="A34" s="13">
        <f t="shared" si="3"/>
        <v>27</v>
      </c>
      <c r="B34" s="13" t="s">
        <v>230</v>
      </c>
      <c r="C34" s="17" t="s">
        <v>216</v>
      </c>
      <c r="D34" t="s">
        <v>240</v>
      </c>
      <c r="E34" s="17" t="s">
        <v>120</v>
      </c>
      <c r="F34" s="17" t="s">
        <v>122</v>
      </c>
      <c r="G34" s="17" t="str">
        <f t="shared" si="1"/>
        <v>2030</v>
      </c>
      <c r="H34" s="17" t="s">
        <v>239</v>
      </c>
      <c r="I34" s="17" t="str">
        <f t="shared" si="2"/>
        <v>2019</v>
      </c>
      <c r="J34" s="17" t="s">
        <v>87</v>
      </c>
      <c r="K34" s="17">
        <v>0</v>
      </c>
      <c r="L34" s="17">
        <v>0</v>
      </c>
      <c r="M34" s="17">
        <v>-1</v>
      </c>
      <c r="N34" s="17" t="s">
        <v>262</v>
      </c>
      <c r="O34" s="59">
        <f>0.02</f>
        <v>0.02</v>
      </c>
      <c r="P34" s="17">
        <v>1</v>
      </c>
      <c r="Q34" s="17">
        <v>0</v>
      </c>
      <c r="R34" t="s">
        <v>221</v>
      </c>
      <c r="S34" t="s">
        <v>222</v>
      </c>
      <c r="T34" t="s">
        <v>260</v>
      </c>
      <c r="U34" s="20" t="b">
        <v>0</v>
      </c>
      <c r="V34" t="b">
        <v>1</v>
      </c>
      <c r="W34" t="b">
        <v>0</v>
      </c>
      <c r="X34" t="b">
        <v>0</v>
      </c>
      <c r="Y34" t="b">
        <v>1</v>
      </c>
      <c r="Z34" t="b">
        <v>0</v>
      </c>
      <c r="AA34" t="b">
        <v>0</v>
      </c>
      <c r="AB34" t="b">
        <v>0</v>
      </c>
      <c r="AC34" t="b">
        <v>0</v>
      </c>
      <c r="AD34" s="21" t="b">
        <v>0</v>
      </c>
      <c r="AE34" t="b">
        <v>0</v>
      </c>
      <c r="AF34" t="b">
        <v>0</v>
      </c>
      <c r="AG34" t="b">
        <v>1</v>
      </c>
    </row>
    <row r="35" spans="1:33" x14ac:dyDescent="0.3">
      <c r="A35" s="13">
        <f t="shared" si="3"/>
        <v>28</v>
      </c>
      <c r="B35" s="13" t="s">
        <v>230</v>
      </c>
      <c r="C35" s="17" t="s">
        <v>216</v>
      </c>
      <c r="D35" t="s">
        <v>240</v>
      </c>
      <c r="E35" s="17" t="s">
        <v>120</v>
      </c>
      <c r="F35" s="17" t="s">
        <v>122</v>
      </c>
      <c r="G35" s="17" t="str">
        <f t="shared" si="1"/>
        <v>2030</v>
      </c>
      <c r="H35" s="17" t="s">
        <v>239</v>
      </c>
      <c r="I35" s="17" t="str">
        <f t="shared" ref="I35:I39" si="4">"2019"</f>
        <v>2019</v>
      </c>
      <c r="J35" s="17" t="s">
        <v>87</v>
      </c>
      <c r="K35" s="17">
        <v>0</v>
      </c>
      <c r="L35" s="17">
        <v>0</v>
      </c>
      <c r="M35" s="17">
        <v>-1</v>
      </c>
      <c r="N35" s="17" t="s">
        <v>262</v>
      </c>
      <c r="O35" s="59">
        <f>0.04</f>
        <v>0.04</v>
      </c>
      <c r="P35" s="17">
        <v>1</v>
      </c>
      <c r="Q35" s="17">
        <v>0</v>
      </c>
      <c r="R35" t="s">
        <v>221</v>
      </c>
      <c r="S35" t="s">
        <v>222</v>
      </c>
      <c r="T35" t="s">
        <v>260</v>
      </c>
      <c r="U35" s="20" t="b">
        <v>0</v>
      </c>
      <c r="V35" t="b">
        <v>1</v>
      </c>
      <c r="W35" t="b">
        <v>0</v>
      </c>
      <c r="X35" t="b">
        <v>0</v>
      </c>
      <c r="Y35" t="b">
        <v>1</v>
      </c>
      <c r="Z35" t="b">
        <v>0</v>
      </c>
      <c r="AA35" t="b">
        <v>0</v>
      </c>
      <c r="AB35" t="b">
        <v>0</v>
      </c>
      <c r="AC35" t="b">
        <v>0</v>
      </c>
      <c r="AD35" s="21" t="b">
        <v>0</v>
      </c>
      <c r="AE35" t="b">
        <v>0</v>
      </c>
      <c r="AF35" t="b">
        <v>0</v>
      </c>
      <c r="AG35" t="b">
        <v>1</v>
      </c>
    </row>
    <row r="36" spans="1:33" x14ac:dyDescent="0.3">
      <c r="A36" s="13">
        <f t="shared" si="3"/>
        <v>29</v>
      </c>
      <c r="B36" s="13" t="s">
        <v>230</v>
      </c>
      <c r="C36" s="17" t="s">
        <v>216</v>
      </c>
      <c r="D36" t="s">
        <v>240</v>
      </c>
      <c r="E36" s="17" t="s">
        <v>120</v>
      </c>
      <c r="F36" s="17" t="s">
        <v>122</v>
      </c>
      <c r="G36" s="17" t="str">
        <f t="shared" si="1"/>
        <v>2030</v>
      </c>
      <c r="H36" s="17" t="s">
        <v>239</v>
      </c>
      <c r="I36" s="17" t="str">
        <f t="shared" si="4"/>
        <v>2019</v>
      </c>
      <c r="J36" s="17" t="s">
        <v>87</v>
      </c>
      <c r="K36" s="17">
        <v>0</v>
      </c>
      <c r="L36" s="17">
        <v>0</v>
      </c>
      <c r="M36" s="17">
        <v>-1</v>
      </c>
      <c r="N36" s="17" t="s">
        <v>263</v>
      </c>
      <c r="O36" s="17">
        <v>-1</v>
      </c>
      <c r="P36" s="17">
        <v>1</v>
      </c>
      <c r="Q36" s="17">
        <v>0</v>
      </c>
      <c r="R36" t="s">
        <v>221</v>
      </c>
      <c r="S36" t="s">
        <v>222</v>
      </c>
      <c r="T36" t="s">
        <v>260</v>
      </c>
      <c r="U36" s="20" t="b">
        <v>0</v>
      </c>
      <c r="V36" t="b">
        <v>1</v>
      </c>
      <c r="W36" t="b">
        <v>0</v>
      </c>
      <c r="X36" t="b">
        <v>0</v>
      </c>
      <c r="Y36" t="b">
        <v>1</v>
      </c>
      <c r="Z36" t="b">
        <v>0</v>
      </c>
      <c r="AA36" t="b">
        <v>0</v>
      </c>
      <c r="AB36" t="b">
        <v>0</v>
      </c>
      <c r="AC36" t="b">
        <v>0</v>
      </c>
      <c r="AD36" s="21" t="b">
        <v>0</v>
      </c>
      <c r="AE36" t="b">
        <v>0</v>
      </c>
      <c r="AF36" t="b">
        <v>0</v>
      </c>
      <c r="AG36" t="b">
        <v>1</v>
      </c>
    </row>
    <row r="37" spans="1:33" x14ac:dyDescent="0.3">
      <c r="A37" s="13">
        <f t="shared" si="3"/>
        <v>30</v>
      </c>
      <c r="B37" s="13" t="s">
        <v>230</v>
      </c>
      <c r="C37" s="17" t="s">
        <v>216</v>
      </c>
      <c r="D37" t="s">
        <v>240</v>
      </c>
      <c r="E37" s="17" t="s">
        <v>120</v>
      </c>
      <c r="F37" s="17" t="s">
        <v>122</v>
      </c>
      <c r="G37" s="17" t="str">
        <f t="shared" si="1"/>
        <v>2030</v>
      </c>
      <c r="H37" s="17" t="s">
        <v>239</v>
      </c>
      <c r="I37" s="17" t="str">
        <f t="shared" si="4"/>
        <v>2019</v>
      </c>
      <c r="J37" s="17" t="s">
        <v>87</v>
      </c>
      <c r="K37" s="17">
        <v>0</v>
      </c>
      <c r="L37" s="17">
        <v>0</v>
      </c>
      <c r="M37" s="17">
        <v>-1</v>
      </c>
      <c r="N37" s="17" t="s">
        <v>263</v>
      </c>
      <c r="O37" s="59">
        <f>0.02</f>
        <v>0.02</v>
      </c>
      <c r="P37" s="17">
        <v>1</v>
      </c>
      <c r="Q37" s="17">
        <v>0</v>
      </c>
      <c r="R37" t="s">
        <v>221</v>
      </c>
      <c r="S37" t="s">
        <v>222</v>
      </c>
      <c r="T37" t="s">
        <v>260</v>
      </c>
      <c r="U37" s="20" t="b">
        <v>0</v>
      </c>
      <c r="V37" t="b">
        <v>1</v>
      </c>
      <c r="W37" t="b">
        <v>0</v>
      </c>
      <c r="X37" t="b">
        <v>0</v>
      </c>
      <c r="Y37" t="b">
        <v>1</v>
      </c>
      <c r="Z37" t="b">
        <v>0</v>
      </c>
      <c r="AA37" t="b">
        <v>0</v>
      </c>
      <c r="AB37" t="b">
        <v>0</v>
      </c>
      <c r="AC37" t="b">
        <v>0</v>
      </c>
      <c r="AD37" s="21" t="b">
        <v>0</v>
      </c>
      <c r="AE37" t="b">
        <v>0</v>
      </c>
      <c r="AF37" t="b">
        <v>0</v>
      </c>
      <c r="AG37" t="b">
        <v>1</v>
      </c>
    </row>
    <row r="38" spans="1:33" x14ac:dyDescent="0.3">
      <c r="A38" s="13">
        <f t="shared" si="3"/>
        <v>31</v>
      </c>
      <c r="B38" s="13" t="s">
        <v>230</v>
      </c>
      <c r="C38" s="17" t="s">
        <v>216</v>
      </c>
      <c r="D38" t="s">
        <v>240</v>
      </c>
      <c r="E38" s="17" t="s">
        <v>120</v>
      </c>
      <c r="F38" s="17" t="s">
        <v>122</v>
      </c>
      <c r="G38" s="17" t="str">
        <f t="shared" si="1"/>
        <v>2030</v>
      </c>
      <c r="H38" s="17" t="s">
        <v>239</v>
      </c>
      <c r="I38" s="17" t="str">
        <f t="shared" si="4"/>
        <v>2019</v>
      </c>
      <c r="J38" s="17" t="s">
        <v>87</v>
      </c>
      <c r="K38" s="17">
        <v>0</v>
      </c>
      <c r="L38" s="17">
        <v>0</v>
      </c>
      <c r="M38" s="17">
        <v>-1</v>
      </c>
      <c r="N38" s="17" t="s">
        <v>263</v>
      </c>
      <c r="O38" s="59">
        <f>0.04</f>
        <v>0.04</v>
      </c>
      <c r="P38" s="17">
        <v>1</v>
      </c>
      <c r="Q38" s="17">
        <v>0</v>
      </c>
      <c r="R38" t="s">
        <v>221</v>
      </c>
      <c r="S38" t="s">
        <v>222</v>
      </c>
      <c r="T38" t="s">
        <v>260</v>
      </c>
      <c r="U38" s="20" t="b">
        <v>0</v>
      </c>
      <c r="V38" t="b">
        <v>1</v>
      </c>
      <c r="W38" t="b">
        <v>0</v>
      </c>
      <c r="X38" t="b">
        <v>0</v>
      </c>
      <c r="Y38" t="b">
        <v>1</v>
      </c>
      <c r="Z38" t="b">
        <v>0</v>
      </c>
      <c r="AA38" t="b">
        <v>0</v>
      </c>
      <c r="AB38" t="b">
        <v>0</v>
      </c>
      <c r="AC38" t="b">
        <v>0</v>
      </c>
      <c r="AD38" s="21" t="b">
        <v>0</v>
      </c>
      <c r="AE38" t="b">
        <v>0</v>
      </c>
      <c r="AF38" t="b">
        <v>0</v>
      </c>
      <c r="AG38" t="b">
        <v>1</v>
      </c>
    </row>
    <row r="39" spans="1:33" x14ac:dyDescent="0.3">
      <c r="A39" s="13">
        <f>ROW(A39)-ROW($A$7)</f>
        <v>32</v>
      </c>
      <c r="B39" s="13" t="s">
        <v>230</v>
      </c>
      <c r="C39" s="17" t="s">
        <v>216</v>
      </c>
      <c r="D39" t="s">
        <v>240</v>
      </c>
      <c r="E39" s="17" t="s">
        <v>120</v>
      </c>
      <c r="F39" s="17" t="s">
        <v>122</v>
      </c>
      <c r="G39" s="17" t="str">
        <f t="shared" si="1"/>
        <v>2030</v>
      </c>
      <c r="H39" s="17" t="s">
        <v>239</v>
      </c>
      <c r="I39" s="17" t="str">
        <f t="shared" si="4"/>
        <v>2019</v>
      </c>
      <c r="J39" s="17" t="s">
        <v>87</v>
      </c>
      <c r="K39" s="17">
        <v>0</v>
      </c>
      <c r="L39" s="17">
        <v>0</v>
      </c>
      <c r="M39" s="17">
        <f>36.4/1000</f>
        <v>3.6400000000000002E-2</v>
      </c>
      <c r="N39" s="17" t="s">
        <v>122</v>
      </c>
      <c r="O39" s="17">
        <v>0</v>
      </c>
      <c r="P39" s="17">
        <v>1</v>
      </c>
      <c r="Q39" s="17">
        <v>0</v>
      </c>
      <c r="R39" t="s">
        <v>221</v>
      </c>
      <c r="S39" t="s">
        <v>222</v>
      </c>
      <c r="T39" t="s">
        <v>260</v>
      </c>
      <c r="U39" s="20" t="b">
        <v>0</v>
      </c>
      <c r="V39" t="b">
        <v>1</v>
      </c>
      <c r="W39" t="b">
        <v>0</v>
      </c>
      <c r="X39" t="b">
        <v>0</v>
      </c>
      <c r="Y39" t="b">
        <v>1</v>
      </c>
      <c r="Z39" t="b">
        <v>0</v>
      </c>
      <c r="AA39" t="b">
        <v>0</v>
      </c>
      <c r="AB39" t="b">
        <v>0</v>
      </c>
      <c r="AC39" t="b">
        <v>0</v>
      </c>
      <c r="AD39" s="21" t="b">
        <v>0</v>
      </c>
      <c r="AE39" t="b">
        <v>0</v>
      </c>
      <c r="AF39" t="b">
        <v>0</v>
      </c>
      <c r="AG39" t="b">
        <v>1</v>
      </c>
    </row>
    <row r="40" spans="1:33" x14ac:dyDescent="0.3">
      <c r="A40" s="13">
        <f t="shared" si="3"/>
        <v>33</v>
      </c>
      <c r="B40" s="13" t="s">
        <v>230</v>
      </c>
      <c r="C40" s="17" t="s">
        <v>216</v>
      </c>
      <c r="D40" t="s">
        <v>258</v>
      </c>
      <c r="E40" s="17" t="s">
        <v>120</v>
      </c>
      <c r="F40" s="17" t="s">
        <v>122</v>
      </c>
      <c r="G40" s="17" t="str">
        <f t="shared" si="1"/>
        <v>2030</v>
      </c>
      <c r="H40" s="17" t="s">
        <v>239</v>
      </c>
      <c r="I40" s="17" t="str">
        <f>"2019"</f>
        <v>2019</v>
      </c>
      <c r="J40" s="17" t="s">
        <v>87</v>
      </c>
      <c r="K40" s="17">
        <v>0</v>
      </c>
      <c r="L40" s="17">
        <v>0</v>
      </c>
      <c r="M40" s="17">
        <v>-1</v>
      </c>
      <c r="N40" s="17" t="s">
        <v>122</v>
      </c>
      <c r="O40" s="17">
        <v>0</v>
      </c>
      <c r="P40" s="17">
        <v>1</v>
      </c>
      <c r="Q40" s="17">
        <v>0</v>
      </c>
      <c r="R40" t="s">
        <v>221</v>
      </c>
      <c r="S40" t="s">
        <v>222</v>
      </c>
      <c r="T40" t="s">
        <v>260</v>
      </c>
      <c r="U40" s="20" t="b">
        <v>0</v>
      </c>
      <c r="V40" t="b">
        <v>1</v>
      </c>
      <c r="W40" t="b">
        <v>0</v>
      </c>
      <c r="X40" t="b">
        <v>0</v>
      </c>
      <c r="Y40" t="b">
        <v>1</v>
      </c>
      <c r="Z40" t="b">
        <v>0</v>
      </c>
      <c r="AA40" t="b">
        <v>0</v>
      </c>
      <c r="AB40" t="b">
        <v>0</v>
      </c>
      <c r="AC40" t="b">
        <v>0</v>
      </c>
      <c r="AD40" s="21" t="b">
        <v>0</v>
      </c>
      <c r="AE40" t="b">
        <v>0</v>
      </c>
      <c r="AF40" t="b">
        <v>0</v>
      </c>
      <c r="AG40" t="b">
        <v>1</v>
      </c>
    </row>
    <row r="41" spans="1:33" x14ac:dyDescent="0.3">
      <c r="A41" s="13">
        <f t="shared" si="3"/>
        <v>34</v>
      </c>
      <c r="B41" s="13" t="s">
        <v>230</v>
      </c>
      <c r="C41" s="17" t="s">
        <v>216</v>
      </c>
      <c r="D41" t="s">
        <v>258</v>
      </c>
      <c r="E41" s="17" t="s">
        <v>120</v>
      </c>
      <c r="F41" s="17" t="s">
        <v>122</v>
      </c>
      <c r="G41" s="17" t="str">
        <f t="shared" si="1"/>
        <v>2030</v>
      </c>
      <c r="H41" s="17" t="s">
        <v>239</v>
      </c>
      <c r="I41" s="17" t="str">
        <f>"2019"</f>
        <v>2019</v>
      </c>
      <c r="J41" s="17" t="s">
        <v>87</v>
      </c>
      <c r="K41" s="17">
        <v>0</v>
      </c>
      <c r="L41" s="17">
        <v>0</v>
      </c>
      <c r="M41" s="17">
        <v>-1</v>
      </c>
      <c r="N41" s="17" t="s">
        <v>262</v>
      </c>
      <c r="O41" s="58">
        <v>-1</v>
      </c>
      <c r="P41" s="17">
        <v>1</v>
      </c>
      <c r="Q41" s="17">
        <v>0</v>
      </c>
      <c r="R41" t="s">
        <v>221</v>
      </c>
      <c r="S41" t="s">
        <v>222</v>
      </c>
      <c r="T41" t="s">
        <v>260</v>
      </c>
      <c r="U41" s="20" t="b">
        <v>0</v>
      </c>
      <c r="V41" t="b">
        <v>1</v>
      </c>
      <c r="W41" t="b">
        <v>0</v>
      </c>
      <c r="X41" t="b">
        <v>0</v>
      </c>
      <c r="Y41" t="b">
        <v>1</v>
      </c>
      <c r="Z41" t="b">
        <v>0</v>
      </c>
      <c r="AA41" t="b">
        <v>0</v>
      </c>
      <c r="AB41" t="b">
        <v>0</v>
      </c>
      <c r="AC41" t="b">
        <v>0</v>
      </c>
      <c r="AD41" s="21" t="b">
        <v>0</v>
      </c>
      <c r="AE41" t="b">
        <v>0</v>
      </c>
      <c r="AF41" t="b">
        <v>0</v>
      </c>
      <c r="AG41" t="b">
        <v>1</v>
      </c>
    </row>
    <row r="42" spans="1:33" x14ac:dyDescent="0.3">
      <c r="A42" s="13">
        <f t="shared" si="3"/>
        <v>35</v>
      </c>
      <c r="B42" s="13" t="s">
        <v>230</v>
      </c>
      <c r="C42" s="17" t="s">
        <v>216</v>
      </c>
      <c r="D42" t="s">
        <v>258</v>
      </c>
      <c r="E42" s="17" t="s">
        <v>120</v>
      </c>
      <c r="F42" s="17" t="s">
        <v>122</v>
      </c>
      <c r="G42" s="17" t="str">
        <f t="shared" si="1"/>
        <v>2030</v>
      </c>
      <c r="H42" s="17" t="s">
        <v>239</v>
      </c>
      <c r="I42" s="17" t="str">
        <f>"2019"</f>
        <v>2019</v>
      </c>
      <c r="J42" s="17" t="s">
        <v>87</v>
      </c>
      <c r="K42" s="17">
        <v>0</v>
      </c>
      <c r="L42" s="17">
        <v>0</v>
      </c>
      <c r="M42" s="17">
        <v>-1</v>
      </c>
      <c r="N42" s="17" t="s">
        <v>262</v>
      </c>
      <c r="O42" s="59">
        <f>0.02</f>
        <v>0.02</v>
      </c>
      <c r="P42" s="17">
        <v>1</v>
      </c>
      <c r="Q42" s="17">
        <v>0</v>
      </c>
      <c r="R42" t="s">
        <v>221</v>
      </c>
      <c r="S42" t="s">
        <v>222</v>
      </c>
      <c r="T42" t="s">
        <v>260</v>
      </c>
      <c r="U42" s="20" t="b">
        <v>0</v>
      </c>
      <c r="V42" t="b">
        <v>1</v>
      </c>
      <c r="W42" t="b">
        <v>0</v>
      </c>
      <c r="X42" t="b">
        <v>0</v>
      </c>
      <c r="Y42" t="b">
        <v>1</v>
      </c>
      <c r="Z42" t="b">
        <v>0</v>
      </c>
      <c r="AA42" t="b">
        <v>0</v>
      </c>
      <c r="AB42" t="b">
        <v>0</v>
      </c>
      <c r="AC42" t="b">
        <v>0</v>
      </c>
      <c r="AD42" s="21" t="b">
        <v>0</v>
      </c>
      <c r="AE42" t="b">
        <v>0</v>
      </c>
      <c r="AF42" t="b">
        <v>0</v>
      </c>
      <c r="AG42" t="b">
        <v>1</v>
      </c>
    </row>
    <row r="43" spans="1:33" x14ac:dyDescent="0.3">
      <c r="A43" s="13">
        <f t="shared" si="3"/>
        <v>36</v>
      </c>
      <c r="B43" s="13" t="s">
        <v>230</v>
      </c>
      <c r="C43" s="17" t="s">
        <v>216</v>
      </c>
      <c r="D43" t="s">
        <v>258</v>
      </c>
      <c r="E43" s="17" t="s">
        <v>120</v>
      </c>
      <c r="F43" s="17" t="s">
        <v>122</v>
      </c>
      <c r="G43" s="17" t="str">
        <f t="shared" si="1"/>
        <v>2030</v>
      </c>
      <c r="H43" s="17" t="s">
        <v>239</v>
      </c>
      <c r="I43" s="17" t="str">
        <f t="shared" ref="I43:I47" si="5">"2019"</f>
        <v>2019</v>
      </c>
      <c r="J43" s="17" t="s">
        <v>87</v>
      </c>
      <c r="K43" s="17">
        <v>0</v>
      </c>
      <c r="L43" s="17">
        <v>0</v>
      </c>
      <c r="M43" s="17">
        <v>-1</v>
      </c>
      <c r="N43" s="17" t="s">
        <v>262</v>
      </c>
      <c r="O43" s="59">
        <f>0.04</f>
        <v>0.04</v>
      </c>
      <c r="P43" s="17">
        <v>1</v>
      </c>
      <c r="Q43" s="17">
        <v>0</v>
      </c>
      <c r="R43" t="s">
        <v>221</v>
      </c>
      <c r="S43" t="s">
        <v>222</v>
      </c>
      <c r="T43" t="s">
        <v>260</v>
      </c>
      <c r="U43" s="20" t="b">
        <v>0</v>
      </c>
      <c r="V43" t="b">
        <v>1</v>
      </c>
      <c r="W43" t="b">
        <v>0</v>
      </c>
      <c r="X43" t="b">
        <v>0</v>
      </c>
      <c r="Y43" t="b">
        <v>1</v>
      </c>
      <c r="Z43" t="b">
        <v>0</v>
      </c>
      <c r="AA43" t="b">
        <v>0</v>
      </c>
      <c r="AB43" t="b">
        <v>0</v>
      </c>
      <c r="AC43" t="b">
        <v>0</v>
      </c>
      <c r="AD43" s="21" t="b">
        <v>0</v>
      </c>
      <c r="AE43" t="b">
        <v>0</v>
      </c>
      <c r="AF43" t="b">
        <v>0</v>
      </c>
      <c r="AG43" t="b">
        <v>1</v>
      </c>
    </row>
    <row r="44" spans="1:33" x14ac:dyDescent="0.3">
      <c r="A44" s="13">
        <f t="shared" si="3"/>
        <v>37</v>
      </c>
      <c r="B44" s="13" t="s">
        <v>230</v>
      </c>
      <c r="C44" s="17" t="s">
        <v>216</v>
      </c>
      <c r="D44" t="s">
        <v>258</v>
      </c>
      <c r="E44" s="17" t="s">
        <v>120</v>
      </c>
      <c r="F44" s="17" t="s">
        <v>122</v>
      </c>
      <c r="G44" s="17" t="str">
        <f t="shared" si="1"/>
        <v>2030</v>
      </c>
      <c r="H44" s="17" t="s">
        <v>239</v>
      </c>
      <c r="I44" s="17" t="str">
        <f t="shared" si="5"/>
        <v>2019</v>
      </c>
      <c r="J44" s="17" t="s">
        <v>87</v>
      </c>
      <c r="K44" s="17">
        <v>0</v>
      </c>
      <c r="L44" s="17">
        <v>0</v>
      </c>
      <c r="M44" s="17">
        <v>-1</v>
      </c>
      <c r="N44" s="17" t="s">
        <v>263</v>
      </c>
      <c r="O44" s="17">
        <v>-1</v>
      </c>
      <c r="P44" s="17">
        <v>1</v>
      </c>
      <c r="Q44" s="17">
        <v>0</v>
      </c>
      <c r="R44" t="s">
        <v>221</v>
      </c>
      <c r="S44" t="s">
        <v>222</v>
      </c>
      <c r="T44" t="s">
        <v>260</v>
      </c>
      <c r="U44" s="20" t="b">
        <v>0</v>
      </c>
      <c r="V44" t="b">
        <v>1</v>
      </c>
      <c r="W44" t="b">
        <v>0</v>
      </c>
      <c r="X44" t="b">
        <v>0</v>
      </c>
      <c r="Y44" t="b">
        <v>1</v>
      </c>
      <c r="Z44" t="b">
        <v>0</v>
      </c>
      <c r="AA44" t="b">
        <v>0</v>
      </c>
      <c r="AB44" t="b">
        <v>0</v>
      </c>
      <c r="AC44" t="b">
        <v>0</v>
      </c>
      <c r="AD44" s="21" t="b">
        <v>0</v>
      </c>
      <c r="AE44" t="b">
        <v>0</v>
      </c>
      <c r="AF44" t="b">
        <v>0</v>
      </c>
      <c r="AG44" t="b">
        <v>1</v>
      </c>
    </row>
    <row r="45" spans="1:33" x14ac:dyDescent="0.3">
      <c r="A45" s="13">
        <f t="shared" si="3"/>
        <v>38</v>
      </c>
      <c r="B45" s="13" t="s">
        <v>230</v>
      </c>
      <c r="C45" s="17" t="s">
        <v>216</v>
      </c>
      <c r="D45" t="s">
        <v>258</v>
      </c>
      <c r="E45" s="17" t="s">
        <v>120</v>
      </c>
      <c r="F45" s="17" t="s">
        <v>122</v>
      </c>
      <c r="G45" s="17" t="str">
        <f t="shared" si="1"/>
        <v>2030</v>
      </c>
      <c r="H45" s="17" t="s">
        <v>239</v>
      </c>
      <c r="I45" s="17" t="str">
        <f t="shared" si="5"/>
        <v>2019</v>
      </c>
      <c r="J45" s="17" t="s">
        <v>87</v>
      </c>
      <c r="K45" s="17">
        <v>0</v>
      </c>
      <c r="L45" s="17">
        <v>0</v>
      </c>
      <c r="M45" s="17">
        <v>-1</v>
      </c>
      <c r="N45" s="17" t="s">
        <v>263</v>
      </c>
      <c r="O45" s="59">
        <f>0.02</f>
        <v>0.02</v>
      </c>
      <c r="P45" s="17">
        <v>1</v>
      </c>
      <c r="Q45" s="17">
        <v>0</v>
      </c>
      <c r="R45" t="s">
        <v>221</v>
      </c>
      <c r="S45" t="s">
        <v>222</v>
      </c>
      <c r="T45" t="s">
        <v>260</v>
      </c>
      <c r="U45" s="20" t="b">
        <v>0</v>
      </c>
      <c r="V45" t="b">
        <v>1</v>
      </c>
      <c r="W45" t="b">
        <v>0</v>
      </c>
      <c r="X45" t="b">
        <v>0</v>
      </c>
      <c r="Y45" t="b">
        <v>1</v>
      </c>
      <c r="Z45" t="b">
        <v>0</v>
      </c>
      <c r="AA45" t="b">
        <v>0</v>
      </c>
      <c r="AB45" t="b">
        <v>0</v>
      </c>
      <c r="AC45" t="b">
        <v>0</v>
      </c>
      <c r="AD45" s="21" t="b">
        <v>0</v>
      </c>
      <c r="AE45" t="b">
        <v>0</v>
      </c>
      <c r="AF45" t="b">
        <v>0</v>
      </c>
      <c r="AG45" t="b">
        <v>1</v>
      </c>
    </row>
    <row r="46" spans="1:33" x14ac:dyDescent="0.3">
      <c r="A46" s="13">
        <f t="shared" si="3"/>
        <v>39</v>
      </c>
      <c r="B46" s="13" t="s">
        <v>230</v>
      </c>
      <c r="C46" s="17" t="s">
        <v>216</v>
      </c>
      <c r="D46" t="s">
        <v>258</v>
      </c>
      <c r="E46" s="17" t="s">
        <v>120</v>
      </c>
      <c r="F46" s="17" t="s">
        <v>122</v>
      </c>
      <c r="G46" s="17" t="str">
        <f t="shared" si="1"/>
        <v>2030</v>
      </c>
      <c r="H46" s="17" t="s">
        <v>239</v>
      </c>
      <c r="I46" s="17" t="str">
        <f t="shared" si="5"/>
        <v>2019</v>
      </c>
      <c r="J46" s="17" t="s">
        <v>87</v>
      </c>
      <c r="K46" s="17">
        <v>0</v>
      </c>
      <c r="L46" s="17">
        <v>0</v>
      </c>
      <c r="M46" s="17">
        <v>-1</v>
      </c>
      <c r="N46" s="17" t="s">
        <v>263</v>
      </c>
      <c r="O46" s="59">
        <f>0.04</f>
        <v>0.04</v>
      </c>
      <c r="P46" s="17">
        <v>1</v>
      </c>
      <c r="Q46" s="17">
        <v>0</v>
      </c>
      <c r="R46" t="s">
        <v>221</v>
      </c>
      <c r="S46" t="s">
        <v>222</v>
      </c>
      <c r="T46" t="s">
        <v>260</v>
      </c>
      <c r="U46" s="20" t="b">
        <v>0</v>
      </c>
      <c r="V46" t="b">
        <v>1</v>
      </c>
      <c r="W46" t="b">
        <v>0</v>
      </c>
      <c r="X46" t="b">
        <v>0</v>
      </c>
      <c r="Y46" t="b">
        <v>1</v>
      </c>
      <c r="Z46" t="b">
        <v>0</v>
      </c>
      <c r="AA46" t="b">
        <v>0</v>
      </c>
      <c r="AB46" t="b">
        <v>0</v>
      </c>
      <c r="AC46" t="b">
        <v>0</v>
      </c>
      <c r="AD46" s="21" t="b">
        <v>0</v>
      </c>
      <c r="AE46" t="b">
        <v>0</v>
      </c>
      <c r="AF46" t="b">
        <v>0</v>
      </c>
      <c r="AG46" t="b">
        <v>1</v>
      </c>
    </row>
    <row r="47" spans="1:33" x14ac:dyDescent="0.3">
      <c r="A47" s="13">
        <f>ROW(A47)-ROW($A$7)</f>
        <v>40</v>
      </c>
      <c r="B47" s="13" t="s">
        <v>230</v>
      </c>
      <c r="C47" s="17" t="s">
        <v>216</v>
      </c>
      <c r="D47" t="s">
        <v>258</v>
      </c>
      <c r="E47" s="17" t="s">
        <v>120</v>
      </c>
      <c r="F47" s="17" t="s">
        <v>122</v>
      </c>
      <c r="G47" s="17" t="str">
        <f t="shared" si="1"/>
        <v>2030</v>
      </c>
      <c r="H47" s="17" t="s">
        <v>239</v>
      </c>
      <c r="I47" s="17" t="str">
        <f t="shared" si="5"/>
        <v>2019</v>
      </c>
      <c r="J47" s="17" t="s">
        <v>87</v>
      </c>
      <c r="K47" s="17">
        <v>0</v>
      </c>
      <c r="L47" s="17">
        <v>0</v>
      </c>
      <c r="M47" s="17">
        <f>36.4/1000</f>
        <v>3.6400000000000002E-2</v>
      </c>
      <c r="N47" s="17" t="s">
        <v>122</v>
      </c>
      <c r="O47" s="17">
        <v>0</v>
      </c>
      <c r="P47" s="17">
        <v>1</v>
      </c>
      <c r="Q47" s="17">
        <v>0</v>
      </c>
      <c r="R47" t="s">
        <v>221</v>
      </c>
      <c r="S47" t="s">
        <v>222</v>
      </c>
      <c r="T47" t="s">
        <v>260</v>
      </c>
      <c r="U47" s="20" t="b">
        <v>0</v>
      </c>
      <c r="V47" t="b">
        <v>1</v>
      </c>
      <c r="W47" t="b">
        <v>0</v>
      </c>
      <c r="X47" t="b">
        <v>0</v>
      </c>
      <c r="Y47" t="b">
        <v>1</v>
      </c>
      <c r="Z47" t="b">
        <v>0</v>
      </c>
      <c r="AA47" t="b">
        <v>0</v>
      </c>
      <c r="AB47" t="b">
        <v>0</v>
      </c>
      <c r="AC47" t="b">
        <v>0</v>
      </c>
      <c r="AD47" s="21" t="b">
        <v>0</v>
      </c>
      <c r="AE47" t="b">
        <v>0</v>
      </c>
      <c r="AF47" t="b">
        <v>0</v>
      </c>
      <c r="AG47" t="b">
        <v>1</v>
      </c>
    </row>
    <row r="48" spans="1:33" x14ac:dyDescent="0.3">
      <c r="A48" s="13">
        <f t="shared" si="3"/>
        <v>41</v>
      </c>
      <c r="B48" s="13" t="s">
        <v>230</v>
      </c>
      <c r="C48" s="17" t="s">
        <v>216</v>
      </c>
      <c r="D48" t="s">
        <v>259</v>
      </c>
      <c r="E48" s="17" t="s">
        <v>120</v>
      </c>
      <c r="F48" s="17" t="s">
        <v>122</v>
      </c>
      <c r="G48" s="17" t="str">
        <f t="shared" si="1"/>
        <v>2030</v>
      </c>
      <c r="H48" s="17" t="s">
        <v>239</v>
      </c>
      <c r="I48" s="17" t="str">
        <f>"2019"</f>
        <v>2019</v>
      </c>
      <c r="J48" s="17" t="s">
        <v>87</v>
      </c>
      <c r="K48" s="17">
        <v>0</v>
      </c>
      <c r="L48" s="17">
        <v>0</v>
      </c>
      <c r="M48" s="17">
        <v>-1</v>
      </c>
      <c r="N48" s="17" t="s">
        <v>122</v>
      </c>
      <c r="O48" s="17">
        <v>0</v>
      </c>
      <c r="P48" s="17">
        <v>1</v>
      </c>
      <c r="Q48" s="17">
        <v>0</v>
      </c>
      <c r="R48" t="s">
        <v>221</v>
      </c>
      <c r="S48" t="s">
        <v>222</v>
      </c>
      <c r="T48" t="s">
        <v>260</v>
      </c>
      <c r="U48" s="20" t="b">
        <v>0</v>
      </c>
      <c r="V48" t="b">
        <v>1</v>
      </c>
      <c r="W48" t="b">
        <v>0</v>
      </c>
      <c r="X48" t="b">
        <v>0</v>
      </c>
      <c r="Y48" t="b">
        <v>1</v>
      </c>
      <c r="Z48" t="b">
        <v>0</v>
      </c>
      <c r="AA48" t="b">
        <v>0</v>
      </c>
      <c r="AB48" t="b">
        <v>0</v>
      </c>
      <c r="AC48" t="b">
        <v>0</v>
      </c>
      <c r="AD48" s="21" t="b">
        <v>0</v>
      </c>
      <c r="AE48" t="b">
        <v>0</v>
      </c>
      <c r="AF48" t="b">
        <v>0</v>
      </c>
      <c r="AG48" t="b">
        <v>1</v>
      </c>
    </row>
    <row r="49" spans="1:33" x14ac:dyDescent="0.3">
      <c r="A49" s="13">
        <f t="shared" si="3"/>
        <v>42</v>
      </c>
      <c r="B49" s="13" t="s">
        <v>230</v>
      </c>
      <c r="C49" s="17" t="s">
        <v>216</v>
      </c>
      <c r="D49" t="s">
        <v>259</v>
      </c>
      <c r="E49" s="17" t="s">
        <v>120</v>
      </c>
      <c r="F49" s="17" t="s">
        <v>122</v>
      </c>
      <c r="G49" s="17" t="str">
        <f t="shared" si="1"/>
        <v>2030</v>
      </c>
      <c r="H49" s="17" t="s">
        <v>239</v>
      </c>
      <c r="I49" s="17" t="str">
        <f>"2019"</f>
        <v>2019</v>
      </c>
      <c r="J49" s="17" t="s">
        <v>87</v>
      </c>
      <c r="K49" s="17">
        <v>0</v>
      </c>
      <c r="L49" s="17">
        <v>0</v>
      </c>
      <c r="M49" s="17">
        <v>-1</v>
      </c>
      <c r="N49" s="17" t="s">
        <v>262</v>
      </c>
      <c r="O49" s="58">
        <v>-1</v>
      </c>
      <c r="P49" s="17">
        <v>1</v>
      </c>
      <c r="Q49" s="17">
        <v>0</v>
      </c>
      <c r="R49" t="s">
        <v>221</v>
      </c>
      <c r="S49" t="s">
        <v>222</v>
      </c>
      <c r="T49" t="s">
        <v>260</v>
      </c>
      <c r="U49" s="20" t="b">
        <v>0</v>
      </c>
      <c r="V49" t="b">
        <v>1</v>
      </c>
      <c r="W49" t="b">
        <v>0</v>
      </c>
      <c r="X49" t="b">
        <v>0</v>
      </c>
      <c r="Y49" t="b">
        <v>1</v>
      </c>
      <c r="Z49" t="b">
        <v>0</v>
      </c>
      <c r="AA49" t="b">
        <v>0</v>
      </c>
      <c r="AB49" t="b">
        <v>0</v>
      </c>
      <c r="AC49" t="b">
        <v>0</v>
      </c>
      <c r="AD49" s="21" t="b">
        <v>0</v>
      </c>
      <c r="AE49" t="b">
        <v>0</v>
      </c>
      <c r="AF49" t="b">
        <v>0</v>
      </c>
      <c r="AG49" t="b">
        <v>1</v>
      </c>
    </row>
    <row r="50" spans="1:33" x14ac:dyDescent="0.3">
      <c r="A50" s="13">
        <f t="shared" si="3"/>
        <v>43</v>
      </c>
      <c r="B50" s="13" t="s">
        <v>230</v>
      </c>
      <c r="C50" s="17" t="s">
        <v>216</v>
      </c>
      <c r="D50" t="s">
        <v>259</v>
      </c>
      <c r="E50" s="17" t="s">
        <v>120</v>
      </c>
      <c r="F50" s="17" t="s">
        <v>122</v>
      </c>
      <c r="G50" s="17" t="str">
        <f t="shared" si="1"/>
        <v>2030</v>
      </c>
      <c r="H50" s="17" t="s">
        <v>239</v>
      </c>
      <c r="I50" s="17" t="str">
        <f>"2019"</f>
        <v>2019</v>
      </c>
      <c r="J50" s="17" t="s">
        <v>87</v>
      </c>
      <c r="K50" s="17">
        <v>0</v>
      </c>
      <c r="L50" s="17">
        <v>0</v>
      </c>
      <c r="M50" s="17">
        <v>-1</v>
      </c>
      <c r="N50" s="17" t="s">
        <v>262</v>
      </c>
      <c r="O50" s="59">
        <f>0.02</f>
        <v>0.02</v>
      </c>
      <c r="P50" s="17">
        <v>1</v>
      </c>
      <c r="Q50" s="17">
        <v>0</v>
      </c>
      <c r="R50" t="s">
        <v>221</v>
      </c>
      <c r="S50" t="s">
        <v>222</v>
      </c>
      <c r="T50" t="s">
        <v>260</v>
      </c>
      <c r="U50" s="20" t="b">
        <v>0</v>
      </c>
      <c r="V50" t="b">
        <v>1</v>
      </c>
      <c r="W50" t="b">
        <v>0</v>
      </c>
      <c r="X50" t="b">
        <v>0</v>
      </c>
      <c r="Y50" t="b">
        <v>1</v>
      </c>
      <c r="Z50" t="b">
        <v>0</v>
      </c>
      <c r="AA50" t="b">
        <v>0</v>
      </c>
      <c r="AB50" t="b">
        <v>0</v>
      </c>
      <c r="AC50" t="b">
        <v>0</v>
      </c>
      <c r="AD50" s="21" t="b">
        <v>0</v>
      </c>
      <c r="AE50" t="b">
        <v>0</v>
      </c>
      <c r="AF50" t="b">
        <v>0</v>
      </c>
      <c r="AG50" t="b">
        <v>1</v>
      </c>
    </row>
    <row r="51" spans="1:33" x14ac:dyDescent="0.3">
      <c r="A51" s="13">
        <f t="shared" si="3"/>
        <v>44</v>
      </c>
      <c r="B51" s="13" t="s">
        <v>230</v>
      </c>
      <c r="C51" s="17" t="s">
        <v>216</v>
      </c>
      <c r="D51" t="s">
        <v>259</v>
      </c>
      <c r="E51" s="17" t="s">
        <v>120</v>
      </c>
      <c r="F51" s="17" t="s">
        <v>122</v>
      </c>
      <c r="G51" s="17" t="str">
        <f t="shared" si="1"/>
        <v>2030</v>
      </c>
      <c r="H51" s="17" t="s">
        <v>239</v>
      </c>
      <c r="I51" s="17" t="str">
        <f t="shared" ref="I51:I116" si="6">"2019"</f>
        <v>2019</v>
      </c>
      <c r="J51" s="17" t="s">
        <v>87</v>
      </c>
      <c r="K51" s="17">
        <v>0</v>
      </c>
      <c r="L51" s="17">
        <v>0</v>
      </c>
      <c r="M51" s="17">
        <v>-1</v>
      </c>
      <c r="N51" s="17" t="s">
        <v>262</v>
      </c>
      <c r="O51" s="59">
        <f>0.04</f>
        <v>0.04</v>
      </c>
      <c r="P51" s="17">
        <v>1</v>
      </c>
      <c r="Q51" s="17">
        <v>0</v>
      </c>
      <c r="R51" t="s">
        <v>221</v>
      </c>
      <c r="S51" t="s">
        <v>222</v>
      </c>
      <c r="T51" t="s">
        <v>260</v>
      </c>
      <c r="U51" s="20" t="b">
        <v>0</v>
      </c>
      <c r="V51" t="b">
        <v>1</v>
      </c>
      <c r="W51" t="b">
        <v>0</v>
      </c>
      <c r="X51" t="b">
        <v>0</v>
      </c>
      <c r="Y51" t="b">
        <v>1</v>
      </c>
      <c r="Z51" t="b">
        <v>0</v>
      </c>
      <c r="AA51" t="b">
        <v>0</v>
      </c>
      <c r="AB51" t="b">
        <v>0</v>
      </c>
      <c r="AC51" t="b">
        <v>0</v>
      </c>
      <c r="AD51" s="21" t="b">
        <v>0</v>
      </c>
      <c r="AE51" t="b">
        <v>0</v>
      </c>
      <c r="AF51" t="b">
        <v>0</v>
      </c>
      <c r="AG51" t="b">
        <v>1</v>
      </c>
    </row>
    <row r="52" spans="1:33" x14ac:dyDescent="0.3">
      <c r="A52" s="13">
        <f t="shared" si="3"/>
        <v>45</v>
      </c>
      <c r="B52" s="13" t="s">
        <v>230</v>
      </c>
      <c r="C52" s="17" t="s">
        <v>216</v>
      </c>
      <c r="D52" t="s">
        <v>259</v>
      </c>
      <c r="E52" s="17" t="s">
        <v>120</v>
      </c>
      <c r="F52" s="17" t="s">
        <v>122</v>
      </c>
      <c r="G52" s="17" t="str">
        <f t="shared" si="1"/>
        <v>2030</v>
      </c>
      <c r="H52" s="17" t="s">
        <v>239</v>
      </c>
      <c r="I52" s="17" t="str">
        <f t="shared" si="6"/>
        <v>2019</v>
      </c>
      <c r="J52" s="17" t="s">
        <v>87</v>
      </c>
      <c r="K52" s="17">
        <v>0</v>
      </c>
      <c r="L52" s="17">
        <v>0</v>
      </c>
      <c r="M52" s="17">
        <v>-1</v>
      </c>
      <c r="N52" s="17" t="s">
        <v>263</v>
      </c>
      <c r="O52" s="17">
        <v>-1</v>
      </c>
      <c r="P52" s="17">
        <v>1</v>
      </c>
      <c r="Q52" s="17">
        <v>0</v>
      </c>
      <c r="R52" t="s">
        <v>221</v>
      </c>
      <c r="S52" t="s">
        <v>222</v>
      </c>
      <c r="T52" t="s">
        <v>260</v>
      </c>
      <c r="U52" s="20" t="b">
        <v>0</v>
      </c>
      <c r="V52" t="b">
        <v>1</v>
      </c>
      <c r="W52" t="b">
        <v>0</v>
      </c>
      <c r="X52" t="b">
        <v>0</v>
      </c>
      <c r="Y52" t="b">
        <v>1</v>
      </c>
      <c r="Z52" t="b">
        <v>0</v>
      </c>
      <c r="AA52" t="b">
        <v>0</v>
      </c>
      <c r="AB52" t="b">
        <v>0</v>
      </c>
      <c r="AC52" t="b">
        <v>0</v>
      </c>
      <c r="AD52" s="21" t="b">
        <v>0</v>
      </c>
      <c r="AE52" t="b">
        <v>0</v>
      </c>
      <c r="AF52" t="b">
        <v>0</v>
      </c>
      <c r="AG52" t="b">
        <v>1</v>
      </c>
    </row>
    <row r="53" spans="1:33" x14ac:dyDescent="0.3">
      <c r="A53" s="13">
        <f t="shared" si="3"/>
        <v>46</v>
      </c>
      <c r="B53" s="13" t="s">
        <v>230</v>
      </c>
      <c r="C53" s="17" t="s">
        <v>216</v>
      </c>
      <c r="D53" t="s">
        <v>259</v>
      </c>
      <c r="E53" s="17" t="s">
        <v>120</v>
      </c>
      <c r="F53" s="17" t="s">
        <v>122</v>
      </c>
      <c r="G53" s="17" t="str">
        <f t="shared" si="1"/>
        <v>2030</v>
      </c>
      <c r="H53" s="17" t="s">
        <v>239</v>
      </c>
      <c r="I53" s="17" t="str">
        <f t="shared" si="6"/>
        <v>2019</v>
      </c>
      <c r="J53" s="17" t="s">
        <v>87</v>
      </c>
      <c r="K53" s="17">
        <v>0</v>
      </c>
      <c r="L53" s="17">
        <v>0</v>
      </c>
      <c r="M53" s="17">
        <v>-1</v>
      </c>
      <c r="N53" s="17" t="s">
        <v>263</v>
      </c>
      <c r="O53" s="59">
        <f>0.02</f>
        <v>0.02</v>
      </c>
      <c r="P53" s="17">
        <v>1</v>
      </c>
      <c r="Q53" s="17">
        <v>0</v>
      </c>
      <c r="R53" t="s">
        <v>221</v>
      </c>
      <c r="S53" t="s">
        <v>222</v>
      </c>
      <c r="T53" t="s">
        <v>260</v>
      </c>
      <c r="U53" s="20" t="b">
        <v>0</v>
      </c>
      <c r="V53" t="b">
        <v>1</v>
      </c>
      <c r="W53" t="b">
        <v>0</v>
      </c>
      <c r="X53" t="b">
        <v>0</v>
      </c>
      <c r="Y53" t="b">
        <v>1</v>
      </c>
      <c r="Z53" t="b">
        <v>0</v>
      </c>
      <c r="AA53" t="b">
        <v>0</v>
      </c>
      <c r="AB53" t="b">
        <v>0</v>
      </c>
      <c r="AC53" t="b">
        <v>0</v>
      </c>
      <c r="AD53" s="21" t="b">
        <v>0</v>
      </c>
      <c r="AE53" t="b">
        <v>0</v>
      </c>
      <c r="AF53" t="b">
        <v>0</v>
      </c>
      <c r="AG53" t="b">
        <v>1</v>
      </c>
    </row>
    <row r="54" spans="1:33" x14ac:dyDescent="0.3">
      <c r="A54" s="13">
        <f t="shared" si="3"/>
        <v>47</v>
      </c>
      <c r="B54" s="13" t="s">
        <v>230</v>
      </c>
      <c r="C54" s="17" t="s">
        <v>216</v>
      </c>
      <c r="D54" t="s">
        <v>259</v>
      </c>
      <c r="E54" s="17" t="s">
        <v>120</v>
      </c>
      <c r="F54" s="17" t="s">
        <v>122</v>
      </c>
      <c r="G54" s="17" t="str">
        <f t="shared" si="1"/>
        <v>2030</v>
      </c>
      <c r="H54" s="17" t="s">
        <v>239</v>
      </c>
      <c r="I54" s="17" t="str">
        <f t="shared" si="6"/>
        <v>2019</v>
      </c>
      <c r="J54" s="17" t="s">
        <v>87</v>
      </c>
      <c r="K54" s="17">
        <v>0</v>
      </c>
      <c r="L54" s="17">
        <v>0</v>
      </c>
      <c r="M54" s="17">
        <v>-1</v>
      </c>
      <c r="N54" s="17" t="s">
        <v>263</v>
      </c>
      <c r="O54" s="59">
        <f>0.04</f>
        <v>0.04</v>
      </c>
      <c r="P54" s="17">
        <v>1</v>
      </c>
      <c r="Q54" s="17">
        <v>0</v>
      </c>
      <c r="R54" t="s">
        <v>221</v>
      </c>
      <c r="S54" t="s">
        <v>222</v>
      </c>
      <c r="T54" t="s">
        <v>260</v>
      </c>
      <c r="U54" s="20" t="b">
        <v>0</v>
      </c>
      <c r="V54" t="b">
        <v>1</v>
      </c>
      <c r="W54" t="b">
        <v>0</v>
      </c>
      <c r="X54" t="b">
        <v>0</v>
      </c>
      <c r="Y54" t="b">
        <v>1</v>
      </c>
      <c r="Z54" t="b">
        <v>0</v>
      </c>
      <c r="AA54" t="b">
        <v>0</v>
      </c>
      <c r="AB54" t="b">
        <v>0</v>
      </c>
      <c r="AC54" t="b">
        <v>0</v>
      </c>
      <c r="AD54" s="21" t="b">
        <v>0</v>
      </c>
      <c r="AE54" t="b">
        <v>0</v>
      </c>
      <c r="AF54" t="b">
        <v>0</v>
      </c>
      <c r="AG54" t="b">
        <v>1</v>
      </c>
    </row>
    <row r="55" spans="1:33" x14ac:dyDescent="0.3">
      <c r="A55" s="13">
        <f>ROW(A55)-ROW($A$7)</f>
        <v>48</v>
      </c>
      <c r="B55" s="13" t="s">
        <v>230</v>
      </c>
      <c r="C55" s="17" t="s">
        <v>216</v>
      </c>
      <c r="D55" t="s">
        <v>259</v>
      </c>
      <c r="E55" s="17" t="s">
        <v>120</v>
      </c>
      <c r="F55" s="17" t="s">
        <v>122</v>
      </c>
      <c r="G55" s="17" t="str">
        <f t="shared" si="1"/>
        <v>2030</v>
      </c>
      <c r="H55" s="17" t="s">
        <v>239</v>
      </c>
      <c r="I55" s="17" t="str">
        <f t="shared" si="6"/>
        <v>2019</v>
      </c>
      <c r="J55" s="17" t="s">
        <v>87</v>
      </c>
      <c r="K55" s="17">
        <v>0</v>
      </c>
      <c r="L55" s="17">
        <v>0</v>
      </c>
      <c r="M55" s="17">
        <f>36.4/1000</f>
        <v>3.6400000000000002E-2</v>
      </c>
      <c r="N55" s="17" t="s">
        <v>122</v>
      </c>
      <c r="O55" s="17">
        <v>0</v>
      </c>
      <c r="P55" s="17">
        <v>1</v>
      </c>
      <c r="Q55" s="17">
        <v>0</v>
      </c>
      <c r="R55" t="s">
        <v>221</v>
      </c>
      <c r="S55" t="s">
        <v>222</v>
      </c>
      <c r="T55" t="s">
        <v>260</v>
      </c>
      <c r="U55" s="20" t="b">
        <v>0</v>
      </c>
      <c r="V55" t="b">
        <v>1</v>
      </c>
      <c r="W55" t="b">
        <v>0</v>
      </c>
      <c r="X55" t="b">
        <v>0</v>
      </c>
      <c r="Y55" t="b">
        <v>1</v>
      </c>
      <c r="Z55" t="b">
        <v>0</v>
      </c>
      <c r="AA55" t="b">
        <v>0</v>
      </c>
      <c r="AB55" t="b">
        <v>0</v>
      </c>
      <c r="AC55" t="b">
        <v>0</v>
      </c>
      <c r="AD55" s="21" t="b">
        <v>0</v>
      </c>
      <c r="AE55" t="b">
        <v>0</v>
      </c>
      <c r="AF55" t="b">
        <v>0</v>
      </c>
      <c r="AG55" t="b">
        <v>1</v>
      </c>
    </row>
    <row r="56" spans="1:33" x14ac:dyDescent="0.3">
      <c r="A56" s="13">
        <f t="shared" si="3"/>
        <v>49</v>
      </c>
      <c r="B56" s="13" t="s">
        <v>230</v>
      </c>
      <c r="C56" s="17" t="s">
        <v>216</v>
      </c>
      <c r="D56" t="s">
        <v>240</v>
      </c>
      <c r="E56" s="17" t="s">
        <v>120</v>
      </c>
      <c r="F56" s="17" t="s">
        <v>122</v>
      </c>
      <c r="G56" s="17" t="str">
        <f t="shared" si="1"/>
        <v>2030</v>
      </c>
      <c r="H56" s="17" t="s">
        <v>239</v>
      </c>
      <c r="I56" s="17" t="str">
        <f t="shared" si="6"/>
        <v>2019</v>
      </c>
      <c r="J56" s="17" t="s">
        <v>87</v>
      </c>
      <c r="K56" s="17">
        <v>0</v>
      </c>
      <c r="L56" s="17">
        <v>0</v>
      </c>
      <c r="M56" s="17">
        <v>-1</v>
      </c>
      <c r="N56" s="17" t="s">
        <v>264</v>
      </c>
      <c r="O56" s="58">
        <v>-1</v>
      </c>
      <c r="P56" s="17">
        <v>1</v>
      </c>
      <c r="Q56" s="17">
        <v>0</v>
      </c>
      <c r="R56" t="s">
        <v>221</v>
      </c>
      <c r="S56" t="s">
        <v>222</v>
      </c>
      <c r="T56" t="s">
        <v>267</v>
      </c>
      <c r="U56" s="20" t="b">
        <v>0</v>
      </c>
      <c r="V56" t="b">
        <v>1</v>
      </c>
      <c r="W56" t="b">
        <v>0</v>
      </c>
      <c r="X56" t="b">
        <v>0</v>
      </c>
      <c r="Y56" t="b">
        <v>1</v>
      </c>
      <c r="Z56" t="b">
        <v>0</v>
      </c>
      <c r="AA56" t="b">
        <v>0</v>
      </c>
      <c r="AB56" t="b">
        <v>0</v>
      </c>
      <c r="AC56" t="b">
        <v>0</v>
      </c>
      <c r="AD56" s="21" t="b">
        <v>0</v>
      </c>
      <c r="AE56" t="b">
        <v>0</v>
      </c>
      <c r="AF56" t="b">
        <v>0</v>
      </c>
      <c r="AG56" t="b">
        <v>1</v>
      </c>
    </row>
    <row r="57" spans="1:33" x14ac:dyDescent="0.3">
      <c r="A57" s="13">
        <f t="shared" si="3"/>
        <v>50</v>
      </c>
      <c r="B57" s="13" t="s">
        <v>230</v>
      </c>
      <c r="C57" s="17" t="s">
        <v>216</v>
      </c>
      <c r="D57" t="s">
        <v>240</v>
      </c>
      <c r="E57" s="17" t="s">
        <v>120</v>
      </c>
      <c r="F57" s="17" t="s">
        <v>122</v>
      </c>
      <c r="G57" s="17" t="str">
        <f t="shared" si="1"/>
        <v>2030</v>
      </c>
      <c r="H57" s="17" t="s">
        <v>239</v>
      </c>
      <c r="I57" s="17" t="str">
        <f t="shared" si="6"/>
        <v>2019</v>
      </c>
      <c r="J57" s="17" t="s">
        <v>87</v>
      </c>
      <c r="K57" s="17">
        <v>0</v>
      </c>
      <c r="L57" s="17">
        <v>0</v>
      </c>
      <c r="M57" s="17">
        <v>-1</v>
      </c>
      <c r="N57" s="17" t="s">
        <v>262</v>
      </c>
      <c r="O57" s="58">
        <v>-1</v>
      </c>
      <c r="P57" s="17">
        <v>1</v>
      </c>
      <c r="Q57" s="17">
        <v>0</v>
      </c>
      <c r="R57" t="s">
        <v>221</v>
      </c>
      <c r="S57" t="s">
        <v>222</v>
      </c>
      <c r="T57" t="s">
        <v>267</v>
      </c>
      <c r="U57" s="20" t="b">
        <v>0</v>
      </c>
      <c r="V57" t="b">
        <v>1</v>
      </c>
      <c r="W57" t="b">
        <v>0</v>
      </c>
      <c r="X57" t="b">
        <v>0</v>
      </c>
      <c r="Y57" t="b">
        <v>1</v>
      </c>
      <c r="Z57" t="b">
        <v>0</v>
      </c>
      <c r="AA57" t="b">
        <v>0</v>
      </c>
      <c r="AB57" t="b">
        <v>0</v>
      </c>
      <c r="AC57" t="b">
        <v>0</v>
      </c>
      <c r="AD57" s="21" t="b">
        <v>0</v>
      </c>
      <c r="AE57" t="b">
        <v>0</v>
      </c>
      <c r="AF57" t="b">
        <v>0</v>
      </c>
      <c r="AG57" t="b">
        <v>1</v>
      </c>
    </row>
    <row r="58" spans="1:33" x14ac:dyDescent="0.3">
      <c r="A58" s="13">
        <f t="shared" si="3"/>
        <v>51</v>
      </c>
      <c r="B58" s="13" t="s">
        <v>230</v>
      </c>
      <c r="C58" s="17" t="s">
        <v>216</v>
      </c>
      <c r="D58" t="s">
        <v>240</v>
      </c>
      <c r="E58" s="17" t="s">
        <v>120</v>
      </c>
      <c r="F58" s="17" t="s">
        <v>122</v>
      </c>
      <c r="G58" s="17" t="str">
        <f t="shared" si="1"/>
        <v>2030</v>
      </c>
      <c r="H58" s="17" t="s">
        <v>239</v>
      </c>
      <c r="I58" s="17" t="str">
        <f t="shared" si="6"/>
        <v>2019</v>
      </c>
      <c r="J58" s="17" t="s">
        <v>87</v>
      </c>
      <c r="K58" s="17">
        <v>0</v>
      </c>
      <c r="L58" s="17">
        <v>0</v>
      </c>
      <c r="M58" s="17">
        <v>-1</v>
      </c>
      <c r="N58" s="17" t="s">
        <v>265</v>
      </c>
      <c r="O58" s="58">
        <v>-1</v>
      </c>
      <c r="P58" s="17">
        <v>1</v>
      </c>
      <c r="Q58" s="17">
        <v>0</v>
      </c>
      <c r="R58" t="s">
        <v>221</v>
      </c>
      <c r="S58" t="s">
        <v>222</v>
      </c>
      <c r="T58" t="s">
        <v>267</v>
      </c>
      <c r="U58" s="20" t="b">
        <v>0</v>
      </c>
      <c r="V58" t="b">
        <v>1</v>
      </c>
      <c r="W58" t="b">
        <v>0</v>
      </c>
      <c r="X58" t="b">
        <v>0</v>
      </c>
      <c r="Y58" t="b">
        <v>1</v>
      </c>
      <c r="Z58" t="b">
        <v>0</v>
      </c>
      <c r="AA58" t="b">
        <v>0</v>
      </c>
      <c r="AB58" t="b">
        <v>0</v>
      </c>
      <c r="AC58" t="b">
        <v>0</v>
      </c>
      <c r="AD58" s="21" t="b">
        <v>0</v>
      </c>
      <c r="AE58" t="b">
        <v>0</v>
      </c>
      <c r="AF58" t="b">
        <v>0</v>
      </c>
      <c r="AG58" t="b">
        <v>1</v>
      </c>
    </row>
    <row r="59" spans="1:33" x14ac:dyDescent="0.3">
      <c r="A59" s="13">
        <f t="shared" si="3"/>
        <v>52</v>
      </c>
      <c r="B59" s="13" t="s">
        <v>230</v>
      </c>
      <c r="C59" s="17" t="s">
        <v>216</v>
      </c>
      <c r="D59" t="s">
        <v>240</v>
      </c>
      <c r="E59" s="17" t="s">
        <v>120</v>
      </c>
      <c r="F59" s="17" t="s">
        <v>122</v>
      </c>
      <c r="G59" s="17" t="str">
        <f t="shared" si="1"/>
        <v>2030</v>
      </c>
      <c r="H59" s="17" t="s">
        <v>239</v>
      </c>
      <c r="I59" s="17" t="str">
        <f t="shared" si="6"/>
        <v>2019</v>
      </c>
      <c r="J59" s="17" t="s">
        <v>87</v>
      </c>
      <c r="K59" s="17">
        <v>0</v>
      </c>
      <c r="L59" s="17">
        <v>0</v>
      </c>
      <c r="M59" s="17">
        <v>-1</v>
      </c>
      <c r="N59" s="17" t="s">
        <v>266</v>
      </c>
      <c r="O59" s="58">
        <v>-1</v>
      </c>
      <c r="P59" s="17">
        <v>1</v>
      </c>
      <c r="Q59" s="17">
        <v>0</v>
      </c>
      <c r="R59" t="s">
        <v>221</v>
      </c>
      <c r="S59" t="s">
        <v>222</v>
      </c>
      <c r="T59" t="s">
        <v>267</v>
      </c>
      <c r="U59" s="20" t="b">
        <v>0</v>
      </c>
      <c r="V59" t="b">
        <v>1</v>
      </c>
      <c r="W59" t="b">
        <v>0</v>
      </c>
      <c r="X59" t="b">
        <v>0</v>
      </c>
      <c r="Y59" t="b">
        <v>1</v>
      </c>
      <c r="Z59" t="b">
        <v>0</v>
      </c>
      <c r="AA59" t="b">
        <v>0</v>
      </c>
      <c r="AB59" t="b">
        <v>0</v>
      </c>
      <c r="AC59" t="b">
        <v>0</v>
      </c>
      <c r="AD59" s="21" t="b">
        <v>0</v>
      </c>
      <c r="AE59" t="b">
        <v>0</v>
      </c>
      <c r="AF59" t="b">
        <v>0</v>
      </c>
      <c r="AG59" t="b">
        <v>1</v>
      </c>
    </row>
    <row r="60" spans="1:33" x14ac:dyDescent="0.3">
      <c r="A60" s="13">
        <f t="shared" si="3"/>
        <v>53</v>
      </c>
      <c r="B60" s="13" t="s">
        <v>230</v>
      </c>
      <c r="C60" s="17" t="s">
        <v>216</v>
      </c>
      <c r="D60" t="s">
        <v>240</v>
      </c>
      <c r="E60" s="17" t="s">
        <v>120</v>
      </c>
      <c r="F60" s="17" t="s">
        <v>122</v>
      </c>
      <c r="G60" s="17" t="str">
        <f t="shared" si="1"/>
        <v>2030</v>
      </c>
      <c r="H60" s="17" t="s">
        <v>239</v>
      </c>
      <c r="I60" s="17" t="str">
        <f t="shared" si="6"/>
        <v>2019</v>
      </c>
      <c r="J60" s="17" t="s">
        <v>87</v>
      </c>
      <c r="K60" s="17">
        <v>0</v>
      </c>
      <c r="L60" s="17">
        <v>0</v>
      </c>
      <c r="M60" s="17">
        <v>-1</v>
      </c>
      <c r="N60" s="17" t="s">
        <v>264</v>
      </c>
      <c r="O60" s="58">
        <v>0.02</v>
      </c>
      <c r="P60" s="17">
        <v>1</v>
      </c>
      <c r="Q60" s="17">
        <v>0</v>
      </c>
      <c r="R60" t="s">
        <v>221</v>
      </c>
      <c r="S60" t="s">
        <v>222</v>
      </c>
      <c r="T60" t="s">
        <v>267</v>
      </c>
      <c r="U60" s="20" t="b">
        <v>0</v>
      </c>
      <c r="V60" t="b">
        <v>1</v>
      </c>
      <c r="W60" t="b">
        <v>0</v>
      </c>
      <c r="X60" t="b">
        <v>0</v>
      </c>
      <c r="Y60" t="b">
        <v>1</v>
      </c>
      <c r="Z60" t="b">
        <v>0</v>
      </c>
      <c r="AA60" t="b">
        <v>0</v>
      </c>
      <c r="AB60" t="b">
        <v>0</v>
      </c>
      <c r="AC60" t="b">
        <v>0</v>
      </c>
      <c r="AD60" s="21" t="b">
        <v>0</v>
      </c>
      <c r="AE60" t="b">
        <v>0</v>
      </c>
      <c r="AF60" t="b">
        <v>0</v>
      </c>
      <c r="AG60" t="b">
        <v>1</v>
      </c>
    </row>
    <row r="61" spans="1:33" x14ac:dyDescent="0.3">
      <c r="A61" s="13">
        <f t="shared" si="3"/>
        <v>54</v>
      </c>
      <c r="B61" s="13" t="s">
        <v>230</v>
      </c>
      <c r="C61" s="17" t="s">
        <v>216</v>
      </c>
      <c r="D61" t="s">
        <v>240</v>
      </c>
      <c r="E61" s="17" t="s">
        <v>120</v>
      </c>
      <c r="F61" s="17" t="s">
        <v>122</v>
      </c>
      <c r="G61" s="17" t="str">
        <f t="shared" si="1"/>
        <v>2030</v>
      </c>
      <c r="H61" s="17" t="s">
        <v>239</v>
      </c>
      <c r="I61" s="17" t="str">
        <f t="shared" si="6"/>
        <v>2019</v>
      </c>
      <c r="J61" s="17" t="s">
        <v>87</v>
      </c>
      <c r="K61" s="17">
        <v>0</v>
      </c>
      <c r="L61" s="17">
        <v>0</v>
      </c>
      <c r="M61" s="17">
        <v>-1</v>
      </c>
      <c r="N61" s="17" t="s">
        <v>262</v>
      </c>
      <c r="O61" s="58">
        <v>0.02</v>
      </c>
      <c r="P61" s="17">
        <v>1</v>
      </c>
      <c r="Q61" s="17">
        <v>0</v>
      </c>
      <c r="R61" t="s">
        <v>221</v>
      </c>
      <c r="S61" t="s">
        <v>222</v>
      </c>
      <c r="T61" t="s">
        <v>267</v>
      </c>
      <c r="U61" s="20" t="b">
        <v>0</v>
      </c>
      <c r="V61" t="b">
        <v>1</v>
      </c>
      <c r="W61" t="b">
        <v>0</v>
      </c>
      <c r="X61" t="b">
        <v>0</v>
      </c>
      <c r="Y61" t="b">
        <v>1</v>
      </c>
      <c r="Z61" t="b">
        <v>0</v>
      </c>
      <c r="AA61" t="b">
        <v>0</v>
      </c>
      <c r="AB61" t="b">
        <v>0</v>
      </c>
      <c r="AC61" t="b">
        <v>0</v>
      </c>
      <c r="AD61" s="21" t="b">
        <v>0</v>
      </c>
      <c r="AE61" t="b">
        <v>0</v>
      </c>
      <c r="AF61" t="b">
        <v>0</v>
      </c>
      <c r="AG61" t="b">
        <v>1</v>
      </c>
    </row>
    <row r="62" spans="1:33" x14ac:dyDescent="0.3">
      <c r="A62" s="13">
        <f t="shared" si="3"/>
        <v>55</v>
      </c>
      <c r="B62" s="13" t="s">
        <v>230</v>
      </c>
      <c r="C62" s="17" t="s">
        <v>216</v>
      </c>
      <c r="D62" t="s">
        <v>240</v>
      </c>
      <c r="E62" s="17" t="s">
        <v>120</v>
      </c>
      <c r="F62" s="17" t="s">
        <v>122</v>
      </c>
      <c r="G62" s="17" t="str">
        <f t="shared" si="1"/>
        <v>2030</v>
      </c>
      <c r="H62" s="17" t="s">
        <v>239</v>
      </c>
      <c r="I62" s="17" t="str">
        <f t="shared" si="6"/>
        <v>2019</v>
      </c>
      <c r="J62" s="17" t="s">
        <v>87</v>
      </c>
      <c r="K62" s="17">
        <v>0</v>
      </c>
      <c r="L62" s="17">
        <v>0</v>
      </c>
      <c r="M62" s="17">
        <v>-1</v>
      </c>
      <c r="N62" s="17" t="s">
        <v>265</v>
      </c>
      <c r="O62" s="58">
        <v>0.02</v>
      </c>
      <c r="P62" s="17">
        <v>1</v>
      </c>
      <c r="Q62" s="17">
        <v>0</v>
      </c>
      <c r="R62" t="s">
        <v>221</v>
      </c>
      <c r="S62" t="s">
        <v>222</v>
      </c>
      <c r="T62" t="s">
        <v>267</v>
      </c>
      <c r="U62" s="20" t="b">
        <v>0</v>
      </c>
      <c r="V62" t="b">
        <v>1</v>
      </c>
      <c r="W62" t="b">
        <v>0</v>
      </c>
      <c r="X62" t="b">
        <v>0</v>
      </c>
      <c r="Y62" t="b">
        <v>1</v>
      </c>
      <c r="Z62" t="b">
        <v>0</v>
      </c>
      <c r="AA62" t="b">
        <v>0</v>
      </c>
      <c r="AB62" t="b">
        <v>0</v>
      </c>
      <c r="AC62" t="b">
        <v>0</v>
      </c>
      <c r="AD62" s="21" t="b">
        <v>0</v>
      </c>
      <c r="AE62" t="b">
        <v>0</v>
      </c>
      <c r="AF62" t="b">
        <v>0</v>
      </c>
      <c r="AG62" t="b">
        <v>1</v>
      </c>
    </row>
    <row r="63" spans="1:33" x14ac:dyDescent="0.3">
      <c r="A63" s="13">
        <f t="shared" si="3"/>
        <v>56</v>
      </c>
      <c r="B63" s="13" t="s">
        <v>230</v>
      </c>
      <c r="C63" s="17" t="s">
        <v>216</v>
      </c>
      <c r="D63" t="s">
        <v>240</v>
      </c>
      <c r="E63" s="17" t="s">
        <v>120</v>
      </c>
      <c r="F63" s="17" t="s">
        <v>122</v>
      </c>
      <c r="G63" s="17" t="str">
        <f t="shared" si="1"/>
        <v>2030</v>
      </c>
      <c r="H63" s="17" t="s">
        <v>239</v>
      </c>
      <c r="I63" s="17" t="str">
        <f t="shared" si="6"/>
        <v>2019</v>
      </c>
      <c r="J63" s="17" t="s">
        <v>87</v>
      </c>
      <c r="K63" s="17">
        <v>0</v>
      </c>
      <c r="L63" s="17">
        <v>0</v>
      </c>
      <c r="M63" s="17">
        <v>-1</v>
      </c>
      <c r="N63" s="17" t="s">
        <v>266</v>
      </c>
      <c r="O63" s="58">
        <v>0.02</v>
      </c>
      <c r="P63" s="17">
        <v>1</v>
      </c>
      <c r="Q63" s="17">
        <v>0</v>
      </c>
      <c r="R63" t="s">
        <v>221</v>
      </c>
      <c r="S63" t="s">
        <v>222</v>
      </c>
      <c r="T63" t="s">
        <v>267</v>
      </c>
      <c r="U63" s="20" t="b">
        <v>0</v>
      </c>
      <c r="V63" t="b">
        <v>1</v>
      </c>
      <c r="W63" t="b">
        <v>0</v>
      </c>
      <c r="X63" t="b">
        <v>0</v>
      </c>
      <c r="Y63" t="b">
        <v>1</v>
      </c>
      <c r="Z63" t="b">
        <v>0</v>
      </c>
      <c r="AA63" t="b">
        <v>0</v>
      </c>
      <c r="AB63" t="b">
        <v>0</v>
      </c>
      <c r="AC63" t="b">
        <v>0</v>
      </c>
      <c r="AD63" s="21" t="b">
        <v>0</v>
      </c>
      <c r="AE63" t="b">
        <v>0</v>
      </c>
      <c r="AF63" t="b">
        <v>0</v>
      </c>
      <c r="AG63" t="b">
        <v>1</v>
      </c>
    </row>
    <row r="64" spans="1:33" x14ac:dyDescent="0.3">
      <c r="A64" s="13">
        <f t="shared" si="3"/>
        <v>57</v>
      </c>
      <c r="B64" s="13" t="s">
        <v>230</v>
      </c>
      <c r="C64" s="17" t="s">
        <v>216</v>
      </c>
      <c r="D64" t="s">
        <v>240</v>
      </c>
      <c r="E64" s="17" t="s">
        <v>120</v>
      </c>
      <c r="F64" s="17" t="s">
        <v>122</v>
      </c>
      <c r="G64" s="17" t="str">
        <f t="shared" si="1"/>
        <v>2030</v>
      </c>
      <c r="H64" s="17" t="s">
        <v>239</v>
      </c>
      <c r="I64" s="17" t="str">
        <f t="shared" si="6"/>
        <v>2019</v>
      </c>
      <c r="J64" s="17" t="s">
        <v>87</v>
      </c>
      <c r="K64" s="17">
        <v>0</v>
      </c>
      <c r="L64" s="17">
        <v>0</v>
      </c>
      <c r="M64" s="17">
        <v>-1</v>
      </c>
      <c r="N64" s="17" t="s">
        <v>264</v>
      </c>
      <c r="O64" s="58">
        <v>0.04</v>
      </c>
      <c r="P64" s="17">
        <v>1</v>
      </c>
      <c r="Q64" s="17">
        <v>0</v>
      </c>
      <c r="R64" t="s">
        <v>221</v>
      </c>
      <c r="S64" t="s">
        <v>222</v>
      </c>
      <c r="T64" t="s">
        <v>267</v>
      </c>
      <c r="U64" s="20" t="b">
        <v>0</v>
      </c>
      <c r="V64" t="b">
        <v>1</v>
      </c>
      <c r="W64" t="b">
        <v>0</v>
      </c>
      <c r="X64" t="b">
        <v>0</v>
      </c>
      <c r="Y64" t="b">
        <v>1</v>
      </c>
      <c r="Z64" t="b">
        <v>0</v>
      </c>
      <c r="AA64" t="b">
        <v>0</v>
      </c>
      <c r="AB64" t="b">
        <v>0</v>
      </c>
      <c r="AC64" t="b">
        <v>0</v>
      </c>
      <c r="AD64" s="21" t="b">
        <v>0</v>
      </c>
      <c r="AE64" t="b">
        <v>0</v>
      </c>
      <c r="AF64" t="b">
        <v>0</v>
      </c>
      <c r="AG64" t="b">
        <v>1</v>
      </c>
    </row>
    <row r="65" spans="1:33" x14ac:dyDescent="0.3">
      <c r="A65" s="13">
        <f t="shared" si="3"/>
        <v>58</v>
      </c>
      <c r="B65" s="13" t="s">
        <v>230</v>
      </c>
      <c r="C65" s="17" t="s">
        <v>216</v>
      </c>
      <c r="D65" t="s">
        <v>240</v>
      </c>
      <c r="E65" s="17" t="s">
        <v>120</v>
      </c>
      <c r="F65" s="17" t="s">
        <v>122</v>
      </c>
      <c r="G65" s="17" t="str">
        <f t="shared" si="1"/>
        <v>2030</v>
      </c>
      <c r="H65" s="17" t="s">
        <v>239</v>
      </c>
      <c r="I65" s="17" t="str">
        <f t="shared" si="6"/>
        <v>2019</v>
      </c>
      <c r="J65" s="17" t="s">
        <v>87</v>
      </c>
      <c r="K65" s="17">
        <v>0</v>
      </c>
      <c r="L65" s="17">
        <v>0</v>
      </c>
      <c r="M65" s="17">
        <v>-1</v>
      </c>
      <c r="N65" s="17" t="s">
        <v>262</v>
      </c>
      <c r="O65" s="58">
        <v>0.04</v>
      </c>
      <c r="P65" s="17">
        <v>1</v>
      </c>
      <c r="Q65" s="17">
        <v>0</v>
      </c>
      <c r="R65" t="s">
        <v>221</v>
      </c>
      <c r="S65" t="s">
        <v>222</v>
      </c>
      <c r="T65" t="s">
        <v>267</v>
      </c>
      <c r="U65" s="20" t="b">
        <v>0</v>
      </c>
      <c r="V65" t="b">
        <v>1</v>
      </c>
      <c r="W65" t="b">
        <v>0</v>
      </c>
      <c r="X65" t="b">
        <v>0</v>
      </c>
      <c r="Y65" t="b">
        <v>1</v>
      </c>
      <c r="Z65" t="b">
        <v>0</v>
      </c>
      <c r="AA65" t="b">
        <v>0</v>
      </c>
      <c r="AB65" t="b">
        <v>0</v>
      </c>
      <c r="AC65" t="b">
        <v>0</v>
      </c>
      <c r="AD65" s="21" t="b">
        <v>0</v>
      </c>
      <c r="AE65" t="b">
        <v>0</v>
      </c>
      <c r="AF65" t="b">
        <v>0</v>
      </c>
      <c r="AG65" t="b">
        <v>1</v>
      </c>
    </row>
    <row r="66" spans="1:33" x14ac:dyDescent="0.3">
      <c r="A66" s="13">
        <f t="shared" si="3"/>
        <v>59</v>
      </c>
      <c r="B66" s="13" t="s">
        <v>230</v>
      </c>
      <c r="C66" s="17" t="s">
        <v>216</v>
      </c>
      <c r="D66" t="s">
        <v>240</v>
      </c>
      <c r="E66" s="17" t="s">
        <v>120</v>
      </c>
      <c r="F66" s="17" t="s">
        <v>122</v>
      </c>
      <c r="G66" s="17" t="str">
        <f t="shared" si="1"/>
        <v>2030</v>
      </c>
      <c r="H66" s="17" t="s">
        <v>239</v>
      </c>
      <c r="I66" s="17" t="str">
        <f t="shared" si="6"/>
        <v>2019</v>
      </c>
      <c r="J66" s="17" t="s">
        <v>87</v>
      </c>
      <c r="K66" s="17">
        <v>0</v>
      </c>
      <c r="L66" s="17">
        <v>0</v>
      </c>
      <c r="M66" s="17">
        <v>-1</v>
      </c>
      <c r="N66" s="17" t="s">
        <v>265</v>
      </c>
      <c r="O66" s="58">
        <v>0.04</v>
      </c>
      <c r="P66" s="17">
        <v>1</v>
      </c>
      <c r="Q66" s="17">
        <v>0</v>
      </c>
      <c r="R66" t="s">
        <v>221</v>
      </c>
      <c r="S66" t="s">
        <v>222</v>
      </c>
      <c r="T66" t="s">
        <v>267</v>
      </c>
      <c r="U66" s="20" t="b">
        <v>0</v>
      </c>
      <c r="V66" t="b">
        <v>1</v>
      </c>
      <c r="W66" t="b">
        <v>0</v>
      </c>
      <c r="X66" t="b">
        <v>0</v>
      </c>
      <c r="Y66" t="b">
        <v>1</v>
      </c>
      <c r="Z66" t="b">
        <v>0</v>
      </c>
      <c r="AA66" t="b">
        <v>0</v>
      </c>
      <c r="AB66" t="b">
        <v>0</v>
      </c>
      <c r="AC66" t="b">
        <v>0</v>
      </c>
      <c r="AD66" s="21" t="b">
        <v>0</v>
      </c>
      <c r="AE66" t="b">
        <v>0</v>
      </c>
      <c r="AF66" t="b">
        <v>0</v>
      </c>
      <c r="AG66" t="b">
        <v>1</v>
      </c>
    </row>
    <row r="67" spans="1:33" x14ac:dyDescent="0.3">
      <c r="A67" s="13">
        <f t="shared" si="3"/>
        <v>60</v>
      </c>
      <c r="B67" s="13" t="s">
        <v>230</v>
      </c>
      <c r="C67" s="17" t="s">
        <v>216</v>
      </c>
      <c r="D67" t="s">
        <v>240</v>
      </c>
      <c r="E67" s="17" t="s">
        <v>120</v>
      </c>
      <c r="F67" s="17" t="s">
        <v>122</v>
      </c>
      <c r="G67" s="17" t="str">
        <f t="shared" si="1"/>
        <v>2030</v>
      </c>
      <c r="H67" s="17" t="s">
        <v>239</v>
      </c>
      <c r="I67" s="17" t="str">
        <f t="shared" si="6"/>
        <v>2019</v>
      </c>
      <c r="J67" s="17" t="s">
        <v>87</v>
      </c>
      <c r="K67" s="17">
        <v>0</v>
      </c>
      <c r="L67" s="17">
        <v>0</v>
      </c>
      <c r="M67" s="17">
        <v>-1</v>
      </c>
      <c r="N67" s="17" t="s">
        <v>266</v>
      </c>
      <c r="O67" s="58">
        <v>0.04</v>
      </c>
      <c r="P67" s="17">
        <v>1</v>
      </c>
      <c r="Q67" s="17">
        <v>0</v>
      </c>
      <c r="R67" t="s">
        <v>221</v>
      </c>
      <c r="S67" t="s">
        <v>222</v>
      </c>
      <c r="T67" t="s">
        <v>267</v>
      </c>
      <c r="U67" s="20" t="b">
        <v>0</v>
      </c>
      <c r="V67" t="b">
        <v>1</v>
      </c>
      <c r="W67" t="b">
        <v>0</v>
      </c>
      <c r="X67" t="b">
        <v>0</v>
      </c>
      <c r="Y67" t="b">
        <v>1</v>
      </c>
      <c r="Z67" t="b">
        <v>0</v>
      </c>
      <c r="AA67" t="b">
        <v>0</v>
      </c>
      <c r="AB67" t="b">
        <v>0</v>
      </c>
      <c r="AC67" t="b">
        <v>0</v>
      </c>
      <c r="AD67" s="21" t="b">
        <v>0</v>
      </c>
      <c r="AE67" t="b">
        <v>0</v>
      </c>
      <c r="AF67" t="b">
        <v>0</v>
      </c>
      <c r="AG67" t="b">
        <v>1</v>
      </c>
    </row>
    <row r="68" spans="1:33" x14ac:dyDescent="0.3">
      <c r="A68" s="13">
        <f t="shared" si="3"/>
        <v>61</v>
      </c>
      <c r="B68" s="13" t="s">
        <v>230</v>
      </c>
      <c r="C68" s="17" t="s">
        <v>216</v>
      </c>
      <c r="D68" t="s">
        <v>258</v>
      </c>
      <c r="E68" s="17" t="s">
        <v>120</v>
      </c>
      <c r="F68" s="17" t="s">
        <v>122</v>
      </c>
      <c r="G68" s="17" t="str">
        <f t="shared" si="1"/>
        <v>2030</v>
      </c>
      <c r="H68" s="17" t="s">
        <v>239</v>
      </c>
      <c r="I68" s="17" t="str">
        <f t="shared" si="6"/>
        <v>2019</v>
      </c>
      <c r="J68" s="17" t="s">
        <v>87</v>
      </c>
      <c r="K68" s="17">
        <v>0</v>
      </c>
      <c r="L68" s="17">
        <v>0</v>
      </c>
      <c r="M68" s="17">
        <v>-1</v>
      </c>
      <c r="N68" s="17" t="s">
        <v>264</v>
      </c>
      <c r="O68" s="58">
        <v>-1</v>
      </c>
      <c r="P68" s="17">
        <v>1</v>
      </c>
      <c r="Q68" s="17">
        <v>0</v>
      </c>
      <c r="R68" t="s">
        <v>221</v>
      </c>
      <c r="S68" t="s">
        <v>222</v>
      </c>
      <c r="T68" t="s">
        <v>267</v>
      </c>
      <c r="U68" s="20" t="b">
        <v>0</v>
      </c>
      <c r="V68" t="b">
        <v>1</v>
      </c>
      <c r="W68" t="b">
        <v>0</v>
      </c>
      <c r="X68" t="b">
        <v>0</v>
      </c>
      <c r="Y68" t="b">
        <v>1</v>
      </c>
      <c r="Z68" t="b">
        <v>0</v>
      </c>
      <c r="AA68" t="b">
        <v>0</v>
      </c>
      <c r="AB68" t="b">
        <v>0</v>
      </c>
      <c r="AC68" t="b">
        <v>0</v>
      </c>
      <c r="AD68" s="21" t="b">
        <v>0</v>
      </c>
      <c r="AE68" t="b">
        <v>0</v>
      </c>
      <c r="AF68" t="b">
        <v>0</v>
      </c>
      <c r="AG68" t="b">
        <v>1</v>
      </c>
    </row>
    <row r="69" spans="1:33" x14ac:dyDescent="0.3">
      <c r="A69" s="13">
        <f t="shared" si="3"/>
        <v>62</v>
      </c>
      <c r="B69" s="13" t="s">
        <v>230</v>
      </c>
      <c r="C69" s="17" t="s">
        <v>216</v>
      </c>
      <c r="D69" t="s">
        <v>258</v>
      </c>
      <c r="E69" s="17" t="s">
        <v>120</v>
      </c>
      <c r="F69" s="17" t="s">
        <v>122</v>
      </c>
      <c r="G69" s="17" t="str">
        <f t="shared" si="1"/>
        <v>2030</v>
      </c>
      <c r="H69" s="17" t="s">
        <v>239</v>
      </c>
      <c r="I69" s="17" t="str">
        <f t="shared" si="6"/>
        <v>2019</v>
      </c>
      <c r="J69" s="17" t="s">
        <v>87</v>
      </c>
      <c r="K69" s="17">
        <v>0</v>
      </c>
      <c r="L69" s="17">
        <v>0</v>
      </c>
      <c r="M69" s="17">
        <v>-1</v>
      </c>
      <c r="N69" s="17" t="s">
        <v>262</v>
      </c>
      <c r="O69" s="58">
        <v>-1</v>
      </c>
      <c r="P69" s="17">
        <v>1</v>
      </c>
      <c r="Q69" s="17">
        <v>0</v>
      </c>
      <c r="R69" t="s">
        <v>221</v>
      </c>
      <c r="S69" t="s">
        <v>222</v>
      </c>
      <c r="T69" t="s">
        <v>267</v>
      </c>
      <c r="U69" s="20" t="b">
        <v>0</v>
      </c>
      <c r="V69" t="b">
        <v>1</v>
      </c>
      <c r="W69" t="b">
        <v>0</v>
      </c>
      <c r="X69" t="b">
        <v>0</v>
      </c>
      <c r="Y69" t="b">
        <v>1</v>
      </c>
      <c r="Z69" t="b">
        <v>0</v>
      </c>
      <c r="AA69" t="b">
        <v>0</v>
      </c>
      <c r="AB69" t="b">
        <v>0</v>
      </c>
      <c r="AC69" t="b">
        <v>0</v>
      </c>
      <c r="AD69" s="21" t="b">
        <v>0</v>
      </c>
      <c r="AE69" t="b">
        <v>0</v>
      </c>
      <c r="AF69" t="b">
        <v>0</v>
      </c>
      <c r="AG69" t="b">
        <v>1</v>
      </c>
    </row>
    <row r="70" spans="1:33" x14ac:dyDescent="0.3">
      <c r="A70" s="13">
        <f t="shared" si="3"/>
        <v>63</v>
      </c>
      <c r="B70" s="13" t="s">
        <v>230</v>
      </c>
      <c r="C70" s="17" t="s">
        <v>216</v>
      </c>
      <c r="D70" t="s">
        <v>258</v>
      </c>
      <c r="E70" s="17" t="s">
        <v>120</v>
      </c>
      <c r="F70" s="17" t="s">
        <v>122</v>
      </c>
      <c r="G70" s="17" t="str">
        <f t="shared" si="1"/>
        <v>2030</v>
      </c>
      <c r="H70" s="17" t="s">
        <v>239</v>
      </c>
      <c r="I70" s="17" t="str">
        <f t="shared" si="6"/>
        <v>2019</v>
      </c>
      <c r="J70" s="17" t="s">
        <v>87</v>
      </c>
      <c r="K70" s="17">
        <v>0</v>
      </c>
      <c r="L70" s="17">
        <v>0</v>
      </c>
      <c r="M70" s="17">
        <v>-1</v>
      </c>
      <c r="N70" s="17" t="s">
        <v>265</v>
      </c>
      <c r="O70" s="58">
        <v>-1</v>
      </c>
      <c r="P70" s="17">
        <v>1</v>
      </c>
      <c r="Q70" s="17">
        <v>0</v>
      </c>
      <c r="R70" t="s">
        <v>221</v>
      </c>
      <c r="S70" t="s">
        <v>222</v>
      </c>
      <c r="T70" t="s">
        <v>267</v>
      </c>
      <c r="U70" s="20" t="b">
        <v>0</v>
      </c>
      <c r="V70" t="b">
        <v>1</v>
      </c>
      <c r="W70" t="b">
        <v>0</v>
      </c>
      <c r="X70" t="b">
        <v>0</v>
      </c>
      <c r="Y70" t="b">
        <v>1</v>
      </c>
      <c r="Z70" t="b">
        <v>0</v>
      </c>
      <c r="AA70" t="b">
        <v>0</v>
      </c>
      <c r="AB70" t="b">
        <v>0</v>
      </c>
      <c r="AC70" t="b">
        <v>0</v>
      </c>
      <c r="AD70" s="21" t="b">
        <v>0</v>
      </c>
      <c r="AE70" t="b">
        <v>0</v>
      </c>
      <c r="AF70" t="b">
        <v>0</v>
      </c>
      <c r="AG70" t="b">
        <v>1</v>
      </c>
    </row>
    <row r="71" spans="1:33" x14ac:dyDescent="0.3">
      <c r="A71" s="13">
        <f t="shared" si="3"/>
        <v>64</v>
      </c>
      <c r="B71" s="13" t="s">
        <v>230</v>
      </c>
      <c r="C71" s="17" t="s">
        <v>216</v>
      </c>
      <c r="D71" t="s">
        <v>258</v>
      </c>
      <c r="E71" s="17" t="s">
        <v>120</v>
      </c>
      <c r="F71" s="17" t="s">
        <v>122</v>
      </c>
      <c r="G71" s="17" t="str">
        <f t="shared" si="1"/>
        <v>2030</v>
      </c>
      <c r="H71" s="17" t="s">
        <v>239</v>
      </c>
      <c r="I71" s="17" t="str">
        <f t="shared" si="6"/>
        <v>2019</v>
      </c>
      <c r="J71" s="17" t="s">
        <v>87</v>
      </c>
      <c r="K71" s="17">
        <v>0</v>
      </c>
      <c r="L71" s="17">
        <v>0</v>
      </c>
      <c r="M71" s="17">
        <v>-1</v>
      </c>
      <c r="N71" s="17" t="s">
        <v>266</v>
      </c>
      <c r="O71" s="58">
        <v>-1</v>
      </c>
      <c r="P71" s="17">
        <v>1</v>
      </c>
      <c r="Q71" s="17">
        <v>0</v>
      </c>
      <c r="R71" t="s">
        <v>221</v>
      </c>
      <c r="S71" t="s">
        <v>222</v>
      </c>
      <c r="T71" t="s">
        <v>267</v>
      </c>
      <c r="U71" s="20" t="b">
        <v>0</v>
      </c>
      <c r="V71" t="b">
        <v>1</v>
      </c>
      <c r="W71" t="b">
        <v>0</v>
      </c>
      <c r="X71" t="b">
        <v>0</v>
      </c>
      <c r="Y71" t="b">
        <v>1</v>
      </c>
      <c r="Z71" t="b">
        <v>0</v>
      </c>
      <c r="AA71" t="b">
        <v>0</v>
      </c>
      <c r="AB71" t="b">
        <v>0</v>
      </c>
      <c r="AC71" t="b">
        <v>0</v>
      </c>
      <c r="AD71" s="21" t="b">
        <v>0</v>
      </c>
      <c r="AE71" t="b">
        <v>0</v>
      </c>
      <c r="AF71" t="b">
        <v>0</v>
      </c>
      <c r="AG71" t="b">
        <v>1</v>
      </c>
    </row>
    <row r="72" spans="1:33" x14ac:dyDescent="0.3">
      <c r="A72" s="13">
        <f t="shared" si="3"/>
        <v>65</v>
      </c>
      <c r="B72" s="13" t="s">
        <v>230</v>
      </c>
      <c r="C72" s="17" t="s">
        <v>216</v>
      </c>
      <c r="D72" t="s">
        <v>258</v>
      </c>
      <c r="E72" s="17" t="s">
        <v>120</v>
      </c>
      <c r="F72" s="17" t="s">
        <v>122</v>
      </c>
      <c r="G72" s="17" t="str">
        <f t="shared" si="1"/>
        <v>2030</v>
      </c>
      <c r="H72" s="17" t="s">
        <v>239</v>
      </c>
      <c r="I72" s="17" t="str">
        <f t="shared" si="6"/>
        <v>2019</v>
      </c>
      <c r="J72" s="17" t="s">
        <v>87</v>
      </c>
      <c r="K72" s="17">
        <v>0</v>
      </c>
      <c r="L72" s="17">
        <v>0</v>
      </c>
      <c r="M72" s="17">
        <v>-1</v>
      </c>
      <c r="N72" s="17" t="s">
        <v>264</v>
      </c>
      <c r="O72" s="58">
        <v>0.02</v>
      </c>
      <c r="P72" s="17">
        <v>1</v>
      </c>
      <c r="Q72" s="17">
        <v>0</v>
      </c>
      <c r="R72" t="s">
        <v>221</v>
      </c>
      <c r="S72" t="s">
        <v>222</v>
      </c>
      <c r="T72" t="s">
        <v>267</v>
      </c>
      <c r="U72" s="20" t="b">
        <v>0</v>
      </c>
      <c r="V72" t="b">
        <v>1</v>
      </c>
      <c r="W72" t="b">
        <v>0</v>
      </c>
      <c r="X72" t="b">
        <v>0</v>
      </c>
      <c r="Y72" t="b">
        <v>1</v>
      </c>
      <c r="Z72" t="b">
        <v>0</v>
      </c>
      <c r="AA72" t="b">
        <v>0</v>
      </c>
      <c r="AB72" t="b">
        <v>0</v>
      </c>
      <c r="AC72" t="b">
        <v>0</v>
      </c>
      <c r="AD72" s="21" t="b">
        <v>0</v>
      </c>
      <c r="AE72" t="b">
        <v>0</v>
      </c>
      <c r="AF72" t="b">
        <v>0</v>
      </c>
      <c r="AG72" t="b">
        <v>1</v>
      </c>
    </row>
    <row r="73" spans="1:33" x14ac:dyDescent="0.3">
      <c r="A73" s="13">
        <f t="shared" si="3"/>
        <v>66</v>
      </c>
      <c r="B73" s="13" t="s">
        <v>230</v>
      </c>
      <c r="C73" s="17" t="s">
        <v>216</v>
      </c>
      <c r="D73" t="s">
        <v>258</v>
      </c>
      <c r="E73" s="17" t="s">
        <v>120</v>
      </c>
      <c r="F73" s="17" t="s">
        <v>122</v>
      </c>
      <c r="G73" s="17" t="str">
        <f t="shared" si="1"/>
        <v>2030</v>
      </c>
      <c r="H73" s="17" t="s">
        <v>239</v>
      </c>
      <c r="I73" s="17" t="str">
        <f t="shared" si="6"/>
        <v>2019</v>
      </c>
      <c r="J73" s="17" t="s">
        <v>87</v>
      </c>
      <c r="K73" s="17">
        <v>0</v>
      </c>
      <c r="L73" s="17">
        <v>0</v>
      </c>
      <c r="M73" s="17">
        <v>-1</v>
      </c>
      <c r="N73" s="17" t="s">
        <v>262</v>
      </c>
      <c r="O73" s="58">
        <v>0.02</v>
      </c>
      <c r="P73" s="17">
        <v>1</v>
      </c>
      <c r="Q73" s="17">
        <v>0</v>
      </c>
      <c r="R73" t="s">
        <v>221</v>
      </c>
      <c r="S73" t="s">
        <v>222</v>
      </c>
      <c r="T73" t="s">
        <v>267</v>
      </c>
      <c r="U73" s="20" t="b">
        <v>0</v>
      </c>
      <c r="V73" t="b">
        <v>1</v>
      </c>
      <c r="W73" t="b">
        <v>0</v>
      </c>
      <c r="X73" t="b">
        <v>0</v>
      </c>
      <c r="Y73" t="b">
        <v>1</v>
      </c>
      <c r="Z73" t="b">
        <v>0</v>
      </c>
      <c r="AA73" t="b">
        <v>0</v>
      </c>
      <c r="AB73" t="b">
        <v>0</v>
      </c>
      <c r="AC73" t="b">
        <v>0</v>
      </c>
      <c r="AD73" s="21" t="b">
        <v>0</v>
      </c>
      <c r="AE73" t="b">
        <v>0</v>
      </c>
      <c r="AF73" t="b">
        <v>0</v>
      </c>
      <c r="AG73" t="b">
        <v>1</v>
      </c>
    </row>
    <row r="74" spans="1:33" x14ac:dyDescent="0.3">
      <c r="A74" s="13">
        <f t="shared" si="3"/>
        <v>67</v>
      </c>
      <c r="B74" s="13" t="s">
        <v>230</v>
      </c>
      <c r="C74" s="17" t="s">
        <v>216</v>
      </c>
      <c r="D74" t="s">
        <v>258</v>
      </c>
      <c r="E74" s="17" t="s">
        <v>120</v>
      </c>
      <c r="F74" s="17" t="s">
        <v>122</v>
      </c>
      <c r="G74" s="17" t="str">
        <f t="shared" si="1"/>
        <v>2030</v>
      </c>
      <c r="H74" s="17" t="s">
        <v>239</v>
      </c>
      <c r="I74" s="17" t="str">
        <f t="shared" si="6"/>
        <v>2019</v>
      </c>
      <c r="J74" s="17" t="s">
        <v>87</v>
      </c>
      <c r="K74" s="17">
        <v>0</v>
      </c>
      <c r="L74" s="17">
        <v>0</v>
      </c>
      <c r="M74" s="17">
        <v>-1</v>
      </c>
      <c r="N74" s="17" t="s">
        <v>265</v>
      </c>
      <c r="O74" s="58">
        <v>0.02</v>
      </c>
      <c r="P74" s="17">
        <v>1</v>
      </c>
      <c r="Q74" s="17">
        <v>0</v>
      </c>
      <c r="R74" t="s">
        <v>221</v>
      </c>
      <c r="S74" t="s">
        <v>222</v>
      </c>
      <c r="T74" t="s">
        <v>267</v>
      </c>
      <c r="U74" s="20" t="b">
        <v>0</v>
      </c>
      <c r="V74" t="b">
        <v>1</v>
      </c>
      <c r="W74" t="b">
        <v>0</v>
      </c>
      <c r="X74" t="b">
        <v>0</v>
      </c>
      <c r="Y74" t="b">
        <v>1</v>
      </c>
      <c r="Z74" t="b">
        <v>0</v>
      </c>
      <c r="AA74" t="b">
        <v>0</v>
      </c>
      <c r="AB74" t="b">
        <v>0</v>
      </c>
      <c r="AC74" t="b">
        <v>0</v>
      </c>
      <c r="AD74" s="21" t="b">
        <v>0</v>
      </c>
      <c r="AE74" t="b">
        <v>0</v>
      </c>
      <c r="AF74" t="b">
        <v>0</v>
      </c>
      <c r="AG74" t="b">
        <v>1</v>
      </c>
    </row>
    <row r="75" spans="1:33" x14ac:dyDescent="0.3">
      <c r="A75" s="13">
        <f t="shared" si="3"/>
        <v>68</v>
      </c>
      <c r="B75" s="13" t="s">
        <v>230</v>
      </c>
      <c r="C75" s="17" t="s">
        <v>216</v>
      </c>
      <c r="D75" t="s">
        <v>258</v>
      </c>
      <c r="E75" s="17" t="s">
        <v>120</v>
      </c>
      <c r="F75" s="17" t="s">
        <v>122</v>
      </c>
      <c r="G75" s="17" t="str">
        <f t="shared" si="1"/>
        <v>2030</v>
      </c>
      <c r="H75" s="17" t="s">
        <v>239</v>
      </c>
      <c r="I75" s="17" t="str">
        <f t="shared" si="6"/>
        <v>2019</v>
      </c>
      <c r="J75" s="17" t="s">
        <v>87</v>
      </c>
      <c r="K75" s="17">
        <v>0</v>
      </c>
      <c r="L75" s="17">
        <v>0</v>
      </c>
      <c r="M75" s="17">
        <v>-1</v>
      </c>
      <c r="N75" s="17" t="s">
        <v>266</v>
      </c>
      <c r="O75" s="58">
        <v>0.02</v>
      </c>
      <c r="P75" s="17">
        <v>1</v>
      </c>
      <c r="Q75" s="17">
        <v>0</v>
      </c>
      <c r="R75" t="s">
        <v>221</v>
      </c>
      <c r="S75" t="s">
        <v>222</v>
      </c>
      <c r="T75" t="s">
        <v>267</v>
      </c>
      <c r="U75" s="20" t="b">
        <v>0</v>
      </c>
      <c r="V75" t="b">
        <v>1</v>
      </c>
      <c r="W75" t="b">
        <v>0</v>
      </c>
      <c r="X75" t="b">
        <v>0</v>
      </c>
      <c r="Y75" t="b">
        <v>1</v>
      </c>
      <c r="Z75" t="b">
        <v>0</v>
      </c>
      <c r="AA75" t="b">
        <v>0</v>
      </c>
      <c r="AB75" t="b">
        <v>0</v>
      </c>
      <c r="AC75" t="b">
        <v>0</v>
      </c>
      <c r="AD75" s="21" t="b">
        <v>0</v>
      </c>
      <c r="AE75" t="b">
        <v>0</v>
      </c>
      <c r="AF75" t="b">
        <v>0</v>
      </c>
      <c r="AG75" t="b">
        <v>1</v>
      </c>
    </row>
    <row r="76" spans="1:33" x14ac:dyDescent="0.3">
      <c r="A76" s="13">
        <f t="shared" si="3"/>
        <v>69</v>
      </c>
      <c r="B76" s="13" t="s">
        <v>230</v>
      </c>
      <c r="C76" s="17" t="s">
        <v>216</v>
      </c>
      <c r="D76" t="s">
        <v>258</v>
      </c>
      <c r="E76" s="17" t="s">
        <v>120</v>
      </c>
      <c r="F76" s="17" t="s">
        <v>122</v>
      </c>
      <c r="G76" s="17" t="str">
        <f t="shared" si="1"/>
        <v>2030</v>
      </c>
      <c r="H76" s="17" t="s">
        <v>239</v>
      </c>
      <c r="I76" s="17" t="str">
        <f t="shared" si="6"/>
        <v>2019</v>
      </c>
      <c r="J76" s="17" t="s">
        <v>87</v>
      </c>
      <c r="K76" s="17">
        <v>0</v>
      </c>
      <c r="L76" s="17">
        <v>0</v>
      </c>
      <c r="M76" s="17">
        <v>-1</v>
      </c>
      <c r="N76" s="17" t="s">
        <v>264</v>
      </c>
      <c r="O76" s="58">
        <v>0.04</v>
      </c>
      <c r="P76" s="17">
        <v>1</v>
      </c>
      <c r="Q76" s="17">
        <v>0</v>
      </c>
      <c r="R76" t="s">
        <v>221</v>
      </c>
      <c r="S76" t="s">
        <v>222</v>
      </c>
      <c r="T76" t="s">
        <v>267</v>
      </c>
      <c r="U76" s="20" t="b">
        <v>0</v>
      </c>
      <c r="V76" t="b">
        <v>1</v>
      </c>
      <c r="W76" t="b">
        <v>0</v>
      </c>
      <c r="X76" t="b">
        <v>0</v>
      </c>
      <c r="Y76" t="b">
        <v>1</v>
      </c>
      <c r="Z76" t="b">
        <v>0</v>
      </c>
      <c r="AA76" t="b">
        <v>0</v>
      </c>
      <c r="AB76" t="b">
        <v>0</v>
      </c>
      <c r="AC76" t="b">
        <v>0</v>
      </c>
      <c r="AD76" s="21" t="b">
        <v>0</v>
      </c>
      <c r="AE76" t="b">
        <v>0</v>
      </c>
      <c r="AF76" t="b">
        <v>0</v>
      </c>
      <c r="AG76" t="b">
        <v>1</v>
      </c>
    </row>
    <row r="77" spans="1:33" x14ac:dyDescent="0.3">
      <c r="A77" s="13">
        <f t="shared" si="3"/>
        <v>70</v>
      </c>
      <c r="B77" s="13" t="s">
        <v>230</v>
      </c>
      <c r="C77" s="17" t="s">
        <v>216</v>
      </c>
      <c r="D77" t="s">
        <v>258</v>
      </c>
      <c r="E77" s="17" t="s">
        <v>120</v>
      </c>
      <c r="F77" s="17" t="s">
        <v>122</v>
      </c>
      <c r="G77" s="17" t="str">
        <f t="shared" si="1"/>
        <v>2030</v>
      </c>
      <c r="H77" s="17" t="s">
        <v>239</v>
      </c>
      <c r="I77" s="17" t="str">
        <f t="shared" si="6"/>
        <v>2019</v>
      </c>
      <c r="J77" s="17" t="s">
        <v>87</v>
      </c>
      <c r="K77" s="17">
        <v>0</v>
      </c>
      <c r="L77" s="17">
        <v>0</v>
      </c>
      <c r="M77" s="17">
        <v>-1</v>
      </c>
      <c r="N77" s="17" t="s">
        <v>262</v>
      </c>
      <c r="O77" s="58">
        <v>0.04</v>
      </c>
      <c r="P77" s="17">
        <v>1</v>
      </c>
      <c r="Q77" s="17">
        <v>0</v>
      </c>
      <c r="R77" t="s">
        <v>221</v>
      </c>
      <c r="S77" t="s">
        <v>222</v>
      </c>
      <c r="T77" t="s">
        <v>267</v>
      </c>
      <c r="U77" s="20" t="b">
        <v>0</v>
      </c>
      <c r="V77" t="b">
        <v>1</v>
      </c>
      <c r="W77" t="b">
        <v>0</v>
      </c>
      <c r="X77" t="b">
        <v>0</v>
      </c>
      <c r="Y77" t="b">
        <v>1</v>
      </c>
      <c r="Z77" t="b">
        <v>0</v>
      </c>
      <c r="AA77" t="b">
        <v>0</v>
      </c>
      <c r="AB77" t="b">
        <v>0</v>
      </c>
      <c r="AC77" t="b">
        <v>0</v>
      </c>
      <c r="AD77" s="21" t="b">
        <v>0</v>
      </c>
      <c r="AE77" t="b">
        <v>0</v>
      </c>
      <c r="AF77" t="b">
        <v>0</v>
      </c>
      <c r="AG77" t="b">
        <v>1</v>
      </c>
    </row>
    <row r="78" spans="1:33" x14ac:dyDescent="0.3">
      <c r="A78" s="13">
        <f t="shared" si="3"/>
        <v>71</v>
      </c>
      <c r="B78" s="13" t="s">
        <v>230</v>
      </c>
      <c r="C78" s="17" t="s">
        <v>216</v>
      </c>
      <c r="D78" t="s">
        <v>258</v>
      </c>
      <c r="E78" s="17" t="s">
        <v>120</v>
      </c>
      <c r="F78" s="17" t="s">
        <v>122</v>
      </c>
      <c r="G78" s="17" t="str">
        <f t="shared" si="1"/>
        <v>2030</v>
      </c>
      <c r="H78" s="17" t="s">
        <v>239</v>
      </c>
      <c r="I78" s="17" t="str">
        <f t="shared" si="6"/>
        <v>2019</v>
      </c>
      <c r="J78" s="17" t="s">
        <v>87</v>
      </c>
      <c r="K78" s="17">
        <v>0</v>
      </c>
      <c r="L78" s="17">
        <v>0</v>
      </c>
      <c r="M78" s="17">
        <v>-1</v>
      </c>
      <c r="N78" s="17" t="s">
        <v>265</v>
      </c>
      <c r="O78" s="58">
        <v>0.04</v>
      </c>
      <c r="P78" s="17">
        <v>1</v>
      </c>
      <c r="Q78" s="17">
        <v>0</v>
      </c>
      <c r="R78" t="s">
        <v>221</v>
      </c>
      <c r="S78" t="s">
        <v>222</v>
      </c>
      <c r="T78" t="s">
        <v>267</v>
      </c>
      <c r="U78" s="20" t="b">
        <v>0</v>
      </c>
      <c r="V78" t="b">
        <v>1</v>
      </c>
      <c r="W78" t="b">
        <v>0</v>
      </c>
      <c r="X78" t="b">
        <v>0</v>
      </c>
      <c r="Y78" t="b">
        <v>1</v>
      </c>
      <c r="Z78" t="b">
        <v>0</v>
      </c>
      <c r="AA78" t="b">
        <v>0</v>
      </c>
      <c r="AB78" t="b">
        <v>0</v>
      </c>
      <c r="AC78" t="b">
        <v>0</v>
      </c>
      <c r="AD78" s="21" t="b">
        <v>0</v>
      </c>
      <c r="AE78" t="b">
        <v>0</v>
      </c>
      <c r="AF78" t="b">
        <v>0</v>
      </c>
      <c r="AG78" t="b">
        <v>1</v>
      </c>
    </row>
    <row r="79" spans="1:33" x14ac:dyDescent="0.3">
      <c r="A79" s="13">
        <f t="shared" si="3"/>
        <v>72</v>
      </c>
      <c r="B79" s="13" t="s">
        <v>230</v>
      </c>
      <c r="C79" s="17" t="s">
        <v>216</v>
      </c>
      <c r="D79" t="s">
        <v>258</v>
      </c>
      <c r="E79" s="17" t="s">
        <v>120</v>
      </c>
      <c r="F79" s="17" t="s">
        <v>122</v>
      </c>
      <c r="G79" s="17" t="str">
        <f t="shared" si="1"/>
        <v>2030</v>
      </c>
      <c r="H79" s="17" t="s">
        <v>239</v>
      </c>
      <c r="I79" s="17" t="str">
        <f t="shared" si="6"/>
        <v>2019</v>
      </c>
      <c r="J79" s="17" t="s">
        <v>87</v>
      </c>
      <c r="K79" s="17">
        <v>0</v>
      </c>
      <c r="L79" s="17">
        <v>0</v>
      </c>
      <c r="M79" s="17">
        <v>-1</v>
      </c>
      <c r="N79" s="17" t="s">
        <v>266</v>
      </c>
      <c r="O79" s="58">
        <v>0.04</v>
      </c>
      <c r="P79" s="17">
        <v>1</v>
      </c>
      <c r="Q79" s="17">
        <v>0</v>
      </c>
      <c r="R79" t="s">
        <v>221</v>
      </c>
      <c r="S79" t="s">
        <v>222</v>
      </c>
      <c r="T79" t="s">
        <v>267</v>
      </c>
      <c r="U79" s="20" t="b">
        <v>0</v>
      </c>
      <c r="V79" t="b">
        <v>1</v>
      </c>
      <c r="W79" t="b">
        <v>0</v>
      </c>
      <c r="X79" t="b">
        <v>0</v>
      </c>
      <c r="Y79" t="b">
        <v>1</v>
      </c>
      <c r="Z79" t="b">
        <v>0</v>
      </c>
      <c r="AA79" t="b">
        <v>0</v>
      </c>
      <c r="AB79" t="b">
        <v>0</v>
      </c>
      <c r="AC79" t="b">
        <v>0</v>
      </c>
      <c r="AD79" s="21" t="b">
        <v>0</v>
      </c>
      <c r="AE79" t="b">
        <v>0</v>
      </c>
      <c r="AF79" t="b">
        <v>0</v>
      </c>
      <c r="AG79" t="b">
        <v>1</v>
      </c>
    </row>
    <row r="80" spans="1:33" x14ac:dyDescent="0.3">
      <c r="A80" s="13">
        <f t="shared" si="3"/>
        <v>73</v>
      </c>
      <c r="B80" s="13" t="s">
        <v>230</v>
      </c>
      <c r="C80" s="17" t="s">
        <v>216</v>
      </c>
      <c r="D80" t="s">
        <v>259</v>
      </c>
      <c r="E80" s="17" t="s">
        <v>120</v>
      </c>
      <c r="F80" s="17" t="s">
        <v>122</v>
      </c>
      <c r="G80" s="17" t="str">
        <f t="shared" si="1"/>
        <v>2030</v>
      </c>
      <c r="H80" s="17" t="s">
        <v>239</v>
      </c>
      <c r="I80" s="17" t="str">
        <f t="shared" si="6"/>
        <v>2019</v>
      </c>
      <c r="J80" s="17" t="s">
        <v>87</v>
      </c>
      <c r="K80" s="17">
        <v>0</v>
      </c>
      <c r="L80" s="17">
        <v>0</v>
      </c>
      <c r="M80" s="17">
        <v>-1</v>
      </c>
      <c r="N80" s="17" t="s">
        <v>264</v>
      </c>
      <c r="O80" s="58">
        <v>-1</v>
      </c>
      <c r="P80" s="17">
        <v>1</v>
      </c>
      <c r="Q80" s="17">
        <v>0</v>
      </c>
      <c r="R80" t="s">
        <v>221</v>
      </c>
      <c r="S80" t="s">
        <v>222</v>
      </c>
      <c r="T80" t="s">
        <v>267</v>
      </c>
      <c r="U80" s="20" t="b">
        <v>0</v>
      </c>
      <c r="V80" t="b">
        <v>1</v>
      </c>
      <c r="W80" t="b">
        <v>0</v>
      </c>
      <c r="X80" t="b">
        <v>0</v>
      </c>
      <c r="Y80" t="b">
        <v>1</v>
      </c>
      <c r="Z80" t="b">
        <v>0</v>
      </c>
      <c r="AA80" t="b">
        <v>0</v>
      </c>
      <c r="AB80" t="b">
        <v>0</v>
      </c>
      <c r="AC80" t="b">
        <v>0</v>
      </c>
      <c r="AD80" s="21" t="b">
        <v>0</v>
      </c>
      <c r="AE80" t="b">
        <v>0</v>
      </c>
      <c r="AF80" t="b">
        <v>0</v>
      </c>
      <c r="AG80" t="b">
        <v>1</v>
      </c>
    </row>
    <row r="81" spans="1:33" x14ac:dyDescent="0.3">
      <c r="A81" s="13">
        <f t="shared" si="3"/>
        <v>74</v>
      </c>
      <c r="B81" s="13" t="s">
        <v>230</v>
      </c>
      <c r="C81" s="17" t="s">
        <v>216</v>
      </c>
      <c r="D81" t="s">
        <v>259</v>
      </c>
      <c r="E81" s="17" t="s">
        <v>120</v>
      </c>
      <c r="F81" s="17" t="s">
        <v>122</v>
      </c>
      <c r="G81" s="17" t="str">
        <f t="shared" si="1"/>
        <v>2030</v>
      </c>
      <c r="H81" s="17" t="s">
        <v>239</v>
      </c>
      <c r="I81" s="17" t="str">
        <f t="shared" si="6"/>
        <v>2019</v>
      </c>
      <c r="J81" s="17" t="s">
        <v>87</v>
      </c>
      <c r="K81" s="17">
        <v>0</v>
      </c>
      <c r="L81" s="17">
        <v>0</v>
      </c>
      <c r="M81" s="17">
        <v>-1</v>
      </c>
      <c r="N81" s="17" t="s">
        <v>262</v>
      </c>
      <c r="O81" s="58">
        <v>-1</v>
      </c>
      <c r="P81" s="17">
        <v>1</v>
      </c>
      <c r="Q81" s="17">
        <v>0</v>
      </c>
      <c r="R81" t="s">
        <v>221</v>
      </c>
      <c r="S81" t="s">
        <v>222</v>
      </c>
      <c r="T81" t="s">
        <v>267</v>
      </c>
      <c r="U81" s="20" t="b">
        <v>0</v>
      </c>
      <c r="V81" t="b">
        <v>1</v>
      </c>
      <c r="W81" t="b">
        <v>0</v>
      </c>
      <c r="X81" t="b">
        <v>0</v>
      </c>
      <c r="Y81" t="b">
        <v>1</v>
      </c>
      <c r="Z81" t="b">
        <v>0</v>
      </c>
      <c r="AA81" t="b">
        <v>0</v>
      </c>
      <c r="AB81" t="b">
        <v>0</v>
      </c>
      <c r="AC81" t="b">
        <v>0</v>
      </c>
      <c r="AD81" s="21" t="b">
        <v>0</v>
      </c>
      <c r="AE81" t="b">
        <v>0</v>
      </c>
      <c r="AF81" t="b">
        <v>0</v>
      </c>
      <c r="AG81" t="b">
        <v>1</v>
      </c>
    </row>
    <row r="82" spans="1:33" x14ac:dyDescent="0.3">
      <c r="A82" s="13">
        <f t="shared" si="3"/>
        <v>75</v>
      </c>
      <c r="B82" s="13" t="s">
        <v>230</v>
      </c>
      <c r="C82" s="17" t="s">
        <v>216</v>
      </c>
      <c r="D82" t="s">
        <v>259</v>
      </c>
      <c r="E82" s="17" t="s">
        <v>120</v>
      </c>
      <c r="F82" s="17" t="s">
        <v>122</v>
      </c>
      <c r="G82" s="17" t="str">
        <f t="shared" si="1"/>
        <v>2030</v>
      </c>
      <c r="H82" s="17" t="s">
        <v>239</v>
      </c>
      <c r="I82" s="17" t="str">
        <f t="shared" si="6"/>
        <v>2019</v>
      </c>
      <c r="J82" s="17" t="s">
        <v>87</v>
      </c>
      <c r="K82" s="17">
        <v>0</v>
      </c>
      <c r="L82" s="17">
        <v>0</v>
      </c>
      <c r="M82" s="17">
        <v>-1</v>
      </c>
      <c r="N82" s="17" t="s">
        <v>265</v>
      </c>
      <c r="O82" s="58">
        <v>-1</v>
      </c>
      <c r="P82" s="17">
        <v>1</v>
      </c>
      <c r="Q82" s="17">
        <v>0</v>
      </c>
      <c r="R82" t="s">
        <v>221</v>
      </c>
      <c r="S82" t="s">
        <v>222</v>
      </c>
      <c r="T82" t="s">
        <v>267</v>
      </c>
      <c r="U82" s="20" t="b">
        <v>0</v>
      </c>
      <c r="V82" t="b">
        <v>1</v>
      </c>
      <c r="W82" t="b">
        <v>0</v>
      </c>
      <c r="X82" t="b">
        <v>0</v>
      </c>
      <c r="Y82" t="b">
        <v>1</v>
      </c>
      <c r="Z82" t="b">
        <v>0</v>
      </c>
      <c r="AA82" t="b">
        <v>0</v>
      </c>
      <c r="AB82" t="b">
        <v>0</v>
      </c>
      <c r="AC82" t="b">
        <v>0</v>
      </c>
      <c r="AD82" s="21" t="b">
        <v>0</v>
      </c>
      <c r="AE82" t="b">
        <v>0</v>
      </c>
      <c r="AF82" t="b">
        <v>0</v>
      </c>
      <c r="AG82" t="b">
        <v>1</v>
      </c>
    </row>
    <row r="83" spans="1:33" x14ac:dyDescent="0.3">
      <c r="A83" s="13">
        <f t="shared" si="3"/>
        <v>76</v>
      </c>
      <c r="B83" s="13" t="s">
        <v>230</v>
      </c>
      <c r="C83" s="17" t="s">
        <v>216</v>
      </c>
      <c r="D83" t="s">
        <v>259</v>
      </c>
      <c r="E83" s="17" t="s">
        <v>120</v>
      </c>
      <c r="F83" s="17" t="s">
        <v>122</v>
      </c>
      <c r="G83" s="17" t="str">
        <f t="shared" si="1"/>
        <v>2030</v>
      </c>
      <c r="H83" s="17" t="s">
        <v>239</v>
      </c>
      <c r="I83" s="17" t="str">
        <f t="shared" si="6"/>
        <v>2019</v>
      </c>
      <c r="J83" s="17" t="s">
        <v>87</v>
      </c>
      <c r="K83" s="17">
        <v>0</v>
      </c>
      <c r="L83" s="17">
        <v>0</v>
      </c>
      <c r="M83" s="17">
        <v>-1</v>
      </c>
      <c r="N83" s="17" t="s">
        <v>266</v>
      </c>
      <c r="O83" s="58">
        <v>-1</v>
      </c>
      <c r="P83" s="17">
        <v>1</v>
      </c>
      <c r="Q83" s="17">
        <v>0</v>
      </c>
      <c r="R83" t="s">
        <v>221</v>
      </c>
      <c r="S83" t="s">
        <v>222</v>
      </c>
      <c r="T83" t="s">
        <v>267</v>
      </c>
      <c r="U83" s="20" t="b">
        <v>0</v>
      </c>
      <c r="V83" t="b">
        <v>1</v>
      </c>
      <c r="W83" t="b">
        <v>0</v>
      </c>
      <c r="X83" t="b">
        <v>0</v>
      </c>
      <c r="Y83" t="b">
        <v>1</v>
      </c>
      <c r="Z83" t="b">
        <v>0</v>
      </c>
      <c r="AA83" t="b">
        <v>0</v>
      </c>
      <c r="AB83" t="b">
        <v>0</v>
      </c>
      <c r="AC83" t="b">
        <v>0</v>
      </c>
      <c r="AD83" s="21" t="b">
        <v>0</v>
      </c>
      <c r="AE83" t="b">
        <v>0</v>
      </c>
      <c r="AF83" t="b">
        <v>0</v>
      </c>
      <c r="AG83" t="b">
        <v>1</v>
      </c>
    </row>
    <row r="84" spans="1:33" x14ac:dyDescent="0.3">
      <c r="A84" s="13">
        <f t="shared" si="3"/>
        <v>77</v>
      </c>
      <c r="B84" s="13" t="s">
        <v>230</v>
      </c>
      <c r="C84" s="17" t="s">
        <v>216</v>
      </c>
      <c r="D84" t="s">
        <v>259</v>
      </c>
      <c r="E84" s="17" t="s">
        <v>120</v>
      </c>
      <c r="F84" s="17" t="s">
        <v>122</v>
      </c>
      <c r="G84" s="17" t="str">
        <f t="shared" si="1"/>
        <v>2030</v>
      </c>
      <c r="H84" s="17" t="s">
        <v>239</v>
      </c>
      <c r="I84" s="17" t="str">
        <f t="shared" si="6"/>
        <v>2019</v>
      </c>
      <c r="J84" s="17" t="s">
        <v>87</v>
      </c>
      <c r="K84" s="17">
        <v>0</v>
      </c>
      <c r="L84" s="17">
        <v>0</v>
      </c>
      <c r="M84" s="17">
        <v>-1</v>
      </c>
      <c r="N84" s="17" t="s">
        <v>264</v>
      </c>
      <c r="O84" s="58">
        <v>0.02</v>
      </c>
      <c r="P84" s="17">
        <v>1</v>
      </c>
      <c r="Q84" s="17">
        <v>0</v>
      </c>
      <c r="R84" t="s">
        <v>221</v>
      </c>
      <c r="S84" t="s">
        <v>222</v>
      </c>
      <c r="T84" t="s">
        <v>267</v>
      </c>
      <c r="U84" s="20" t="b">
        <v>0</v>
      </c>
      <c r="V84" t="b">
        <v>1</v>
      </c>
      <c r="W84" t="b">
        <v>0</v>
      </c>
      <c r="X84" t="b">
        <v>0</v>
      </c>
      <c r="Y84" t="b">
        <v>1</v>
      </c>
      <c r="Z84" t="b">
        <v>0</v>
      </c>
      <c r="AA84" t="b">
        <v>0</v>
      </c>
      <c r="AB84" t="b">
        <v>0</v>
      </c>
      <c r="AC84" t="b">
        <v>0</v>
      </c>
      <c r="AD84" s="21" t="b">
        <v>0</v>
      </c>
      <c r="AE84" t="b">
        <v>0</v>
      </c>
      <c r="AF84" t="b">
        <v>0</v>
      </c>
      <c r="AG84" t="b">
        <v>1</v>
      </c>
    </row>
    <row r="85" spans="1:33" x14ac:dyDescent="0.3">
      <c r="A85" s="13">
        <f t="shared" si="3"/>
        <v>78</v>
      </c>
      <c r="B85" s="13" t="s">
        <v>230</v>
      </c>
      <c r="C85" s="17" t="s">
        <v>216</v>
      </c>
      <c r="D85" t="s">
        <v>259</v>
      </c>
      <c r="E85" s="17" t="s">
        <v>120</v>
      </c>
      <c r="F85" s="17" t="s">
        <v>122</v>
      </c>
      <c r="G85" s="17" t="str">
        <f t="shared" si="1"/>
        <v>2030</v>
      </c>
      <c r="H85" s="17" t="s">
        <v>239</v>
      </c>
      <c r="I85" s="17" t="str">
        <f t="shared" si="6"/>
        <v>2019</v>
      </c>
      <c r="J85" s="17" t="s">
        <v>87</v>
      </c>
      <c r="K85" s="17">
        <v>0</v>
      </c>
      <c r="L85" s="17">
        <v>0</v>
      </c>
      <c r="M85" s="17">
        <v>-1</v>
      </c>
      <c r="N85" s="17" t="s">
        <v>262</v>
      </c>
      <c r="O85" s="58">
        <v>0.02</v>
      </c>
      <c r="P85" s="17">
        <v>1</v>
      </c>
      <c r="Q85" s="17">
        <v>0</v>
      </c>
      <c r="R85" t="s">
        <v>221</v>
      </c>
      <c r="S85" t="s">
        <v>222</v>
      </c>
      <c r="T85" t="s">
        <v>267</v>
      </c>
      <c r="U85" s="20" t="b">
        <v>0</v>
      </c>
      <c r="V85" t="b">
        <v>1</v>
      </c>
      <c r="W85" t="b">
        <v>0</v>
      </c>
      <c r="X85" t="b">
        <v>0</v>
      </c>
      <c r="Y85" t="b">
        <v>1</v>
      </c>
      <c r="Z85" t="b">
        <v>0</v>
      </c>
      <c r="AA85" t="b">
        <v>0</v>
      </c>
      <c r="AB85" t="b">
        <v>0</v>
      </c>
      <c r="AC85" t="b">
        <v>0</v>
      </c>
      <c r="AD85" s="21" t="b">
        <v>0</v>
      </c>
      <c r="AE85" t="b">
        <v>0</v>
      </c>
      <c r="AF85" t="b">
        <v>0</v>
      </c>
      <c r="AG85" t="b">
        <v>1</v>
      </c>
    </row>
    <row r="86" spans="1:33" x14ac:dyDescent="0.3">
      <c r="A86" s="13">
        <f t="shared" si="3"/>
        <v>79</v>
      </c>
      <c r="B86" s="13" t="s">
        <v>230</v>
      </c>
      <c r="C86" s="17" t="s">
        <v>216</v>
      </c>
      <c r="D86" t="s">
        <v>259</v>
      </c>
      <c r="E86" s="17" t="s">
        <v>120</v>
      </c>
      <c r="F86" s="17" t="s">
        <v>122</v>
      </c>
      <c r="G86" s="17" t="str">
        <f t="shared" si="1"/>
        <v>2030</v>
      </c>
      <c r="H86" s="17" t="s">
        <v>239</v>
      </c>
      <c r="I86" s="17" t="str">
        <f t="shared" si="6"/>
        <v>2019</v>
      </c>
      <c r="J86" s="17" t="s">
        <v>87</v>
      </c>
      <c r="K86" s="17">
        <v>0</v>
      </c>
      <c r="L86" s="17">
        <v>0</v>
      </c>
      <c r="M86" s="17">
        <v>-1</v>
      </c>
      <c r="N86" s="17" t="s">
        <v>265</v>
      </c>
      <c r="O86" s="58">
        <v>0.02</v>
      </c>
      <c r="P86" s="17">
        <v>1</v>
      </c>
      <c r="Q86" s="17">
        <v>0</v>
      </c>
      <c r="R86" t="s">
        <v>221</v>
      </c>
      <c r="S86" t="s">
        <v>222</v>
      </c>
      <c r="T86" t="s">
        <v>267</v>
      </c>
      <c r="U86" s="20" t="b">
        <v>0</v>
      </c>
      <c r="V86" t="b">
        <v>1</v>
      </c>
      <c r="W86" t="b">
        <v>0</v>
      </c>
      <c r="X86" t="b">
        <v>0</v>
      </c>
      <c r="Y86" t="b">
        <v>1</v>
      </c>
      <c r="Z86" t="b">
        <v>0</v>
      </c>
      <c r="AA86" t="b">
        <v>0</v>
      </c>
      <c r="AB86" t="b">
        <v>0</v>
      </c>
      <c r="AC86" t="b">
        <v>0</v>
      </c>
      <c r="AD86" s="21" t="b">
        <v>0</v>
      </c>
      <c r="AE86" t="b">
        <v>0</v>
      </c>
      <c r="AF86" t="b">
        <v>0</v>
      </c>
      <c r="AG86" t="b">
        <v>1</v>
      </c>
    </row>
    <row r="87" spans="1:33" x14ac:dyDescent="0.3">
      <c r="A87" s="13">
        <f t="shared" si="3"/>
        <v>80</v>
      </c>
      <c r="B87" s="13" t="s">
        <v>230</v>
      </c>
      <c r="C87" s="17" t="s">
        <v>216</v>
      </c>
      <c r="D87" t="s">
        <v>259</v>
      </c>
      <c r="E87" s="17" t="s">
        <v>120</v>
      </c>
      <c r="F87" s="17" t="s">
        <v>122</v>
      </c>
      <c r="G87" s="17" t="str">
        <f t="shared" si="1"/>
        <v>2030</v>
      </c>
      <c r="H87" s="17" t="s">
        <v>239</v>
      </c>
      <c r="I87" s="17" t="str">
        <f t="shared" si="6"/>
        <v>2019</v>
      </c>
      <c r="J87" s="17" t="s">
        <v>87</v>
      </c>
      <c r="K87" s="17">
        <v>0</v>
      </c>
      <c r="L87" s="17">
        <v>0</v>
      </c>
      <c r="M87" s="17">
        <v>-1</v>
      </c>
      <c r="N87" s="17" t="s">
        <v>266</v>
      </c>
      <c r="O87" s="58">
        <v>0.02</v>
      </c>
      <c r="P87" s="17">
        <v>1</v>
      </c>
      <c r="Q87" s="17">
        <v>0</v>
      </c>
      <c r="R87" t="s">
        <v>221</v>
      </c>
      <c r="S87" t="s">
        <v>222</v>
      </c>
      <c r="T87" t="s">
        <v>267</v>
      </c>
      <c r="U87" s="20" t="b">
        <v>0</v>
      </c>
      <c r="V87" t="b">
        <v>1</v>
      </c>
      <c r="W87" t="b">
        <v>0</v>
      </c>
      <c r="X87" t="b">
        <v>0</v>
      </c>
      <c r="Y87" t="b">
        <v>1</v>
      </c>
      <c r="Z87" t="b">
        <v>0</v>
      </c>
      <c r="AA87" t="b">
        <v>0</v>
      </c>
      <c r="AB87" t="b">
        <v>0</v>
      </c>
      <c r="AC87" t="b">
        <v>0</v>
      </c>
      <c r="AD87" s="21" t="b">
        <v>0</v>
      </c>
      <c r="AE87" t="b">
        <v>0</v>
      </c>
      <c r="AF87" t="b">
        <v>0</v>
      </c>
      <c r="AG87" t="b">
        <v>1</v>
      </c>
    </row>
    <row r="88" spans="1:33" x14ac:dyDescent="0.3">
      <c r="A88" s="13">
        <f t="shared" si="3"/>
        <v>81</v>
      </c>
      <c r="B88" s="13" t="s">
        <v>230</v>
      </c>
      <c r="C88" s="17" t="s">
        <v>216</v>
      </c>
      <c r="D88" t="s">
        <v>259</v>
      </c>
      <c r="E88" s="17" t="s">
        <v>120</v>
      </c>
      <c r="F88" s="17" t="s">
        <v>122</v>
      </c>
      <c r="G88" s="17" t="str">
        <f t="shared" si="1"/>
        <v>2030</v>
      </c>
      <c r="H88" s="17" t="s">
        <v>239</v>
      </c>
      <c r="I88" s="17" t="str">
        <f t="shared" si="6"/>
        <v>2019</v>
      </c>
      <c r="J88" s="17" t="s">
        <v>87</v>
      </c>
      <c r="K88" s="17">
        <v>0</v>
      </c>
      <c r="L88" s="17">
        <v>0</v>
      </c>
      <c r="M88" s="17">
        <v>-1</v>
      </c>
      <c r="N88" s="17" t="s">
        <v>264</v>
      </c>
      <c r="O88" s="58">
        <v>0.04</v>
      </c>
      <c r="P88" s="17">
        <v>1</v>
      </c>
      <c r="Q88" s="17">
        <v>0</v>
      </c>
      <c r="R88" t="s">
        <v>221</v>
      </c>
      <c r="S88" t="s">
        <v>222</v>
      </c>
      <c r="T88" t="s">
        <v>267</v>
      </c>
      <c r="U88" s="20" t="b">
        <v>0</v>
      </c>
      <c r="V88" t="b">
        <v>1</v>
      </c>
      <c r="W88" t="b">
        <v>0</v>
      </c>
      <c r="X88" t="b">
        <v>0</v>
      </c>
      <c r="Y88" t="b">
        <v>1</v>
      </c>
      <c r="Z88" t="b">
        <v>0</v>
      </c>
      <c r="AA88" t="b">
        <v>0</v>
      </c>
      <c r="AB88" t="b">
        <v>0</v>
      </c>
      <c r="AC88" t="b">
        <v>0</v>
      </c>
      <c r="AD88" s="21" t="b">
        <v>0</v>
      </c>
      <c r="AE88" t="b">
        <v>0</v>
      </c>
      <c r="AF88" t="b">
        <v>0</v>
      </c>
      <c r="AG88" t="b">
        <v>1</v>
      </c>
    </row>
    <row r="89" spans="1:33" x14ac:dyDescent="0.3">
      <c r="A89" s="13">
        <f t="shared" si="3"/>
        <v>82</v>
      </c>
      <c r="B89" s="13" t="s">
        <v>230</v>
      </c>
      <c r="C89" s="17" t="s">
        <v>216</v>
      </c>
      <c r="D89" t="s">
        <v>259</v>
      </c>
      <c r="E89" s="17" t="s">
        <v>120</v>
      </c>
      <c r="F89" s="17" t="s">
        <v>122</v>
      </c>
      <c r="G89" s="17" t="str">
        <f t="shared" si="1"/>
        <v>2030</v>
      </c>
      <c r="H89" s="17" t="s">
        <v>239</v>
      </c>
      <c r="I89" s="17" t="str">
        <f t="shared" si="6"/>
        <v>2019</v>
      </c>
      <c r="J89" s="17" t="s">
        <v>87</v>
      </c>
      <c r="K89" s="17">
        <v>0</v>
      </c>
      <c r="L89" s="17">
        <v>0</v>
      </c>
      <c r="M89" s="17">
        <v>-1</v>
      </c>
      <c r="N89" s="17" t="s">
        <v>262</v>
      </c>
      <c r="O89" s="58">
        <v>0.04</v>
      </c>
      <c r="P89" s="17">
        <v>1</v>
      </c>
      <c r="Q89" s="17">
        <v>0</v>
      </c>
      <c r="R89" t="s">
        <v>221</v>
      </c>
      <c r="S89" t="s">
        <v>222</v>
      </c>
      <c r="T89" t="s">
        <v>267</v>
      </c>
      <c r="U89" s="20" t="b">
        <v>0</v>
      </c>
      <c r="V89" t="b">
        <v>1</v>
      </c>
      <c r="W89" t="b">
        <v>0</v>
      </c>
      <c r="X89" t="b">
        <v>0</v>
      </c>
      <c r="Y89" t="b">
        <v>1</v>
      </c>
      <c r="Z89" t="b">
        <v>0</v>
      </c>
      <c r="AA89" t="b">
        <v>0</v>
      </c>
      <c r="AB89" t="b">
        <v>0</v>
      </c>
      <c r="AC89" t="b">
        <v>0</v>
      </c>
      <c r="AD89" s="21" t="b">
        <v>0</v>
      </c>
      <c r="AE89" t="b">
        <v>0</v>
      </c>
      <c r="AF89" t="b">
        <v>0</v>
      </c>
      <c r="AG89" t="b">
        <v>1</v>
      </c>
    </row>
    <row r="90" spans="1:33" x14ac:dyDescent="0.3">
      <c r="A90" s="13">
        <f t="shared" ref="A90:A127" si="7">ROW(A90)-ROW($A$7)</f>
        <v>83</v>
      </c>
      <c r="B90" s="13" t="s">
        <v>230</v>
      </c>
      <c r="C90" s="17" t="s">
        <v>216</v>
      </c>
      <c r="D90" t="s">
        <v>259</v>
      </c>
      <c r="E90" s="17" t="s">
        <v>120</v>
      </c>
      <c r="F90" s="17" t="s">
        <v>122</v>
      </c>
      <c r="G90" s="17" t="str">
        <f t="shared" ref="G90:G127" si="8">"2030"</f>
        <v>2030</v>
      </c>
      <c r="H90" s="17" t="s">
        <v>239</v>
      </c>
      <c r="I90" s="17" t="str">
        <f t="shared" si="6"/>
        <v>2019</v>
      </c>
      <c r="J90" s="17" t="s">
        <v>87</v>
      </c>
      <c r="K90" s="17">
        <v>0</v>
      </c>
      <c r="L90" s="17">
        <v>0</v>
      </c>
      <c r="M90" s="17">
        <v>-1</v>
      </c>
      <c r="N90" s="17" t="s">
        <v>265</v>
      </c>
      <c r="O90" s="58">
        <v>0.04</v>
      </c>
      <c r="P90" s="17">
        <v>1</v>
      </c>
      <c r="Q90" s="17">
        <v>0</v>
      </c>
      <c r="R90" t="s">
        <v>221</v>
      </c>
      <c r="S90" t="s">
        <v>222</v>
      </c>
      <c r="T90" t="s">
        <v>267</v>
      </c>
      <c r="U90" s="20" t="b">
        <v>0</v>
      </c>
      <c r="V90" t="b">
        <v>1</v>
      </c>
      <c r="W90" t="b">
        <v>0</v>
      </c>
      <c r="X90" t="b">
        <v>0</v>
      </c>
      <c r="Y90" t="b">
        <v>1</v>
      </c>
      <c r="Z90" t="b">
        <v>0</v>
      </c>
      <c r="AA90" t="b">
        <v>0</v>
      </c>
      <c r="AB90" t="b">
        <v>0</v>
      </c>
      <c r="AC90" t="b">
        <v>0</v>
      </c>
      <c r="AD90" s="21" t="b">
        <v>0</v>
      </c>
      <c r="AE90" t="b">
        <v>0</v>
      </c>
      <c r="AF90" t="b">
        <v>0</v>
      </c>
      <c r="AG90" t="b">
        <v>1</v>
      </c>
    </row>
    <row r="91" spans="1:33" x14ac:dyDescent="0.3">
      <c r="A91" s="13">
        <f t="shared" si="7"/>
        <v>84</v>
      </c>
      <c r="B91" s="13" t="s">
        <v>230</v>
      </c>
      <c r="C91" s="17" t="s">
        <v>216</v>
      </c>
      <c r="D91" t="s">
        <v>259</v>
      </c>
      <c r="E91" s="17" t="s">
        <v>120</v>
      </c>
      <c r="F91" s="17" t="s">
        <v>122</v>
      </c>
      <c r="G91" s="17" t="str">
        <f t="shared" si="8"/>
        <v>2030</v>
      </c>
      <c r="H91" s="17" t="s">
        <v>239</v>
      </c>
      <c r="I91" s="17" t="str">
        <f t="shared" si="6"/>
        <v>2019</v>
      </c>
      <c r="J91" s="17" t="s">
        <v>87</v>
      </c>
      <c r="K91" s="17">
        <v>0</v>
      </c>
      <c r="L91" s="17">
        <v>0</v>
      </c>
      <c r="M91" s="17">
        <v>-1</v>
      </c>
      <c r="N91" s="17" t="s">
        <v>266</v>
      </c>
      <c r="O91" s="58">
        <v>0.04</v>
      </c>
      <c r="P91" s="17">
        <v>1</v>
      </c>
      <c r="Q91" s="17">
        <v>0</v>
      </c>
      <c r="R91" t="s">
        <v>221</v>
      </c>
      <c r="S91" t="s">
        <v>222</v>
      </c>
      <c r="T91" t="s">
        <v>267</v>
      </c>
      <c r="U91" s="20" t="b">
        <v>0</v>
      </c>
      <c r="V91" t="b">
        <v>1</v>
      </c>
      <c r="W91" t="b">
        <v>0</v>
      </c>
      <c r="X91" t="b">
        <v>0</v>
      </c>
      <c r="Y91" t="b">
        <v>1</v>
      </c>
      <c r="Z91" t="b">
        <v>0</v>
      </c>
      <c r="AA91" t="b">
        <v>0</v>
      </c>
      <c r="AB91" t="b">
        <v>0</v>
      </c>
      <c r="AC91" t="b">
        <v>0</v>
      </c>
      <c r="AD91" s="21" t="b">
        <v>0</v>
      </c>
      <c r="AE91" t="b">
        <v>0</v>
      </c>
      <c r="AF91" t="b">
        <v>0</v>
      </c>
      <c r="AG91" t="b">
        <v>1</v>
      </c>
    </row>
    <row r="92" spans="1:33" x14ac:dyDescent="0.3">
      <c r="A92" s="13">
        <f t="shared" si="7"/>
        <v>85</v>
      </c>
      <c r="B92" s="13" t="s">
        <v>230</v>
      </c>
      <c r="C92" s="17" t="s">
        <v>216</v>
      </c>
      <c r="D92" t="s">
        <v>240</v>
      </c>
      <c r="E92" s="17" t="s">
        <v>120</v>
      </c>
      <c r="F92" s="17" t="s">
        <v>122</v>
      </c>
      <c r="G92" s="17" t="str">
        <f t="shared" si="8"/>
        <v>2030</v>
      </c>
      <c r="H92" s="17" t="s">
        <v>239</v>
      </c>
      <c r="I92" s="17" t="str">
        <f t="shared" si="6"/>
        <v>2019</v>
      </c>
      <c r="J92" s="17" t="s">
        <v>87</v>
      </c>
      <c r="K92" s="17">
        <v>0</v>
      </c>
      <c r="L92" s="17">
        <v>0</v>
      </c>
      <c r="M92" s="17">
        <v>0.01</v>
      </c>
      <c r="N92" s="17" t="s">
        <v>122</v>
      </c>
      <c r="O92" s="58">
        <v>0</v>
      </c>
      <c r="P92" s="17">
        <v>1</v>
      </c>
      <c r="Q92" s="17">
        <v>0</v>
      </c>
      <c r="R92" t="s">
        <v>221</v>
      </c>
      <c r="S92" t="s">
        <v>222</v>
      </c>
      <c r="T92" t="s">
        <v>268</v>
      </c>
      <c r="U92" s="20" t="b">
        <v>0</v>
      </c>
      <c r="V92" t="b">
        <v>1</v>
      </c>
      <c r="W92" t="b">
        <v>0</v>
      </c>
      <c r="X92" t="b">
        <v>0</v>
      </c>
      <c r="Y92" t="b">
        <v>1</v>
      </c>
      <c r="Z92" t="b">
        <v>0</v>
      </c>
      <c r="AA92" t="b">
        <v>0</v>
      </c>
      <c r="AB92" t="b">
        <v>0</v>
      </c>
      <c r="AC92" t="b">
        <v>0</v>
      </c>
      <c r="AD92" s="21" t="b">
        <v>0</v>
      </c>
      <c r="AE92" t="b">
        <v>0</v>
      </c>
      <c r="AF92" t="b">
        <v>0</v>
      </c>
      <c r="AG92" t="b">
        <v>1</v>
      </c>
    </row>
    <row r="93" spans="1:33" x14ac:dyDescent="0.3">
      <c r="A93" s="13">
        <f t="shared" si="7"/>
        <v>86</v>
      </c>
      <c r="B93" s="13" t="s">
        <v>230</v>
      </c>
      <c r="C93" s="17" t="s">
        <v>216</v>
      </c>
      <c r="D93" t="s">
        <v>240</v>
      </c>
      <c r="E93" s="17" t="s">
        <v>120</v>
      </c>
      <c r="F93" s="17" t="s">
        <v>122</v>
      </c>
      <c r="G93" s="17" t="str">
        <f t="shared" si="8"/>
        <v>2030</v>
      </c>
      <c r="H93" s="17" t="s">
        <v>239</v>
      </c>
      <c r="I93" s="17" t="str">
        <f t="shared" si="6"/>
        <v>2019</v>
      </c>
      <c r="J93" s="17" t="s">
        <v>87</v>
      </c>
      <c r="K93" s="17">
        <v>0</v>
      </c>
      <c r="L93" s="17">
        <v>0</v>
      </c>
      <c r="M93" s="17">
        <v>1.4999999999999999E-2</v>
      </c>
      <c r="N93" s="17" t="s">
        <v>122</v>
      </c>
      <c r="O93" s="58">
        <v>0</v>
      </c>
      <c r="P93" s="17">
        <v>1</v>
      </c>
      <c r="Q93" s="17">
        <v>0</v>
      </c>
      <c r="R93" t="s">
        <v>221</v>
      </c>
      <c r="S93" t="s">
        <v>222</v>
      </c>
      <c r="T93" t="s">
        <v>268</v>
      </c>
      <c r="U93" s="20" t="b">
        <v>0</v>
      </c>
      <c r="V93" t="b">
        <v>1</v>
      </c>
      <c r="W93" t="b">
        <v>0</v>
      </c>
      <c r="X93" t="b">
        <v>0</v>
      </c>
      <c r="Y93" t="b">
        <v>1</v>
      </c>
      <c r="Z93" t="b">
        <v>0</v>
      </c>
      <c r="AA93" t="b">
        <v>0</v>
      </c>
      <c r="AB93" t="b">
        <v>0</v>
      </c>
      <c r="AC93" t="b">
        <v>0</v>
      </c>
      <c r="AD93" s="21" t="b">
        <v>0</v>
      </c>
      <c r="AE93" t="b">
        <v>0</v>
      </c>
      <c r="AF93" t="b">
        <v>0</v>
      </c>
      <c r="AG93" t="b">
        <v>1</v>
      </c>
    </row>
    <row r="94" spans="1:33" x14ac:dyDescent="0.3">
      <c r="A94" s="13">
        <f t="shared" si="7"/>
        <v>87</v>
      </c>
      <c r="B94" s="13" t="s">
        <v>230</v>
      </c>
      <c r="C94" s="17" t="s">
        <v>216</v>
      </c>
      <c r="D94" t="s">
        <v>240</v>
      </c>
      <c r="E94" s="17" t="s">
        <v>120</v>
      </c>
      <c r="F94" s="17" t="s">
        <v>122</v>
      </c>
      <c r="G94" s="17" t="str">
        <f t="shared" si="8"/>
        <v>2030</v>
      </c>
      <c r="H94" s="17" t="s">
        <v>239</v>
      </c>
      <c r="I94" s="17" t="str">
        <f t="shared" si="6"/>
        <v>2019</v>
      </c>
      <c r="J94" s="17" t="s">
        <v>87</v>
      </c>
      <c r="K94" s="17">
        <v>0</v>
      </c>
      <c r="L94" s="17">
        <v>0</v>
      </c>
      <c r="M94" s="17">
        <v>0.02</v>
      </c>
      <c r="N94" s="17" t="s">
        <v>122</v>
      </c>
      <c r="O94" s="58">
        <v>0</v>
      </c>
      <c r="P94" s="17">
        <v>1</v>
      </c>
      <c r="Q94" s="17">
        <v>0</v>
      </c>
      <c r="R94" t="s">
        <v>221</v>
      </c>
      <c r="S94" t="s">
        <v>222</v>
      </c>
      <c r="T94" t="s">
        <v>268</v>
      </c>
      <c r="U94" s="20" t="b">
        <v>0</v>
      </c>
      <c r="V94" t="b">
        <v>1</v>
      </c>
      <c r="W94" t="b">
        <v>0</v>
      </c>
      <c r="X94" t="b">
        <v>0</v>
      </c>
      <c r="Y94" t="b">
        <v>1</v>
      </c>
      <c r="Z94" t="b">
        <v>0</v>
      </c>
      <c r="AA94" t="b">
        <v>0</v>
      </c>
      <c r="AB94" t="b">
        <v>0</v>
      </c>
      <c r="AC94" t="b">
        <v>0</v>
      </c>
      <c r="AD94" s="21" t="b">
        <v>0</v>
      </c>
      <c r="AE94" t="b">
        <v>0</v>
      </c>
      <c r="AF94" t="b">
        <v>0</v>
      </c>
      <c r="AG94" t="b">
        <v>1</v>
      </c>
    </row>
    <row r="95" spans="1:33" x14ac:dyDescent="0.3">
      <c r="A95" s="13">
        <f t="shared" si="7"/>
        <v>88</v>
      </c>
      <c r="B95" s="13" t="s">
        <v>230</v>
      </c>
      <c r="C95" s="17" t="s">
        <v>216</v>
      </c>
      <c r="D95" t="s">
        <v>240</v>
      </c>
      <c r="E95" s="17" t="s">
        <v>120</v>
      </c>
      <c r="F95" s="17" t="s">
        <v>122</v>
      </c>
      <c r="G95" s="17" t="str">
        <f t="shared" si="8"/>
        <v>2030</v>
      </c>
      <c r="H95" s="17" t="s">
        <v>239</v>
      </c>
      <c r="I95" s="17" t="str">
        <f t="shared" si="6"/>
        <v>2019</v>
      </c>
      <c r="J95" s="17" t="s">
        <v>87</v>
      </c>
      <c r="K95" s="17">
        <v>0</v>
      </c>
      <c r="L95" s="17">
        <v>0</v>
      </c>
      <c r="M95" s="17">
        <v>2.5000000000000001E-2</v>
      </c>
      <c r="N95" s="17" t="s">
        <v>122</v>
      </c>
      <c r="O95" s="58">
        <v>0</v>
      </c>
      <c r="P95" s="17">
        <v>1</v>
      </c>
      <c r="Q95" s="17">
        <v>0</v>
      </c>
      <c r="R95" t="s">
        <v>221</v>
      </c>
      <c r="S95" t="s">
        <v>222</v>
      </c>
      <c r="T95" t="s">
        <v>268</v>
      </c>
      <c r="U95" s="20" t="b">
        <v>0</v>
      </c>
      <c r="V95" t="b">
        <v>1</v>
      </c>
      <c r="W95" t="b">
        <v>0</v>
      </c>
      <c r="X95" t="b">
        <v>0</v>
      </c>
      <c r="Y95" t="b">
        <v>1</v>
      </c>
      <c r="Z95" t="b">
        <v>0</v>
      </c>
      <c r="AA95" t="b">
        <v>0</v>
      </c>
      <c r="AB95" t="b">
        <v>0</v>
      </c>
      <c r="AC95" t="b">
        <v>0</v>
      </c>
      <c r="AD95" s="21" t="b">
        <v>0</v>
      </c>
      <c r="AE95" t="b">
        <v>0</v>
      </c>
      <c r="AF95" t="b">
        <v>0</v>
      </c>
      <c r="AG95" t="b">
        <v>1</v>
      </c>
    </row>
    <row r="96" spans="1:33" x14ac:dyDescent="0.3">
      <c r="A96" s="13">
        <f t="shared" si="7"/>
        <v>89</v>
      </c>
      <c r="B96" s="13" t="s">
        <v>230</v>
      </c>
      <c r="C96" s="17" t="s">
        <v>216</v>
      </c>
      <c r="D96" t="s">
        <v>240</v>
      </c>
      <c r="E96" s="17" t="s">
        <v>120</v>
      </c>
      <c r="F96" s="17" t="s">
        <v>122</v>
      </c>
      <c r="G96" s="17" t="str">
        <f t="shared" si="8"/>
        <v>2030</v>
      </c>
      <c r="H96" s="17" t="s">
        <v>239</v>
      </c>
      <c r="I96" s="17" t="str">
        <f t="shared" si="6"/>
        <v>2019</v>
      </c>
      <c r="J96" s="17" t="s">
        <v>87</v>
      </c>
      <c r="K96" s="17">
        <v>0</v>
      </c>
      <c r="L96" s="17">
        <v>0</v>
      </c>
      <c r="M96" s="17">
        <v>0.03</v>
      </c>
      <c r="N96" s="17" t="s">
        <v>122</v>
      </c>
      <c r="O96" s="58">
        <v>0</v>
      </c>
      <c r="P96" s="17">
        <v>1</v>
      </c>
      <c r="Q96" s="17">
        <v>0</v>
      </c>
      <c r="R96" t="s">
        <v>221</v>
      </c>
      <c r="S96" t="s">
        <v>222</v>
      </c>
      <c r="T96" t="s">
        <v>268</v>
      </c>
      <c r="U96" s="20" t="b">
        <v>0</v>
      </c>
      <c r="V96" t="b">
        <v>1</v>
      </c>
      <c r="W96" t="b">
        <v>0</v>
      </c>
      <c r="X96" t="b">
        <v>0</v>
      </c>
      <c r="Y96" t="b">
        <v>1</v>
      </c>
      <c r="Z96" t="b">
        <v>0</v>
      </c>
      <c r="AA96" t="b">
        <v>0</v>
      </c>
      <c r="AB96" t="b">
        <v>0</v>
      </c>
      <c r="AC96" t="b">
        <v>0</v>
      </c>
      <c r="AD96" s="21" t="b">
        <v>0</v>
      </c>
      <c r="AE96" t="b">
        <v>0</v>
      </c>
      <c r="AF96" t="b">
        <v>0</v>
      </c>
      <c r="AG96" t="b">
        <v>1</v>
      </c>
    </row>
    <row r="97" spans="1:33" x14ac:dyDescent="0.3">
      <c r="A97" s="13">
        <f t="shared" si="7"/>
        <v>90</v>
      </c>
      <c r="B97" s="13" t="s">
        <v>230</v>
      </c>
      <c r="C97" s="17" t="s">
        <v>216</v>
      </c>
      <c r="D97" t="s">
        <v>240</v>
      </c>
      <c r="E97" s="17" t="s">
        <v>120</v>
      </c>
      <c r="F97" s="17" t="s">
        <v>122</v>
      </c>
      <c r="G97" s="17" t="str">
        <f t="shared" si="8"/>
        <v>2030</v>
      </c>
      <c r="H97" s="17" t="s">
        <v>239</v>
      </c>
      <c r="I97" s="17" t="str">
        <f t="shared" si="6"/>
        <v>2019</v>
      </c>
      <c r="J97" s="17" t="s">
        <v>87</v>
      </c>
      <c r="K97" s="17">
        <v>0</v>
      </c>
      <c r="L97" s="17">
        <v>0</v>
      </c>
      <c r="M97" s="17">
        <v>3.5000000000000003E-2</v>
      </c>
      <c r="N97" s="17" t="s">
        <v>122</v>
      </c>
      <c r="O97" s="58">
        <v>0</v>
      </c>
      <c r="P97" s="17">
        <v>1</v>
      </c>
      <c r="Q97" s="17">
        <v>0</v>
      </c>
      <c r="R97" t="s">
        <v>221</v>
      </c>
      <c r="S97" t="s">
        <v>222</v>
      </c>
      <c r="T97" t="s">
        <v>268</v>
      </c>
      <c r="U97" s="20" t="b">
        <v>0</v>
      </c>
      <c r="V97" t="b">
        <v>1</v>
      </c>
      <c r="W97" t="b">
        <v>0</v>
      </c>
      <c r="X97" t="b">
        <v>0</v>
      </c>
      <c r="Y97" t="b">
        <v>1</v>
      </c>
      <c r="Z97" t="b">
        <v>0</v>
      </c>
      <c r="AA97" t="b">
        <v>0</v>
      </c>
      <c r="AB97" t="b">
        <v>0</v>
      </c>
      <c r="AC97" t="b">
        <v>0</v>
      </c>
      <c r="AD97" s="21" t="b">
        <v>0</v>
      </c>
      <c r="AE97" t="b">
        <v>0</v>
      </c>
      <c r="AF97" t="b">
        <v>0</v>
      </c>
      <c r="AG97" t="b">
        <v>1</v>
      </c>
    </row>
    <row r="98" spans="1:33" x14ac:dyDescent="0.3">
      <c r="A98" s="13">
        <f t="shared" si="7"/>
        <v>91</v>
      </c>
      <c r="B98" s="13" t="s">
        <v>230</v>
      </c>
      <c r="C98" s="17" t="s">
        <v>216</v>
      </c>
      <c r="D98" t="s">
        <v>240</v>
      </c>
      <c r="E98" s="17" t="s">
        <v>120</v>
      </c>
      <c r="F98" s="17" t="s">
        <v>122</v>
      </c>
      <c r="G98" s="17" t="str">
        <f t="shared" si="8"/>
        <v>2030</v>
      </c>
      <c r="H98" s="17" t="s">
        <v>239</v>
      </c>
      <c r="I98" s="17" t="str">
        <f t="shared" si="6"/>
        <v>2019</v>
      </c>
      <c r="J98" s="17" t="s">
        <v>87</v>
      </c>
      <c r="K98" s="17">
        <v>0</v>
      </c>
      <c r="L98" s="17">
        <v>0</v>
      </c>
      <c r="M98" s="17">
        <v>0.04</v>
      </c>
      <c r="N98" s="17" t="s">
        <v>122</v>
      </c>
      <c r="O98" s="58">
        <v>0</v>
      </c>
      <c r="P98" s="17">
        <v>1</v>
      </c>
      <c r="Q98" s="17">
        <v>0</v>
      </c>
      <c r="R98" t="s">
        <v>221</v>
      </c>
      <c r="S98" t="s">
        <v>222</v>
      </c>
      <c r="T98" t="s">
        <v>268</v>
      </c>
      <c r="U98" s="20" t="b">
        <v>0</v>
      </c>
      <c r="V98" t="b">
        <v>1</v>
      </c>
      <c r="W98" t="b">
        <v>0</v>
      </c>
      <c r="X98" t="b">
        <v>0</v>
      </c>
      <c r="Y98" t="b">
        <v>1</v>
      </c>
      <c r="Z98" t="b">
        <v>0</v>
      </c>
      <c r="AA98" t="b">
        <v>0</v>
      </c>
      <c r="AB98" t="b">
        <v>0</v>
      </c>
      <c r="AC98" t="b">
        <v>0</v>
      </c>
      <c r="AD98" s="21" t="b">
        <v>0</v>
      </c>
      <c r="AE98" t="b">
        <v>0</v>
      </c>
      <c r="AF98" t="b">
        <v>0</v>
      </c>
      <c r="AG98" t="b">
        <v>1</v>
      </c>
    </row>
    <row r="99" spans="1:33" x14ac:dyDescent="0.3">
      <c r="A99" s="13">
        <f t="shared" si="7"/>
        <v>92</v>
      </c>
      <c r="B99" s="13" t="s">
        <v>230</v>
      </c>
      <c r="C99" s="17" t="s">
        <v>216</v>
      </c>
      <c r="D99" t="s">
        <v>240</v>
      </c>
      <c r="E99" s="17" t="s">
        <v>120</v>
      </c>
      <c r="F99" s="17" t="s">
        <v>122</v>
      </c>
      <c r="G99" s="17" t="str">
        <f t="shared" si="8"/>
        <v>2030</v>
      </c>
      <c r="H99" s="17" t="s">
        <v>239</v>
      </c>
      <c r="I99" s="17" t="str">
        <f t="shared" si="6"/>
        <v>2019</v>
      </c>
      <c r="J99" s="17" t="s">
        <v>87</v>
      </c>
      <c r="K99" s="17">
        <v>0</v>
      </c>
      <c r="L99" s="17">
        <v>0</v>
      </c>
      <c r="M99" s="17">
        <v>4.4999999999999998E-2</v>
      </c>
      <c r="N99" s="17" t="s">
        <v>122</v>
      </c>
      <c r="O99" s="58">
        <v>0</v>
      </c>
      <c r="P99" s="17">
        <v>1</v>
      </c>
      <c r="Q99" s="17">
        <v>0</v>
      </c>
      <c r="R99" t="s">
        <v>221</v>
      </c>
      <c r="S99" t="s">
        <v>222</v>
      </c>
      <c r="T99" t="s">
        <v>268</v>
      </c>
      <c r="U99" s="20" t="b">
        <v>0</v>
      </c>
      <c r="V99" t="b">
        <v>1</v>
      </c>
      <c r="W99" t="b">
        <v>0</v>
      </c>
      <c r="X99" t="b">
        <v>0</v>
      </c>
      <c r="Y99" t="b">
        <v>1</v>
      </c>
      <c r="Z99" t="b">
        <v>0</v>
      </c>
      <c r="AA99" t="b">
        <v>0</v>
      </c>
      <c r="AB99" t="b">
        <v>0</v>
      </c>
      <c r="AC99" t="b">
        <v>0</v>
      </c>
      <c r="AD99" s="21" t="b">
        <v>0</v>
      </c>
      <c r="AE99" t="b">
        <v>0</v>
      </c>
      <c r="AF99" t="b">
        <v>0</v>
      </c>
      <c r="AG99" t="b">
        <v>1</v>
      </c>
    </row>
    <row r="100" spans="1:33" x14ac:dyDescent="0.3">
      <c r="A100" s="13">
        <f t="shared" si="7"/>
        <v>93</v>
      </c>
      <c r="B100" s="13" t="s">
        <v>230</v>
      </c>
      <c r="C100" s="17" t="s">
        <v>216</v>
      </c>
      <c r="D100" t="s">
        <v>240</v>
      </c>
      <c r="E100" s="17" t="s">
        <v>120</v>
      </c>
      <c r="F100" s="17" t="s">
        <v>122</v>
      </c>
      <c r="G100" s="17" t="str">
        <f t="shared" si="8"/>
        <v>2030</v>
      </c>
      <c r="H100" s="17" t="s">
        <v>239</v>
      </c>
      <c r="I100" s="17" t="str">
        <f t="shared" si="6"/>
        <v>2019</v>
      </c>
      <c r="J100" s="17" t="s">
        <v>87</v>
      </c>
      <c r="K100" s="17">
        <v>0</v>
      </c>
      <c r="L100" s="17">
        <v>0</v>
      </c>
      <c r="M100" s="17">
        <v>0.05</v>
      </c>
      <c r="N100" s="17" t="s">
        <v>122</v>
      </c>
      <c r="O100" s="58">
        <v>0</v>
      </c>
      <c r="P100" s="17">
        <v>1</v>
      </c>
      <c r="Q100" s="17">
        <v>0</v>
      </c>
      <c r="R100" t="s">
        <v>221</v>
      </c>
      <c r="S100" t="s">
        <v>222</v>
      </c>
      <c r="T100" t="s">
        <v>268</v>
      </c>
      <c r="U100" s="20" t="b">
        <v>0</v>
      </c>
      <c r="V100" t="b">
        <v>1</v>
      </c>
      <c r="W100" t="b">
        <v>0</v>
      </c>
      <c r="X100" t="b">
        <v>0</v>
      </c>
      <c r="Y100" t="b">
        <v>1</v>
      </c>
      <c r="Z100" t="b">
        <v>0</v>
      </c>
      <c r="AA100" t="b">
        <v>0</v>
      </c>
      <c r="AB100" t="b">
        <v>0</v>
      </c>
      <c r="AC100" t="b">
        <v>0</v>
      </c>
      <c r="AD100" s="21" t="b">
        <v>0</v>
      </c>
      <c r="AE100" t="b">
        <v>0</v>
      </c>
      <c r="AF100" t="b">
        <v>0</v>
      </c>
      <c r="AG100" t="b">
        <v>1</v>
      </c>
    </row>
    <row r="101" spans="1:33" x14ac:dyDescent="0.3">
      <c r="A101" s="13">
        <f t="shared" si="7"/>
        <v>94</v>
      </c>
      <c r="B101" s="13" t="s">
        <v>230</v>
      </c>
      <c r="C101" s="17" t="s">
        <v>216</v>
      </c>
      <c r="D101" t="s">
        <v>240</v>
      </c>
      <c r="E101" s="17" t="s">
        <v>120</v>
      </c>
      <c r="F101" s="17" t="s">
        <v>122</v>
      </c>
      <c r="G101" s="17" t="str">
        <f t="shared" si="8"/>
        <v>2030</v>
      </c>
      <c r="H101" s="17" t="s">
        <v>239</v>
      </c>
      <c r="I101" s="17" t="str">
        <f t="shared" si="6"/>
        <v>2019</v>
      </c>
      <c r="J101" s="17" t="s">
        <v>87</v>
      </c>
      <c r="K101" s="17">
        <v>0</v>
      </c>
      <c r="L101" s="17">
        <v>0</v>
      </c>
      <c r="M101" s="17">
        <v>5.5E-2</v>
      </c>
      <c r="N101" s="17" t="s">
        <v>122</v>
      </c>
      <c r="O101" s="58">
        <v>0</v>
      </c>
      <c r="P101" s="17">
        <v>1</v>
      </c>
      <c r="Q101" s="17">
        <v>0</v>
      </c>
      <c r="R101" t="s">
        <v>221</v>
      </c>
      <c r="S101" t="s">
        <v>222</v>
      </c>
      <c r="T101" t="s">
        <v>268</v>
      </c>
      <c r="U101" s="20" t="b">
        <v>0</v>
      </c>
      <c r="V101" t="b">
        <v>1</v>
      </c>
      <c r="W101" t="b">
        <v>0</v>
      </c>
      <c r="X101" t="b">
        <v>0</v>
      </c>
      <c r="Y101" t="b">
        <v>1</v>
      </c>
      <c r="Z101" t="b">
        <v>0</v>
      </c>
      <c r="AA101" t="b">
        <v>0</v>
      </c>
      <c r="AB101" t="b">
        <v>0</v>
      </c>
      <c r="AC101" t="b">
        <v>0</v>
      </c>
      <c r="AD101" s="21" t="b">
        <v>0</v>
      </c>
      <c r="AE101" t="b">
        <v>0</v>
      </c>
      <c r="AF101" t="b">
        <v>0</v>
      </c>
      <c r="AG101" t="b">
        <v>1</v>
      </c>
    </row>
    <row r="102" spans="1:33" x14ac:dyDescent="0.3">
      <c r="A102" s="13">
        <f t="shared" si="7"/>
        <v>95</v>
      </c>
      <c r="B102" s="13" t="s">
        <v>230</v>
      </c>
      <c r="C102" s="17" t="s">
        <v>216</v>
      </c>
      <c r="D102" t="s">
        <v>240</v>
      </c>
      <c r="E102" s="17" t="s">
        <v>120</v>
      </c>
      <c r="F102" s="17" t="s">
        <v>122</v>
      </c>
      <c r="G102" s="17" t="str">
        <f t="shared" si="8"/>
        <v>2030</v>
      </c>
      <c r="H102" s="17" t="s">
        <v>239</v>
      </c>
      <c r="I102" s="17" t="str">
        <f t="shared" si="6"/>
        <v>2019</v>
      </c>
      <c r="J102" s="17" t="s">
        <v>87</v>
      </c>
      <c r="K102" s="17">
        <v>0</v>
      </c>
      <c r="L102" s="17">
        <v>0</v>
      </c>
      <c r="M102" s="17">
        <v>0.06</v>
      </c>
      <c r="N102" s="17" t="s">
        <v>122</v>
      </c>
      <c r="O102" s="58">
        <v>0</v>
      </c>
      <c r="P102" s="17">
        <v>1</v>
      </c>
      <c r="Q102" s="17">
        <v>0</v>
      </c>
      <c r="R102" t="s">
        <v>221</v>
      </c>
      <c r="S102" t="s">
        <v>222</v>
      </c>
      <c r="T102" t="s">
        <v>268</v>
      </c>
      <c r="U102" s="20" t="b">
        <v>0</v>
      </c>
      <c r="V102" t="b">
        <v>1</v>
      </c>
      <c r="W102" t="b">
        <v>0</v>
      </c>
      <c r="X102" t="b">
        <v>0</v>
      </c>
      <c r="Y102" t="b">
        <v>1</v>
      </c>
      <c r="Z102" t="b">
        <v>0</v>
      </c>
      <c r="AA102" t="b">
        <v>0</v>
      </c>
      <c r="AB102" t="b">
        <v>0</v>
      </c>
      <c r="AC102" t="b">
        <v>0</v>
      </c>
      <c r="AD102" s="21" t="b">
        <v>0</v>
      </c>
      <c r="AE102" t="b">
        <v>0</v>
      </c>
      <c r="AF102" t="b">
        <v>0</v>
      </c>
      <c r="AG102" t="b">
        <v>1</v>
      </c>
    </row>
    <row r="103" spans="1:33" x14ac:dyDescent="0.3">
      <c r="A103" s="13">
        <f t="shared" si="7"/>
        <v>96</v>
      </c>
      <c r="B103" s="13" t="s">
        <v>230</v>
      </c>
      <c r="C103" s="17" t="s">
        <v>216</v>
      </c>
      <c r="D103" t="s">
        <v>240</v>
      </c>
      <c r="E103" s="17" t="s">
        <v>120</v>
      </c>
      <c r="F103" s="17" t="s">
        <v>122</v>
      </c>
      <c r="G103" s="17" t="str">
        <f t="shared" si="8"/>
        <v>2030</v>
      </c>
      <c r="H103" s="17" t="s">
        <v>239</v>
      </c>
      <c r="I103" s="17" t="str">
        <f t="shared" si="6"/>
        <v>2019</v>
      </c>
      <c r="J103" s="17" t="s">
        <v>87</v>
      </c>
      <c r="K103" s="17">
        <v>0</v>
      </c>
      <c r="L103" s="17">
        <v>0</v>
      </c>
      <c r="M103" s="17">
        <v>6.5000000000000002E-2</v>
      </c>
      <c r="N103" s="17" t="s">
        <v>122</v>
      </c>
      <c r="O103" s="58">
        <v>0</v>
      </c>
      <c r="P103" s="17">
        <v>1</v>
      </c>
      <c r="Q103" s="17">
        <v>0</v>
      </c>
      <c r="R103" t="s">
        <v>221</v>
      </c>
      <c r="S103" t="s">
        <v>222</v>
      </c>
      <c r="T103" t="s">
        <v>268</v>
      </c>
      <c r="U103" s="20" t="b">
        <v>0</v>
      </c>
      <c r="V103" t="b">
        <v>1</v>
      </c>
      <c r="W103" t="b">
        <v>0</v>
      </c>
      <c r="X103" t="b">
        <v>0</v>
      </c>
      <c r="Y103" t="b">
        <v>1</v>
      </c>
      <c r="Z103" t="b">
        <v>0</v>
      </c>
      <c r="AA103" t="b">
        <v>0</v>
      </c>
      <c r="AB103" t="b">
        <v>0</v>
      </c>
      <c r="AC103" t="b">
        <v>0</v>
      </c>
      <c r="AD103" s="21" t="b">
        <v>0</v>
      </c>
      <c r="AE103" t="b">
        <v>0</v>
      </c>
      <c r="AF103" t="b">
        <v>0</v>
      </c>
      <c r="AG103" t="b">
        <v>1</v>
      </c>
    </row>
    <row r="104" spans="1:33" x14ac:dyDescent="0.3">
      <c r="A104" s="13">
        <f t="shared" si="7"/>
        <v>97</v>
      </c>
      <c r="B104" s="13" t="s">
        <v>230</v>
      </c>
      <c r="C104" s="17" t="s">
        <v>216</v>
      </c>
      <c r="D104" t="s">
        <v>259</v>
      </c>
      <c r="E104" s="17" t="s">
        <v>120</v>
      </c>
      <c r="F104" s="17" t="s">
        <v>122</v>
      </c>
      <c r="G104" s="17" t="str">
        <f t="shared" si="8"/>
        <v>2030</v>
      </c>
      <c r="H104" s="17" t="s">
        <v>239</v>
      </c>
      <c r="I104" s="17" t="str">
        <f t="shared" si="6"/>
        <v>2019</v>
      </c>
      <c r="J104" s="17" t="s">
        <v>87</v>
      </c>
      <c r="K104" s="17">
        <v>0</v>
      </c>
      <c r="L104" s="17">
        <v>0</v>
      </c>
      <c r="M104" s="17">
        <v>0.01</v>
      </c>
      <c r="N104" s="17" t="s">
        <v>122</v>
      </c>
      <c r="O104" s="58">
        <v>0</v>
      </c>
      <c r="P104" s="17">
        <v>1</v>
      </c>
      <c r="Q104" s="17">
        <v>0</v>
      </c>
      <c r="R104" t="s">
        <v>221</v>
      </c>
      <c r="S104" t="s">
        <v>222</v>
      </c>
      <c r="T104" t="s">
        <v>268</v>
      </c>
      <c r="U104" s="20" t="b">
        <v>0</v>
      </c>
      <c r="V104" t="b">
        <v>1</v>
      </c>
      <c r="W104" t="b">
        <v>0</v>
      </c>
      <c r="X104" t="b">
        <v>0</v>
      </c>
      <c r="Y104" t="b">
        <v>1</v>
      </c>
      <c r="Z104" t="b">
        <v>0</v>
      </c>
      <c r="AA104" t="b">
        <v>0</v>
      </c>
      <c r="AB104" t="b">
        <v>0</v>
      </c>
      <c r="AC104" t="b">
        <v>0</v>
      </c>
      <c r="AD104" s="21" t="b">
        <v>0</v>
      </c>
      <c r="AE104" t="b">
        <v>0</v>
      </c>
      <c r="AF104" t="b">
        <v>0</v>
      </c>
      <c r="AG104" t="b">
        <v>1</v>
      </c>
    </row>
    <row r="105" spans="1:33" x14ac:dyDescent="0.3">
      <c r="A105" s="13">
        <f t="shared" si="7"/>
        <v>98</v>
      </c>
      <c r="B105" s="13" t="s">
        <v>230</v>
      </c>
      <c r="C105" s="17" t="s">
        <v>216</v>
      </c>
      <c r="D105" t="s">
        <v>259</v>
      </c>
      <c r="E105" s="17" t="s">
        <v>120</v>
      </c>
      <c r="F105" s="17" t="s">
        <v>122</v>
      </c>
      <c r="G105" s="17" t="str">
        <f t="shared" si="8"/>
        <v>2030</v>
      </c>
      <c r="H105" s="17" t="s">
        <v>239</v>
      </c>
      <c r="I105" s="17" t="str">
        <f t="shared" si="6"/>
        <v>2019</v>
      </c>
      <c r="J105" s="17" t="s">
        <v>87</v>
      </c>
      <c r="K105" s="17">
        <v>0</v>
      </c>
      <c r="L105" s="17">
        <v>0</v>
      </c>
      <c r="M105" s="17">
        <v>1.4999999999999999E-2</v>
      </c>
      <c r="N105" s="17" t="s">
        <v>122</v>
      </c>
      <c r="O105" s="58">
        <v>0</v>
      </c>
      <c r="P105" s="17">
        <v>1</v>
      </c>
      <c r="Q105" s="17">
        <v>0</v>
      </c>
      <c r="R105" t="s">
        <v>221</v>
      </c>
      <c r="S105" t="s">
        <v>222</v>
      </c>
      <c r="T105" t="s">
        <v>268</v>
      </c>
      <c r="U105" s="20" t="b">
        <v>0</v>
      </c>
      <c r="V105" t="b">
        <v>1</v>
      </c>
      <c r="W105" t="b">
        <v>0</v>
      </c>
      <c r="X105" t="b">
        <v>0</v>
      </c>
      <c r="Y105" t="b">
        <v>1</v>
      </c>
      <c r="Z105" t="b">
        <v>0</v>
      </c>
      <c r="AA105" t="b">
        <v>0</v>
      </c>
      <c r="AB105" t="b">
        <v>0</v>
      </c>
      <c r="AC105" t="b">
        <v>0</v>
      </c>
      <c r="AD105" s="21" t="b">
        <v>0</v>
      </c>
      <c r="AE105" t="b">
        <v>0</v>
      </c>
      <c r="AF105" t="b">
        <v>0</v>
      </c>
      <c r="AG105" t="b">
        <v>1</v>
      </c>
    </row>
    <row r="106" spans="1:33" x14ac:dyDescent="0.3">
      <c r="A106" s="13">
        <f t="shared" si="7"/>
        <v>99</v>
      </c>
      <c r="B106" s="13" t="s">
        <v>230</v>
      </c>
      <c r="C106" s="17" t="s">
        <v>216</v>
      </c>
      <c r="D106" t="s">
        <v>259</v>
      </c>
      <c r="E106" s="17" t="s">
        <v>120</v>
      </c>
      <c r="F106" s="17" t="s">
        <v>122</v>
      </c>
      <c r="G106" s="17" t="str">
        <f t="shared" si="8"/>
        <v>2030</v>
      </c>
      <c r="H106" s="17" t="s">
        <v>239</v>
      </c>
      <c r="I106" s="17" t="str">
        <f t="shared" si="6"/>
        <v>2019</v>
      </c>
      <c r="J106" s="17" t="s">
        <v>87</v>
      </c>
      <c r="K106" s="17">
        <v>0</v>
      </c>
      <c r="L106" s="17">
        <v>0</v>
      </c>
      <c r="M106" s="17">
        <v>0.02</v>
      </c>
      <c r="N106" s="17" t="s">
        <v>122</v>
      </c>
      <c r="O106" s="58">
        <v>0</v>
      </c>
      <c r="P106" s="17">
        <v>1</v>
      </c>
      <c r="Q106" s="17">
        <v>0</v>
      </c>
      <c r="R106" t="s">
        <v>221</v>
      </c>
      <c r="S106" t="s">
        <v>222</v>
      </c>
      <c r="T106" t="s">
        <v>268</v>
      </c>
      <c r="U106" s="20" t="b">
        <v>0</v>
      </c>
      <c r="V106" t="b">
        <v>1</v>
      </c>
      <c r="W106" t="b">
        <v>0</v>
      </c>
      <c r="X106" t="b">
        <v>0</v>
      </c>
      <c r="Y106" t="b">
        <v>1</v>
      </c>
      <c r="Z106" t="b">
        <v>0</v>
      </c>
      <c r="AA106" t="b">
        <v>0</v>
      </c>
      <c r="AB106" t="b">
        <v>0</v>
      </c>
      <c r="AC106" t="b">
        <v>0</v>
      </c>
      <c r="AD106" s="21" t="b">
        <v>0</v>
      </c>
      <c r="AE106" t="b">
        <v>0</v>
      </c>
      <c r="AF106" t="b">
        <v>0</v>
      </c>
      <c r="AG106" t="b">
        <v>1</v>
      </c>
    </row>
    <row r="107" spans="1:33" x14ac:dyDescent="0.3">
      <c r="A107" s="13">
        <f t="shared" si="7"/>
        <v>100</v>
      </c>
      <c r="B107" s="13" t="s">
        <v>230</v>
      </c>
      <c r="C107" s="17" t="s">
        <v>216</v>
      </c>
      <c r="D107" t="s">
        <v>259</v>
      </c>
      <c r="E107" s="17" t="s">
        <v>120</v>
      </c>
      <c r="F107" s="17" t="s">
        <v>122</v>
      </c>
      <c r="G107" s="17" t="str">
        <f t="shared" si="8"/>
        <v>2030</v>
      </c>
      <c r="H107" s="17" t="s">
        <v>239</v>
      </c>
      <c r="I107" s="17" t="str">
        <f t="shared" si="6"/>
        <v>2019</v>
      </c>
      <c r="J107" s="17" t="s">
        <v>87</v>
      </c>
      <c r="K107" s="17">
        <v>0</v>
      </c>
      <c r="L107" s="17">
        <v>0</v>
      </c>
      <c r="M107" s="17">
        <v>2.5000000000000001E-2</v>
      </c>
      <c r="N107" s="17" t="s">
        <v>122</v>
      </c>
      <c r="O107" s="58">
        <v>0</v>
      </c>
      <c r="P107" s="17">
        <v>1</v>
      </c>
      <c r="Q107" s="17">
        <v>0</v>
      </c>
      <c r="R107" t="s">
        <v>221</v>
      </c>
      <c r="S107" t="s">
        <v>222</v>
      </c>
      <c r="T107" t="s">
        <v>268</v>
      </c>
      <c r="U107" s="20" t="b">
        <v>0</v>
      </c>
      <c r="V107" t="b">
        <v>1</v>
      </c>
      <c r="W107" t="b">
        <v>0</v>
      </c>
      <c r="X107" t="b">
        <v>0</v>
      </c>
      <c r="Y107" t="b">
        <v>1</v>
      </c>
      <c r="Z107" t="b">
        <v>0</v>
      </c>
      <c r="AA107" t="b">
        <v>0</v>
      </c>
      <c r="AB107" t="b">
        <v>0</v>
      </c>
      <c r="AC107" t="b">
        <v>0</v>
      </c>
      <c r="AD107" s="21" t="b">
        <v>0</v>
      </c>
      <c r="AE107" t="b">
        <v>0</v>
      </c>
      <c r="AF107" t="b">
        <v>0</v>
      </c>
      <c r="AG107" t="b">
        <v>1</v>
      </c>
    </row>
    <row r="108" spans="1:33" x14ac:dyDescent="0.3">
      <c r="A108" s="13">
        <f t="shared" si="7"/>
        <v>101</v>
      </c>
      <c r="B108" s="13" t="s">
        <v>230</v>
      </c>
      <c r="C108" s="17" t="s">
        <v>216</v>
      </c>
      <c r="D108" t="s">
        <v>259</v>
      </c>
      <c r="E108" s="17" t="s">
        <v>120</v>
      </c>
      <c r="F108" s="17" t="s">
        <v>122</v>
      </c>
      <c r="G108" s="17" t="str">
        <f t="shared" si="8"/>
        <v>2030</v>
      </c>
      <c r="H108" s="17" t="s">
        <v>239</v>
      </c>
      <c r="I108" s="17" t="str">
        <f t="shared" si="6"/>
        <v>2019</v>
      </c>
      <c r="J108" s="17" t="s">
        <v>87</v>
      </c>
      <c r="K108" s="17">
        <v>0</v>
      </c>
      <c r="L108" s="17">
        <v>0</v>
      </c>
      <c r="M108" s="17">
        <v>0.03</v>
      </c>
      <c r="N108" s="17" t="s">
        <v>122</v>
      </c>
      <c r="O108" s="58">
        <v>0</v>
      </c>
      <c r="P108" s="17">
        <v>1</v>
      </c>
      <c r="Q108" s="17">
        <v>0</v>
      </c>
      <c r="R108" t="s">
        <v>221</v>
      </c>
      <c r="S108" t="s">
        <v>222</v>
      </c>
      <c r="T108" t="s">
        <v>268</v>
      </c>
      <c r="U108" s="20" t="b">
        <v>0</v>
      </c>
      <c r="V108" t="b">
        <v>1</v>
      </c>
      <c r="W108" t="b">
        <v>0</v>
      </c>
      <c r="X108" t="b">
        <v>0</v>
      </c>
      <c r="Y108" t="b">
        <v>1</v>
      </c>
      <c r="Z108" t="b">
        <v>0</v>
      </c>
      <c r="AA108" t="b">
        <v>0</v>
      </c>
      <c r="AB108" t="b">
        <v>0</v>
      </c>
      <c r="AC108" t="b">
        <v>0</v>
      </c>
      <c r="AD108" s="21" t="b">
        <v>0</v>
      </c>
      <c r="AE108" t="b">
        <v>0</v>
      </c>
      <c r="AF108" t="b">
        <v>0</v>
      </c>
      <c r="AG108" t="b">
        <v>1</v>
      </c>
    </row>
    <row r="109" spans="1:33" x14ac:dyDescent="0.3">
      <c r="A109" s="13">
        <f t="shared" si="7"/>
        <v>102</v>
      </c>
      <c r="B109" s="13" t="s">
        <v>230</v>
      </c>
      <c r="C109" s="17" t="s">
        <v>216</v>
      </c>
      <c r="D109" t="s">
        <v>259</v>
      </c>
      <c r="E109" s="17" t="s">
        <v>120</v>
      </c>
      <c r="F109" s="17" t="s">
        <v>122</v>
      </c>
      <c r="G109" s="17" t="str">
        <f t="shared" si="8"/>
        <v>2030</v>
      </c>
      <c r="H109" s="17" t="s">
        <v>239</v>
      </c>
      <c r="I109" s="17" t="str">
        <f t="shared" si="6"/>
        <v>2019</v>
      </c>
      <c r="J109" s="17" t="s">
        <v>87</v>
      </c>
      <c r="K109" s="17">
        <v>0</v>
      </c>
      <c r="L109" s="17">
        <v>0</v>
      </c>
      <c r="M109" s="17">
        <v>3.5000000000000003E-2</v>
      </c>
      <c r="N109" s="17" t="s">
        <v>122</v>
      </c>
      <c r="O109" s="58">
        <v>0</v>
      </c>
      <c r="P109" s="17">
        <v>1</v>
      </c>
      <c r="Q109" s="17">
        <v>0</v>
      </c>
      <c r="R109" t="s">
        <v>221</v>
      </c>
      <c r="S109" t="s">
        <v>222</v>
      </c>
      <c r="T109" t="s">
        <v>268</v>
      </c>
      <c r="U109" s="20" t="b">
        <v>0</v>
      </c>
      <c r="V109" t="b">
        <v>1</v>
      </c>
      <c r="W109" t="b">
        <v>0</v>
      </c>
      <c r="X109" t="b">
        <v>0</v>
      </c>
      <c r="Y109" t="b">
        <v>1</v>
      </c>
      <c r="Z109" t="b">
        <v>0</v>
      </c>
      <c r="AA109" t="b">
        <v>0</v>
      </c>
      <c r="AB109" t="b">
        <v>0</v>
      </c>
      <c r="AC109" t="b">
        <v>0</v>
      </c>
      <c r="AD109" s="21" t="b">
        <v>0</v>
      </c>
      <c r="AE109" t="b">
        <v>0</v>
      </c>
      <c r="AF109" t="b">
        <v>0</v>
      </c>
      <c r="AG109" t="b">
        <v>1</v>
      </c>
    </row>
    <row r="110" spans="1:33" x14ac:dyDescent="0.3">
      <c r="A110" s="13">
        <f t="shared" si="7"/>
        <v>103</v>
      </c>
      <c r="B110" s="13" t="s">
        <v>230</v>
      </c>
      <c r="C110" s="17" t="s">
        <v>216</v>
      </c>
      <c r="D110" t="s">
        <v>259</v>
      </c>
      <c r="E110" s="17" t="s">
        <v>120</v>
      </c>
      <c r="F110" s="17" t="s">
        <v>122</v>
      </c>
      <c r="G110" s="17" t="str">
        <f t="shared" si="8"/>
        <v>2030</v>
      </c>
      <c r="H110" s="17" t="s">
        <v>239</v>
      </c>
      <c r="I110" s="17" t="str">
        <f t="shared" si="6"/>
        <v>2019</v>
      </c>
      <c r="J110" s="17" t="s">
        <v>87</v>
      </c>
      <c r="K110" s="17">
        <v>0</v>
      </c>
      <c r="L110" s="17">
        <v>0</v>
      </c>
      <c r="M110" s="17">
        <v>0.04</v>
      </c>
      <c r="N110" s="17" t="s">
        <v>122</v>
      </c>
      <c r="O110" s="58">
        <v>0</v>
      </c>
      <c r="P110" s="17">
        <v>1</v>
      </c>
      <c r="Q110" s="17">
        <v>0</v>
      </c>
      <c r="R110" t="s">
        <v>221</v>
      </c>
      <c r="S110" t="s">
        <v>222</v>
      </c>
      <c r="T110" t="s">
        <v>268</v>
      </c>
      <c r="U110" s="20" t="b">
        <v>0</v>
      </c>
      <c r="V110" t="b">
        <v>1</v>
      </c>
      <c r="W110" t="b">
        <v>0</v>
      </c>
      <c r="X110" t="b">
        <v>0</v>
      </c>
      <c r="Y110" t="b">
        <v>1</v>
      </c>
      <c r="Z110" t="b">
        <v>0</v>
      </c>
      <c r="AA110" t="b">
        <v>0</v>
      </c>
      <c r="AB110" t="b">
        <v>0</v>
      </c>
      <c r="AC110" t="b">
        <v>0</v>
      </c>
      <c r="AD110" s="21" t="b">
        <v>0</v>
      </c>
      <c r="AE110" t="b">
        <v>0</v>
      </c>
      <c r="AF110" t="b">
        <v>0</v>
      </c>
      <c r="AG110" t="b">
        <v>1</v>
      </c>
    </row>
    <row r="111" spans="1:33" x14ac:dyDescent="0.3">
      <c r="A111" s="13">
        <f t="shared" si="7"/>
        <v>104</v>
      </c>
      <c r="B111" s="13" t="s">
        <v>230</v>
      </c>
      <c r="C111" s="17" t="s">
        <v>216</v>
      </c>
      <c r="D111" t="s">
        <v>259</v>
      </c>
      <c r="E111" s="17" t="s">
        <v>120</v>
      </c>
      <c r="F111" s="17" t="s">
        <v>122</v>
      </c>
      <c r="G111" s="17" t="str">
        <f t="shared" si="8"/>
        <v>2030</v>
      </c>
      <c r="H111" s="17" t="s">
        <v>239</v>
      </c>
      <c r="I111" s="17" t="str">
        <f t="shared" si="6"/>
        <v>2019</v>
      </c>
      <c r="J111" s="17" t="s">
        <v>87</v>
      </c>
      <c r="K111" s="17">
        <v>0</v>
      </c>
      <c r="L111" s="17">
        <v>0</v>
      </c>
      <c r="M111" s="17">
        <v>4.4999999999999998E-2</v>
      </c>
      <c r="N111" s="17" t="s">
        <v>122</v>
      </c>
      <c r="O111" s="58">
        <v>0</v>
      </c>
      <c r="P111" s="17">
        <v>1</v>
      </c>
      <c r="Q111" s="17">
        <v>0</v>
      </c>
      <c r="R111" t="s">
        <v>221</v>
      </c>
      <c r="S111" t="s">
        <v>222</v>
      </c>
      <c r="T111" t="s">
        <v>268</v>
      </c>
      <c r="U111" s="20" t="b">
        <v>0</v>
      </c>
      <c r="V111" t="b">
        <v>1</v>
      </c>
      <c r="W111" t="b">
        <v>0</v>
      </c>
      <c r="X111" t="b">
        <v>0</v>
      </c>
      <c r="Y111" t="b">
        <v>1</v>
      </c>
      <c r="Z111" t="b">
        <v>0</v>
      </c>
      <c r="AA111" t="b">
        <v>0</v>
      </c>
      <c r="AB111" t="b">
        <v>0</v>
      </c>
      <c r="AC111" t="b">
        <v>0</v>
      </c>
      <c r="AD111" s="21" t="b">
        <v>0</v>
      </c>
      <c r="AE111" t="b">
        <v>0</v>
      </c>
      <c r="AF111" t="b">
        <v>0</v>
      </c>
      <c r="AG111" t="b">
        <v>1</v>
      </c>
    </row>
    <row r="112" spans="1:33" x14ac:dyDescent="0.3">
      <c r="A112" s="13">
        <f t="shared" si="7"/>
        <v>105</v>
      </c>
      <c r="B112" s="13" t="s">
        <v>230</v>
      </c>
      <c r="C112" s="17" t="s">
        <v>216</v>
      </c>
      <c r="D112" t="s">
        <v>259</v>
      </c>
      <c r="E112" s="17" t="s">
        <v>120</v>
      </c>
      <c r="F112" s="17" t="s">
        <v>122</v>
      </c>
      <c r="G112" s="17" t="str">
        <f t="shared" si="8"/>
        <v>2030</v>
      </c>
      <c r="H112" s="17" t="s">
        <v>239</v>
      </c>
      <c r="I112" s="17" t="str">
        <f t="shared" si="6"/>
        <v>2019</v>
      </c>
      <c r="J112" s="17" t="s">
        <v>87</v>
      </c>
      <c r="K112" s="17">
        <v>0</v>
      </c>
      <c r="L112" s="17">
        <v>0</v>
      </c>
      <c r="M112" s="17">
        <v>0.05</v>
      </c>
      <c r="N112" s="17" t="s">
        <v>122</v>
      </c>
      <c r="O112" s="58">
        <v>0</v>
      </c>
      <c r="P112" s="17">
        <v>1</v>
      </c>
      <c r="Q112" s="17">
        <v>0</v>
      </c>
      <c r="R112" t="s">
        <v>221</v>
      </c>
      <c r="S112" t="s">
        <v>222</v>
      </c>
      <c r="T112" t="s">
        <v>268</v>
      </c>
      <c r="U112" s="20" t="b">
        <v>0</v>
      </c>
      <c r="V112" t="b">
        <v>1</v>
      </c>
      <c r="W112" t="b">
        <v>0</v>
      </c>
      <c r="X112" t="b">
        <v>0</v>
      </c>
      <c r="Y112" t="b">
        <v>1</v>
      </c>
      <c r="Z112" t="b">
        <v>0</v>
      </c>
      <c r="AA112" t="b">
        <v>0</v>
      </c>
      <c r="AB112" t="b">
        <v>0</v>
      </c>
      <c r="AC112" t="b">
        <v>0</v>
      </c>
      <c r="AD112" s="21" t="b">
        <v>0</v>
      </c>
      <c r="AE112" t="b">
        <v>0</v>
      </c>
      <c r="AF112" t="b">
        <v>0</v>
      </c>
      <c r="AG112" t="b">
        <v>1</v>
      </c>
    </row>
    <row r="113" spans="1:33" x14ac:dyDescent="0.3">
      <c r="A113" s="13">
        <f t="shared" si="7"/>
        <v>106</v>
      </c>
      <c r="B113" s="13" t="s">
        <v>230</v>
      </c>
      <c r="C113" s="17" t="s">
        <v>216</v>
      </c>
      <c r="D113" t="s">
        <v>259</v>
      </c>
      <c r="E113" s="17" t="s">
        <v>120</v>
      </c>
      <c r="F113" s="17" t="s">
        <v>122</v>
      </c>
      <c r="G113" s="17" t="str">
        <f t="shared" si="8"/>
        <v>2030</v>
      </c>
      <c r="H113" s="17" t="s">
        <v>239</v>
      </c>
      <c r="I113" s="17" t="str">
        <f t="shared" si="6"/>
        <v>2019</v>
      </c>
      <c r="J113" s="17" t="s">
        <v>87</v>
      </c>
      <c r="K113" s="17">
        <v>0</v>
      </c>
      <c r="L113" s="17">
        <v>0</v>
      </c>
      <c r="M113" s="17">
        <v>5.5E-2</v>
      </c>
      <c r="N113" s="17" t="s">
        <v>122</v>
      </c>
      <c r="O113" s="58">
        <v>0</v>
      </c>
      <c r="P113" s="17">
        <v>1</v>
      </c>
      <c r="Q113" s="17">
        <v>0</v>
      </c>
      <c r="R113" t="s">
        <v>221</v>
      </c>
      <c r="S113" t="s">
        <v>222</v>
      </c>
      <c r="T113" t="s">
        <v>268</v>
      </c>
      <c r="U113" s="20" t="b">
        <v>0</v>
      </c>
      <c r="V113" t="b">
        <v>1</v>
      </c>
      <c r="W113" t="b">
        <v>0</v>
      </c>
      <c r="X113" t="b">
        <v>0</v>
      </c>
      <c r="Y113" t="b">
        <v>1</v>
      </c>
      <c r="Z113" t="b">
        <v>0</v>
      </c>
      <c r="AA113" t="b">
        <v>0</v>
      </c>
      <c r="AB113" t="b">
        <v>0</v>
      </c>
      <c r="AC113" t="b">
        <v>0</v>
      </c>
      <c r="AD113" s="21" t="b">
        <v>0</v>
      </c>
      <c r="AE113" t="b">
        <v>0</v>
      </c>
      <c r="AF113" t="b">
        <v>0</v>
      </c>
      <c r="AG113" t="b">
        <v>1</v>
      </c>
    </row>
    <row r="114" spans="1:33" x14ac:dyDescent="0.3">
      <c r="A114" s="13">
        <f t="shared" si="7"/>
        <v>107</v>
      </c>
      <c r="B114" s="13" t="s">
        <v>230</v>
      </c>
      <c r="C114" s="17" t="s">
        <v>216</v>
      </c>
      <c r="D114" t="s">
        <v>259</v>
      </c>
      <c r="E114" s="17" t="s">
        <v>120</v>
      </c>
      <c r="F114" s="17" t="s">
        <v>122</v>
      </c>
      <c r="G114" s="17" t="str">
        <f t="shared" si="8"/>
        <v>2030</v>
      </c>
      <c r="H114" s="17" t="s">
        <v>239</v>
      </c>
      <c r="I114" s="17" t="str">
        <f t="shared" si="6"/>
        <v>2019</v>
      </c>
      <c r="J114" s="17" t="s">
        <v>87</v>
      </c>
      <c r="K114" s="17">
        <v>0</v>
      </c>
      <c r="L114" s="17">
        <v>0</v>
      </c>
      <c r="M114" s="17">
        <v>0.06</v>
      </c>
      <c r="N114" s="17" t="s">
        <v>122</v>
      </c>
      <c r="O114" s="58">
        <v>0</v>
      </c>
      <c r="P114" s="17">
        <v>1</v>
      </c>
      <c r="Q114" s="17">
        <v>0</v>
      </c>
      <c r="R114" t="s">
        <v>221</v>
      </c>
      <c r="S114" t="s">
        <v>222</v>
      </c>
      <c r="T114" t="s">
        <v>268</v>
      </c>
      <c r="U114" s="20" t="b">
        <v>0</v>
      </c>
      <c r="V114" t="b">
        <v>1</v>
      </c>
      <c r="W114" t="b">
        <v>0</v>
      </c>
      <c r="X114" t="b">
        <v>0</v>
      </c>
      <c r="Y114" t="b">
        <v>1</v>
      </c>
      <c r="Z114" t="b">
        <v>0</v>
      </c>
      <c r="AA114" t="b">
        <v>0</v>
      </c>
      <c r="AB114" t="b">
        <v>0</v>
      </c>
      <c r="AC114" t="b">
        <v>0</v>
      </c>
      <c r="AD114" s="21" t="b">
        <v>0</v>
      </c>
      <c r="AE114" t="b">
        <v>0</v>
      </c>
      <c r="AF114" t="b">
        <v>0</v>
      </c>
      <c r="AG114" t="b">
        <v>1</v>
      </c>
    </row>
    <row r="115" spans="1:33" x14ac:dyDescent="0.3">
      <c r="A115" s="13">
        <f t="shared" si="7"/>
        <v>108</v>
      </c>
      <c r="B115" s="13" t="s">
        <v>230</v>
      </c>
      <c r="C115" s="17" t="s">
        <v>216</v>
      </c>
      <c r="D115" t="s">
        <v>259</v>
      </c>
      <c r="E115" s="17" t="s">
        <v>120</v>
      </c>
      <c r="F115" s="17" t="s">
        <v>122</v>
      </c>
      <c r="G115" s="17" t="str">
        <f t="shared" si="8"/>
        <v>2030</v>
      </c>
      <c r="H115" s="17" t="s">
        <v>239</v>
      </c>
      <c r="I115" s="17" t="str">
        <f t="shared" ref="I115" si="9">"2019"</f>
        <v>2019</v>
      </c>
      <c r="J115" s="17" t="s">
        <v>87</v>
      </c>
      <c r="K115" s="17">
        <v>0</v>
      </c>
      <c r="L115" s="17">
        <v>0</v>
      </c>
      <c r="M115" s="17">
        <v>6.5000000000000002E-2</v>
      </c>
      <c r="N115" s="17" t="s">
        <v>122</v>
      </c>
      <c r="O115" s="58">
        <v>0</v>
      </c>
      <c r="P115" s="17">
        <v>1</v>
      </c>
      <c r="Q115" s="17">
        <v>0</v>
      </c>
      <c r="R115" t="s">
        <v>221</v>
      </c>
      <c r="S115" t="s">
        <v>222</v>
      </c>
      <c r="T115" t="s">
        <v>268</v>
      </c>
      <c r="U115" s="20" t="b">
        <v>0</v>
      </c>
      <c r="V115" t="b">
        <v>1</v>
      </c>
      <c r="W115" t="b">
        <v>0</v>
      </c>
      <c r="X115" t="b">
        <v>0</v>
      </c>
      <c r="Y115" t="b">
        <v>1</v>
      </c>
      <c r="Z115" t="b">
        <v>0</v>
      </c>
      <c r="AA115" t="b">
        <v>0</v>
      </c>
      <c r="AB115" t="b">
        <v>0</v>
      </c>
      <c r="AC115" t="b">
        <v>0</v>
      </c>
      <c r="AD115" s="21" t="b">
        <v>0</v>
      </c>
      <c r="AE115" t="b">
        <v>0</v>
      </c>
      <c r="AF115" t="b">
        <v>0</v>
      </c>
      <c r="AG115" t="b">
        <v>1</v>
      </c>
    </row>
    <row r="116" spans="1:33" x14ac:dyDescent="0.3">
      <c r="A116" s="13">
        <f t="shared" si="7"/>
        <v>109</v>
      </c>
      <c r="B116" s="13" t="s">
        <v>230</v>
      </c>
      <c r="C116" s="17" t="s">
        <v>216</v>
      </c>
      <c r="D116" t="s">
        <v>258</v>
      </c>
      <c r="E116" s="17" t="s">
        <v>120</v>
      </c>
      <c r="F116" s="17" t="s">
        <v>122</v>
      </c>
      <c r="G116" s="17" t="str">
        <f t="shared" si="8"/>
        <v>2030</v>
      </c>
      <c r="H116" s="17" t="s">
        <v>239</v>
      </c>
      <c r="I116" s="17" t="str">
        <f t="shared" si="6"/>
        <v>2019</v>
      </c>
      <c r="J116" s="17" t="s">
        <v>87</v>
      </c>
      <c r="K116" s="17">
        <v>0</v>
      </c>
      <c r="L116" s="17">
        <v>0</v>
      </c>
      <c r="M116" s="17">
        <v>0.01</v>
      </c>
      <c r="N116" s="17" t="s">
        <v>122</v>
      </c>
      <c r="O116" s="58">
        <v>0</v>
      </c>
      <c r="P116" s="17">
        <v>1</v>
      </c>
      <c r="Q116" s="17">
        <v>0</v>
      </c>
      <c r="R116" t="s">
        <v>221</v>
      </c>
      <c r="S116" t="s">
        <v>222</v>
      </c>
      <c r="T116" t="s">
        <v>268</v>
      </c>
      <c r="U116" s="20" t="b">
        <v>0</v>
      </c>
      <c r="V116" t="b">
        <v>1</v>
      </c>
      <c r="W116" t="b">
        <v>0</v>
      </c>
      <c r="X116" t="b">
        <v>0</v>
      </c>
      <c r="Y116" t="b">
        <v>1</v>
      </c>
      <c r="Z116" t="b">
        <v>0</v>
      </c>
      <c r="AA116" t="b">
        <v>0</v>
      </c>
      <c r="AB116" t="b">
        <v>0</v>
      </c>
      <c r="AC116" t="b">
        <v>0</v>
      </c>
      <c r="AD116" s="21" t="b">
        <v>0</v>
      </c>
      <c r="AE116" t="b">
        <v>0</v>
      </c>
      <c r="AF116" t="b">
        <v>0</v>
      </c>
      <c r="AG116" t="b">
        <v>1</v>
      </c>
    </row>
    <row r="117" spans="1:33" x14ac:dyDescent="0.3">
      <c r="A117" s="13">
        <f t="shared" si="7"/>
        <v>110</v>
      </c>
      <c r="B117" s="13" t="s">
        <v>230</v>
      </c>
      <c r="C117" s="17" t="s">
        <v>216</v>
      </c>
      <c r="D117" t="s">
        <v>258</v>
      </c>
      <c r="E117" s="17" t="s">
        <v>120</v>
      </c>
      <c r="F117" s="17" t="s">
        <v>122</v>
      </c>
      <c r="G117" s="17" t="str">
        <f t="shared" si="8"/>
        <v>2030</v>
      </c>
      <c r="H117" s="17" t="s">
        <v>239</v>
      </c>
      <c r="I117" s="17" t="str">
        <f t="shared" ref="I117:I127" si="10">"2019"</f>
        <v>2019</v>
      </c>
      <c r="J117" s="17" t="s">
        <v>87</v>
      </c>
      <c r="K117" s="17">
        <v>0</v>
      </c>
      <c r="L117" s="17">
        <v>0</v>
      </c>
      <c r="M117" s="17">
        <v>1.4999999999999999E-2</v>
      </c>
      <c r="N117" s="17" t="s">
        <v>122</v>
      </c>
      <c r="O117" s="58">
        <v>0</v>
      </c>
      <c r="P117" s="17">
        <v>1</v>
      </c>
      <c r="Q117" s="17">
        <v>0</v>
      </c>
      <c r="R117" t="s">
        <v>221</v>
      </c>
      <c r="S117" t="s">
        <v>222</v>
      </c>
      <c r="T117" t="s">
        <v>268</v>
      </c>
      <c r="U117" s="20" t="b">
        <v>0</v>
      </c>
      <c r="V117" t="b">
        <v>1</v>
      </c>
      <c r="W117" t="b">
        <v>0</v>
      </c>
      <c r="X117" t="b">
        <v>0</v>
      </c>
      <c r="Y117" t="b">
        <v>1</v>
      </c>
      <c r="Z117" t="b">
        <v>0</v>
      </c>
      <c r="AA117" t="b">
        <v>0</v>
      </c>
      <c r="AB117" t="b">
        <v>0</v>
      </c>
      <c r="AC117" t="b">
        <v>0</v>
      </c>
      <c r="AD117" s="21" t="b">
        <v>0</v>
      </c>
      <c r="AE117" t="b">
        <v>0</v>
      </c>
      <c r="AF117" t="b">
        <v>0</v>
      </c>
      <c r="AG117" t="b">
        <v>1</v>
      </c>
    </row>
    <row r="118" spans="1:33" x14ac:dyDescent="0.3">
      <c r="A118" s="13">
        <f t="shared" si="7"/>
        <v>111</v>
      </c>
      <c r="B118" s="13" t="s">
        <v>230</v>
      </c>
      <c r="C118" s="17" t="s">
        <v>216</v>
      </c>
      <c r="D118" t="s">
        <v>258</v>
      </c>
      <c r="E118" s="17" t="s">
        <v>120</v>
      </c>
      <c r="F118" s="17" t="s">
        <v>122</v>
      </c>
      <c r="G118" s="17" t="str">
        <f t="shared" si="8"/>
        <v>2030</v>
      </c>
      <c r="H118" s="17" t="s">
        <v>239</v>
      </c>
      <c r="I118" s="17" t="str">
        <f t="shared" si="10"/>
        <v>2019</v>
      </c>
      <c r="J118" s="17" t="s">
        <v>87</v>
      </c>
      <c r="K118" s="17">
        <v>0</v>
      </c>
      <c r="L118" s="17">
        <v>0</v>
      </c>
      <c r="M118" s="17">
        <v>0.02</v>
      </c>
      <c r="N118" s="17" t="s">
        <v>122</v>
      </c>
      <c r="O118" s="58">
        <v>0</v>
      </c>
      <c r="P118" s="17">
        <v>1</v>
      </c>
      <c r="Q118" s="17">
        <v>0</v>
      </c>
      <c r="R118" t="s">
        <v>221</v>
      </c>
      <c r="S118" t="s">
        <v>222</v>
      </c>
      <c r="T118" t="s">
        <v>268</v>
      </c>
      <c r="U118" s="20" t="b">
        <v>0</v>
      </c>
      <c r="V118" t="b">
        <v>1</v>
      </c>
      <c r="W118" t="b">
        <v>0</v>
      </c>
      <c r="X118" t="b">
        <v>0</v>
      </c>
      <c r="Y118" t="b">
        <v>1</v>
      </c>
      <c r="Z118" t="b">
        <v>0</v>
      </c>
      <c r="AA118" t="b">
        <v>0</v>
      </c>
      <c r="AB118" t="b">
        <v>0</v>
      </c>
      <c r="AC118" t="b">
        <v>0</v>
      </c>
      <c r="AD118" s="21" t="b">
        <v>0</v>
      </c>
      <c r="AE118" t="b">
        <v>0</v>
      </c>
      <c r="AF118" t="b">
        <v>0</v>
      </c>
      <c r="AG118" t="b">
        <v>1</v>
      </c>
    </row>
    <row r="119" spans="1:33" x14ac:dyDescent="0.3">
      <c r="A119" s="13">
        <f t="shared" si="7"/>
        <v>112</v>
      </c>
      <c r="B119" s="13" t="s">
        <v>230</v>
      </c>
      <c r="C119" s="17" t="s">
        <v>216</v>
      </c>
      <c r="D119" t="s">
        <v>258</v>
      </c>
      <c r="E119" s="17" t="s">
        <v>120</v>
      </c>
      <c r="F119" s="17" t="s">
        <v>122</v>
      </c>
      <c r="G119" s="17" t="str">
        <f t="shared" si="8"/>
        <v>2030</v>
      </c>
      <c r="H119" s="17" t="s">
        <v>239</v>
      </c>
      <c r="I119" s="17" t="str">
        <f t="shared" si="10"/>
        <v>2019</v>
      </c>
      <c r="J119" s="17" t="s">
        <v>87</v>
      </c>
      <c r="K119" s="17">
        <v>0</v>
      </c>
      <c r="L119" s="17">
        <v>0</v>
      </c>
      <c r="M119" s="17">
        <v>2.5000000000000001E-2</v>
      </c>
      <c r="N119" s="17" t="s">
        <v>122</v>
      </c>
      <c r="O119" s="58">
        <v>0</v>
      </c>
      <c r="P119" s="17">
        <v>1</v>
      </c>
      <c r="Q119" s="17">
        <v>0</v>
      </c>
      <c r="R119" t="s">
        <v>221</v>
      </c>
      <c r="S119" t="s">
        <v>222</v>
      </c>
      <c r="T119" t="s">
        <v>268</v>
      </c>
      <c r="U119" s="20" t="b">
        <v>0</v>
      </c>
      <c r="V119" t="b">
        <v>1</v>
      </c>
      <c r="W119" t="b">
        <v>0</v>
      </c>
      <c r="X119" t="b">
        <v>0</v>
      </c>
      <c r="Y119" t="b">
        <v>1</v>
      </c>
      <c r="Z119" t="b">
        <v>0</v>
      </c>
      <c r="AA119" t="b">
        <v>0</v>
      </c>
      <c r="AB119" t="b">
        <v>0</v>
      </c>
      <c r="AC119" t="b">
        <v>0</v>
      </c>
      <c r="AD119" s="21" t="b">
        <v>0</v>
      </c>
      <c r="AE119" t="b">
        <v>0</v>
      </c>
      <c r="AF119" t="b">
        <v>0</v>
      </c>
      <c r="AG119" t="b">
        <v>1</v>
      </c>
    </row>
    <row r="120" spans="1:33" x14ac:dyDescent="0.3">
      <c r="A120" s="13">
        <f t="shared" si="7"/>
        <v>113</v>
      </c>
      <c r="B120" s="13" t="s">
        <v>230</v>
      </c>
      <c r="C120" s="17" t="s">
        <v>216</v>
      </c>
      <c r="D120" t="s">
        <v>258</v>
      </c>
      <c r="E120" s="17" t="s">
        <v>120</v>
      </c>
      <c r="F120" s="17" t="s">
        <v>122</v>
      </c>
      <c r="G120" s="17" t="str">
        <f t="shared" si="8"/>
        <v>2030</v>
      </c>
      <c r="H120" s="17" t="s">
        <v>239</v>
      </c>
      <c r="I120" s="17" t="str">
        <f t="shared" si="10"/>
        <v>2019</v>
      </c>
      <c r="J120" s="17" t="s">
        <v>87</v>
      </c>
      <c r="K120" s="17">
        <v>0</v>
      </c>
      <c r="L120" s="17">
        <v>0</v>
      </c>
      <c r="M120" s="17">
        <v>0.03</v>
      </c>
      <c r="N120" s="17" t="s">
        <v>122</v>
      </c>
      <c r="O120" s="58">
        <v>0</v>
      </c>
      <c r="P120" s="17">
        <v>1</v>
      </c>
      <c r="Q120" s="17">
        <v>0</v>
      </c>
      <c r="R120" t="s">
        <v>221</v>
      </c>
      <c r="S120" t="s">
        <v>222</v>
      </c>
      <c r="T120" t="s">
        <v>268</v>
      </c>
      <c r="U120" s="20" t="b">
        <v>0</v>
      </c>
      <c r="V120" t="b">
        <v>1</v>
      </c>
      <c r="W120" t="b">
        <v>0</v>
      </c>
      <c r="X120" t="b">
        <v>0</v>
      </c>
      <c r="Y120" t="b">
        <v>1</v>
      </c>
      <c r="Z120" t="b">
        <v>0</v>
      </c>
      <c r="AA120" t="b">
        <v>0</v>
      </c>
      <c r="AB120" t="b">
        <v>0</v>
      </c>
      <c r="AC120" t="b">
        <v>0</v>
      </c>
      <c r="AD120" s="21" t="b">
        <v>0</v>
      </c>
      <c r="AE120" t="b">
        <v>0</v>
      </c>
      <c r="AF120" t="b">
        <v>0</v>
      </c>
      <c r="AG120" t="b">
        <v>1</v>
      </c>
    </row>
    <row r="121" spans="1:33" x14ac:dyDescent="0.3">
      <c r="A121" s="13">
        <f t="shared" si="7"/>
        <v>114</v>
      </c>
      <c r="B121" s="13" t="s">
        <v>230</v>
      </c>
      <c r="C121" s="17" t="s">
        <v>216</v>
      </c>
      <c r="D121" t="s">
        <v>258</v>
      </c>
      <c r="E121" s="17" t="s">
        <v>120</v>
      </c>
      <c r="F121" s="17" t="s">
        <v>122</v>
      </c>
      <c r="G121" s="17" t="str">
        <f t="shared" si="8"/>
        <v>2030</v>
      </c>
      <c r="H121" s="17" t="s">
        <v>239</v>
      </c>
      <c r="I121" s="17" t="str">
        <f t="shared" si="10"/>
        <v>2019</v>
      </c>
      <c r="J121" s="17" t="s">
        <v>87</v>
      </c>
      <c r="K121" s="17">
        <v>0</v>
      </c>
      <c r="L121" s="17">
        <v>0</v>
      </c>
      <c r="M121" s="17">
        <v>3.5000000000000003E-2</v>
      </c>
      <c r="N121" s="17" t="s">
        <v>122</v>
      </c>
      <c r="O121" s="58">
        <v>0</v>
      </c>
      <c r="P121" s="17">
        <v>1</v>
      </c>
      <c r="Q121" s="17">
        <v>0</v>
      </c>
      <c r="R121" t="s">
        <v>221</v>
      </c>
      <c r="S121" t="s">
        <v>222</v>
      </c>
      <c r="T121" t="s">
        <v>268</v>
      </c>
      <c r="U121" s="20" t="b">
        <v>0</v>
      </c>
      <c r="V121" t="b">
        <v>1</v>
      </c>
      <c r="W121" t="b">
        <v>0</v>
      </c>
      <c r="X121" t="b">
        <v>0</v>
      </c>
      <c r="Y121" t="b">
        <v>1</v>
      </c>
      <c r="Z121" t="b">
        <v>0</v>
      </c>
      <c r="AA121" t="b">
        <v>0</v>
      </c>
      <c r="AB121" t="b">
        <v>0</v>
      </c>
      <c r="AC121" t="b">
        <v>0</v>
      </c>
      <c r="AD121" s="21" t="b">
        <v>0</v>
      </c>
      <c r="AE121" t="b">
        <v>0</v>
      </c>
      <c r="AF121" t="b">
        <v>0</v>
      </c>
      <c r="AG121" t="b">
        <v>1</v>
      </c>
    </row>
    <row r="122" spans="1:33" x14ac:dyDescent="0.3">
      <c r="A122" s="13">
        <f t="shared" si="7"/>
        <v>115</v>
      </c>
      <c r="B122" s="13" t="s">
        <v>230</v>
      </c>
      <c r="C122" s="17" t="s">
        <v>216</v>
      </c>
      <c r="D122" t="s">
        <v>258</v>
      </c>
      <c r="E122" s="17" t="s">
        <v>120</v>
      </c>
      <c r="F122" s="17" t="s">
        <v>122</v>
      </c>
      <c r="G122" s="17" t="str">
        <f t="shared" si="8"/>
        <v>2030</v>
      </c>
      <c r="H122" s="17" t="s">
        <v>239</v>
      </c>
      <c r="I122" s="17" t="str">
        <f t="shared" si="10"/>
        <v>2019</v>
      </c>
      <c r="J122" s="17" t="s">
        <v>87</v>
      </c>
      <c r="K122" s="17">
        <v>0</v>
      </c>
      <c r="L122" s="17">
        <v>0</v>
      </c>
      <c r="M122" s="17">
        <v>0.04</v>
      </c>
      <c r="N122" s="17" t="s">
        <v>122</v>
      </c>
      <c r="O122" s="58">
        <v>0</v>
      </c>
      <c r="P122" s="17">
        <v>1</v>
      </c>
      <c r="Q122" s="17">
        <v>0</v>
      </c>
      <c r="R122" t="s">
        <v>221</v>
      </c>
      <c r="S122" t="s">
        <v>222</v>
      </c>
      <c r="T122" t="s">
        <v>268</v>
      </c>
      <c r="U122" s="20" t="b">
        <v>0</v>
      </c>
      <c r="V122" t="b">
        <v>1</v>
      </c>
      <c r="W122" t="b">
        <v>0</v>
      </c>
      <c r="X122" t="b">
        <v>0</v>
      </c>
      <c r="Y122" t="b">
        <v>1</v>
      </c>
      <c r="Z122" t="b">
        <v>0</v>
      </c>
      <c r="AA122" t="b">
        <v>0</v>
      </c>
      <c r="AB122" t="b">
        <v>0</v>
      </c>
      <c r="AC122" t="b">
        <v>0</v>
      </c>
      <c r="AD122" s="21" t="b">
        <v>0</v>
      </c>
      <c r="AE122" t="b">
        <v>0</v>
      </c>
      <c r="AF122" t="b">
        <v>0</v>
      </c>
      <c r="AG122" t="b">
        <v>1</v>
      </c>
    </row>
    <row r="123" spans="1:33" x14ac:dyDescent="0.3">
      <c r="A123" s="13">
        <f t="shared" si="7"/>
        <v>116</v>
      </c>
      <c r="B123" s="13" t="s">
        <v>230</v>
      </c>
      <c r="C123" s="17" t="s">
        <v>216</v>
      </c>
      <c r="D123" t="s">
        <v>258</v>
      </c>
      <c r="E123" s="17" t="s">
        <v>120</v>
      </c>
      <c r="F123" s="17" t="s">
        <v>122</v>
      </c>
      <c r="G123" s="17" t="str">
        <f t="shared" si="8"/>
        <v>2030</v>
      </c>
      <c r="H123" s="17" t="s">
        <v>239</v>
      </c>
      <c r="I123" s="17" t="str">
        <f t="shared" si="10"/>
        <v>2019</v>
      </c>
      <c r="J123" s="17" t="s">
        <v>87</v>
      </c>
      <c r="K123" s="17">
        <v>0</v>
      </c>
      <c r="L123" s="17">
        <v>0</v>
      </c>
      <c r="M123" s="17">
        <v>4.4999999999999998E-2</v>
      </c>
      <c r="N123" s="17" t="s">
        <v>122</v>
      </c>
      <c r="O123" s="58">
        <v>0</v>
      </c>
      <c r="P123" s="17">
        <v>1</v>
      </c>
      <c r="Q123" s="17">
        <v>0</v>
      </c>
      <c r="R123" t="s">
        <v>221</v>
      </c>
      <c r="S123" t="s">
        <v>222</v>
      </c>
      <c r="T123" t="s">
        <v>268</v>
      </c>
      <c r="U123" s="20" t="b">
        <v>0</v>
      </c>
      <c r="V123" t="b">
        <v>1</v>
      </c>
      <c r="W123" t="b">
        <v>0</v>
      </c>
      <c r="X123" t="b">
        <v>0</v>
      </c>
      <c r="Y123" t="b">
        <v>1</v>
      </c>
      <c r="Z123" t="b">
        <v>0</v>
      </c>
      <c r="AA123" t="b">
        <v>0</v>
      </c>
      <c r="AB123" t="b">
        <v>0</v>
      </c>
      <c r="AC123" t="b">
        <v>0</v>
      </c>
      <c r="AD123" s="21" t="b">
        <v>0</v>
      </c>
      <c r="AE123" t="b">
        <v>0</v>
      </c>
      <c r="AF123" t="b">
        <v>0</v>
      </c>
      <c r="AG123" t="b">
        <v>1</v>
      </c>
    </row>
    <row r="124" spans="1:33" x14ac:dyDescent="0.3">
      <c r="A124" s="13">
        <f t="shared" si="7"/>
        <v>117</v>
      </c>
      <c r="B124" s="13" t="s">
        <v>230</v>
      </c>
      <c r="C124" s="17" t="s">
        <v>216</v>
      </c>
      <c r="D124" t="s">
        <v>258</v>
      </c>
      <c r="E124" s="17" t="s">
        <v>120</v>
      </c>
      <c r="F124" s="17" t="s">
        <v>122</v>
      </c>
      <c r="G124" s="17" t="str">
        <f t="shared" si="8"/>
        <v>2030</v>
      </c>
      <c r="H124" s="17" t="s">
        <v>239</v>
      </c>
      <c r="I124" s="17" t="str">
        <f t="shared" si="10"/>
        <v>2019</v>
      </c>
      <c r="J124" s="17" t="s">
        <v>87</v>
      </c>
      <c r="K124" s="17">
        <v>0</v>
      </c>
      <c r="L124" s="17">
        <v>0</v>
      </c>
      <c r="M124" s="17">
        <v>0.05</v>
      </c>
      <c r="N124" s="17" t="s">
        <v>122</v>
      </c>
      <c r="O124" s="58">
        <v>0</v>
      </c>
      <c r="P124" s="17">
        <v>1</v>
      </c>
      <c r="Q124" s="17">
        <v>0</v>
      </c>
      <c r="R124" t="s">
        <v>221</v>
      </c>
      <c r="S124" t="s">
        <v>222</v>
      </c>
      <c r="T124" t="s">
        <v>268</v>
      </c>
      <c r="U124" s="20" t="b">
        <v>0</v>
      </c>
      <c r="V124" t="b">
        <v>1</v>
      </c>
      <c r="W124" t="b">
        <v>0</v>
      </c>
      <c r="X124" t="b">
        <v>0</v>
      </c>
      <c r="Y124" t="b">
        <v>1</v>
      </c>
      <c r="Z124" t="b">
        <v>0</v>
      </c>
      <c r="AA124" t="b">
        <v>0</v>
      </c>
      <c r="AB124" t="b">
        <v>0</v>
      </c>
      <c r="AC124" t="b">
        <v>0</v>
      </c>
      <c r="AD124" s="21" t="b">
        <v>0</v>
      </c>
      <c r="AE124" t="b">
        <v>0</v>
      </c>
      <c r="AF124" t="b">
        <v>0</v>
      </c>
      <c r="AG124" t="b">
        <v>1</v>
      </c>
    </row>
    <row r="125" spans="1:33" x14ac:dyDescent="0.3">
      <c r="A125" s="13">
        <f t="shared" si="7"/>
        <v>118</v>
      </c>
      <c r="B125" s="13" t="s">
        <v>230</v>
      </c>
      <c r="C125" s="17" t="s">
        <v>216</v>
      </c>
      <c r="D125" t="s">
        <v>258</v>
      </c>
      <c r="E125" s="17" t="s">
        <v>120</v>
      </c>
      <c r="F125" s="17" t="s">
        <v>122</v>
      </c>
      <c r="G125" s="17" t="str">
        <f t="shared" si="8"/>
        <v>2030</v>
      </c>
      <c r="H125" s="17" t="s">
        <v>239</v>
      </c>
      <c r="I125" s="17" t="str">
        <f t="shared" si="10"/>
        <v>2019</v>
      </c>
      <c r="J125" s="17" t="s">
        <v>87</v>
      </c>
      <c r="K125" s="17">
        <v>0</v>
      </c>
      <c r="L125" s="17">
        <v>0</v>
      </c>
      <c r="M125" s="17">
        <v>5.5E-2</v>
      </c>
      <c r="N125" s="17" t="s">
        <v>122</v>
      </c>
      <c r="O125" s="58">
        <v>0</v>
      </c>
      <c r="P125" s="17">
        <v>1</v>
      </c>
      <c r="Q125" s="17">
        <v>0</v>
      </c>
      <c r="R125" t="s">
        <v>221</v>
      </c>
      <c r="S125" t="s">
        <v>222</v>
      </c>
      <c r="T125" t="s">
        <v>268</v>
      </c>
      <c r="U125" s="20" t="b">
        <v>0</v>
      </c>
      <c r="V125" t="b">
        <v>1</v>
      </c>
      <c r="W125" t="b">
        <v>0</v>
      </c>
      <c r="X125" t="b">
        <v>0</v>
      </c>
      <c r="Y125" t="b">
        <v>1</v>
      </c>
      <c r="Z125" t="b">
        <v>0</v>
      </c>
      <c r="AA125" t="b">
        <v>0</v>
      </c>
      <c r="AB125" t="b">
        <v>0</v>
      </c>
      <c r="AC125" t="b">
        <v>0</v>
      </c>
      <c r="AD125" s="21" t="b">
        <v>0</v>
      </c>
      <c r="AE125" t="b">
        <v>0</v>
      </c>
      <c r="AF125" t="b">
        <v>0</v>
      </c>
      <c r="AG125" t="b">
        <v>1</v>
      </c>
    </row>
    <row r="126" spans="1:33" x14ac:dyDescent="0.3">
      <c r="A126" s="13">
        <f t="shared" si="7"/>
        <v>119</v>
      </c>
      <c r="B126" s="13" t="s">
        <v>230</v>
      </c>
      <c r="C126" s="17" t="s">
        <v>216</v>
      </c>
      <c r="D126" t="s">
        <v>258</v>
      </c>
      <c r="E126" s="17" t="s">
        <v>120</v>
      </c>
      <c r="F126" s="17" t="s">
        <v>122</v>
      </c>
      <c r="G126" s="17" t="str">
        <f t="shared" si="8"/>
        <v>2030</v>
      </c>
      <c r="H126" s="17" t="s">
        <v>239</v>
      </c>
      <c r="I126" s="17" t="str">
        <f t="shared" si="10"/>
        <v>2019</v>
      </c>
      <c r="J126" s="17" t="s">
        <v>87</v>
      </c>
      <c r="K126" s="17">
        <v>0</v>
      </c>
      <c r="L126" s="17">
        <v>0</v>
      </c>
      <c r="M126" s="17">
        <v>0.06</v>
      </c>
      <c r="N126" s="17" t="s">
        <v>122</v>
      </c>
      <c r="O126" s="58">
        <v>0</v>
      </c>
      <c r="P126" s="17">
        <v>1</v>
      </c>
      <c r="Q126" s="17">
        <v>0</v>
      </c>
      <c r="R126" t="s">
        <v>221</v>
      </c>
      <c r="S126" t="s">
        <v>222</v>
      </c>
      <c r="T126" t="s">
        <v>268</v>
      </c>
      <c r="U126" s="20" t="b">
        <v>0</v>
      </c>
      <c r="V126" t="b">
        <v>1</v>
      </c>
      <c r="W126" t="b">
        <v>0</v>
      </c>
      <c r="X126" t="b">
        <v>0</v>
      </c>
      <c r="Y126" t="b">
        <v>1</v>
      </c>
      <c r="Z126" t="b">
        <v>0</v>
      </c>
      <c r="AA126" t="b">
        <v>0</v>
      </c>
      <c r="AB126" t="b">
        <v>0</v>
      </c>
      <c r="AC126" t="b">
        <v>0</v>
      </c>
      <c r="AD126" s="21" t="b">
        <v>0</v>
      </c>
      <c r="AE126" t="b">
        <v>0</v>
      </c>
      <c r="AF126" t="b">
        <v>0</v>
      </c>
      <c r="AG126" t="b">
        <v>1</v>
      </c>
    </row>
    <row r="127" spans="1:33" x14ac:dyDescent="0.3">
      <c r="A127" s="13">
        <f t="shared" si="7"/>
        <v>120</v>
      </c>
      <c r="B127" s="13" t="s">
        <v>230</v>
      </c>
      <c r="C127" s="17" t="s">
        <v>216</v>
      </c>
      <c r="D127" t="s">
        <v>258</v>
      </c>
      <c r="E127" s="17" t="s">
        <v>120</v>
      </c>
      <c r="F127" s="17" t="s">
        <v>122</v>
      </c>
      <c r="G127" s="17" t="str">
        <f t="shared" si="8"/>
        <v>2030</v>
      </c>
      <c r="H127" s="17" t="s">
        <v>239</v>
      </c>
      <c r="I127" s="17" t="str">
        <f t="shared" si="10"/>
        <v>2019</v>
      </c>
      <c r="J127" s="17" t="s">
        <v>87</v>
      </c>
      <c r="K127" s="17">
        <v>0</v>
      </c>
      <c r="L127" s="17">
        <v>0</v>
      </c>
      <c r="M127" s="17">
        <v>6.5000000000000002E-2</v>
      </c>
      <c r="N127" s="17" t="s">
        <v>122</v>
      </c>
      <c r="O127" s="58">
        <v>0</v>
      </c>
      <c r="P127" s="17">
        <v>1</v>
      </c>
      <c r="Q127" s="17">
        <v>0</v>
      </c>
      <c r="R127" t="s">
        <v>221</v>
      </c>
      <c r="S127" t="s">
        <v>222</v>
      </c>
      <c r="T127" t="s">
        <v>268</v>
      </c>
      <c r="U127" s="20" t="b">
        <v>0</v>
      </c>
      <c r="V127" t="b">
        <v>1</v>
      </c>
      <c r="W127" t="b">
        <v>0</v>
      </c>
      <c r="X127" t="b">
        <v>0</v>
      </c>
      <c r="Y127" t="b">
        <v>1</v>
      </c>
      <c r="Z127" t="b">
        <v>0</v>
      </c>
      <c r="AA127" t="b">
        <v>0</v>
      </c>
      <c r="AB127" t="b">
        <v>0</v>
      </c>
      <c r="AC127" t="b">
        <v>0</v>
      </c>
      <c r="AD127" s="21" t="b">
        <v>0</v>
      </c>
      <c r="AE127" t="b">
        <v>0</v>
      </c>
      <c r="AF127" t="b">
        <v>0</v>
      </c>
      <c r="AG127" t="b">
        <v>1</v>
      </c>
    </row>
  </sheetData>
  <mergeCells count="10">
    <mergeCell ref="O2:O5"/>
    <mergeCell ref="P2:P5"/>
    <mergeCell ref="Q2:Q5"/>
    <mergeCell ref="AE5:AG5"/>
    <mergeCell ref="B2:B5"/>
    <mergeCell ref="C2:C5"/>
    <mergeCell ref="H2:H3"/>
    <mergeCell ref="I2:I4"/>
    <mergeCell ref="M2:M5"/>
    <mergeCell ref="N2:N5"/>
  </mergeCells>
  <conditionalFormatting sqref="U8:AG127">
    <cfRule type="cellIs" dxfId="5" priority="1" operator="equal">
      <formula>TRUE</formula>
    </cfRule>
    <cfRule type="cellIs" dxfId="4" priority="2" operator="equal">
      <formula>FALSE</formula>
    </cfRule>
  </conditionalFormatting>
  <pageMargins left="0.7" right="0.7" top="0.75" bottom="0.75" header="0.3" footer="0.3"/>
  <pageSetup paperSize="9" orientation="portrait" horizontalDpi="429496729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FS77"/>
  <sheetViews>
    <sheetView workbookViewId="0">
      <pane xSplit="5" ySplit="8" topLeftCell="J9" activePane="bottomRight" state="frozen"/>
      <selection pane="topRight" activeCell="F1" sqref="F1"/>
      <selection pane="bottomLeft" activeCell="A12" sqref="A12"/>
      <selection pane="bottomRight" activeCell="Q36" sqref="Q36"/>
    </sheetView>
  </sheetViews>
  <sheetFormatPr defaultColWidth="8.77734375" defaultRowHeight="14.4" x14ac:dyDescent="0.3"/>
  <cols>
    <col min="1" max="1" width="8.109375" customWidth="1"/>
    <col min="2" max="2" width="20.6640625" style="3" customWidth="1"/>
    <col min="3" max="3" width="15.33203125" style="4" customWidth="1"/>
    <col min="4" max="4" width="27.21875" style="2" customWidth="1"/>
    <col min="5" max="5" width="3" style="9" customWidth="1"/>
    <col min="6" max="6" width="13.21875" style="2" customWidth="1"/>
    <col min="7" max="7" width="29.77734375" style="2" customWidth="1"/>
    <col min="8" max="8" width="21.33203125" customWidth="1"/>
    <col min="9" max="9" width="20.21875" customWidth="1"/>
    <col min="10" max="10" width="9.5546875" customWidth="1"/>
    <col min="11" max="12" width="11.77734375" customWidth="1"/>
    <col min="13" max="14" width="10.44140625" customWidth="1"/>
    <col min="15" max="15" width="12.21875" customWidth="1"/>
    <col min="16" max="16" width="9.21875" customWidth="1"/>
    <col min="17" max="17" width="10.5546875" customWidth="1"/>
    <col min="18" max="18" width="8.77734375" customWidth="1"/>
    <col min="19" max="19" width="10.5546875" customWidth="1"/>
    <col min="20" max="21" width="7.88671875" customWidth="1"/>
    <col min="22" max="23" width="7.5546875" customWidth="1"/>
    <col min="24" max="25" width="6.6640625" customWidth="1"/>
    <col min="26" max="26" width="14" customWidth="1"/>
    <col min="27" max="27" width="10.5546875" customWidth="1"/>
    <col min="28" max="29" width="8.77734375" customWidth="1"/>
    <col min="30" max="31" width="7.88671875" customWidth="1"/>
    <col min="32" max="33" width="7.5546875" customWidth="1"/>
    <col min="34" max="35" width="6.6640625" customWidth="1"/>
    <col min="36" max="36" width="14" customWidth="1"/>
    <col min="37" max="37" width="10.5546875" customWidth="1"/>
    <col min="38" max="39" width="8.77734375" customWidth="1"/>
    <col min="40" max="41" width="7.88671875" customWidth="1"/>
    <col min="42" max="43" width="7.5546875" customWidth="1"/>
    <col min="44" max="45" width="6.6640625" customWidth="1"/>
    <col min="47" max="47" width="10.5546875" customWidth="1"/>
    <col min="48" max="49" width="8.77734375" customWidth="1"/>
    <col min="50" max="51" width="7.88671875" customWidth="1"/>
    <col min="52" max="53" width="7.5546875" customWidth="1"/>
    <col min="54" max="55" width="6.6640625" customWidth="1"/>
    <col min="57" max="57" width="10.5546875" customWidth="1"/>
    <col min="58" max="59" width="8.77734375" customWidth="1"/>
    <col min="60" max="61" width="7.88671875" customWidth="1"/>
    <col min="62" max="63" width="7.5546875" customWidth="1"/>
    <col min="64" max="65" width="6.6640625" customWidth="1"/>
    <col min="66" max="66" width="11.21875" customWidth="1"/>
    <col min="67" max="67" width="10.5546875" customWidth="1"/>
    <col min="68" max="69" width="8.77734375" customWidth="1"/>
    <col min="70" max="71" width="7.88671875" customWidth="1"/>
    <col min="72" max="73" width="7.5546875" customWidth="1"/>
    <col min="74" max="75" width="6.6640625" customWidth="1"/>
    <col min="76" max="76" width="12.6640625" customWidth="1"/>
    <col min="77" max="77" width="10.5546875" customWidth="1"/>
    <col min="78" max="79" width="8.77734375" customWidth="1"/>
    <col min="80" max="81" width="7.88671875" customWidth="1"/>
    <col min="82" max="83" width="7.5546875" customWidth="1"/>
    <col min="84" max="85" width="6.6640625" customWidth="1"/>
    <col min="86" max="86" width="11.77734375" customWidth="1"/>
    <col min="87" max="87" width="10.5546875" customWidth="1"/>
    <col min="88" max="89" width="8.77734375" customWidth="1"/>
    <col min="90" max="91" width="7.88671875" customWidth="1"/>
    <col min="92" max="93" width="7.5546875" customWidth="1"/>
    <col min="94" max="94" width="8.6640625" customWidth="1"/>
    <col min="95" max="95" width="6.6640625" customWidth="1"/>
    <col min="96" max="96" width="10.77734375" customWidth="1"/>
    <col min="97" max="97" width="10.5546875" customWidth="1"/>
    <col min="98" max="99" width="8.77734375" customWidth="1"/>
    <col min="100" max="101" width="7.88671875" customWidth="1"/>
    <col min="102" max="103" width="7.5546875" customWidth="1"/>
    <col min="104" max="105" width="6.6640625" customWidth="1"/>
    <col min="106" max="106" width="12.88671875" customWidth="1"/>
    <col min="107" max="107" width="10.5546875" customWidth="1"/>
    <col min="108" max="109" width="8.77734375" customWidth="1"/>
    <col min="110" max="111" width="7.88671875" customWidth="1"/>
    <col min="112" max="113" width="7.5546875" customWidth="1"/>
    <col min="114" max="115" width="6.6640625" customWidth="1"/>
    <col min="116" max="116" width="14.21875" customWidth="1"/>
    <col min="117" max="117" width="10.5546875" customWidth="1"/>
    <col min="118" max="119" width="8.77734375" customWidth="1"/>
    <col min="120" max="121" width="7.88671875" customWidth="1"/>
    <col min="122" max="123" width="7.5546875" customWidth="1"/>
    <col min="124" max="125" width="6.6640625" customWidth="1"/>
    <col min="126" max="126" width="15.21875" customWidth="1"/>
    <col min="127" max="127" width="10.5546875" customWidth="1"/>
    <col min="128" max="129" width="8.77734375" customWidth="1"/>
    <col min="130" max="131" width="7.88671875" customWidth="1"/>
    <col min="132" max="133" width="7.5546875" customWidth="1"/>
    <col min="134" max="135" width="6.6640625" customWidth="1"/>
    <col min="136" max="136" width="18.21875" customWidth="1"/>
    <col min="137" max="137" width="10.5546875" customWidth="1"/>
    <col min="138" max="139" width="8.77734375" customWidth="1"/>
    <col min="140" max="141" width="7.88671875" customWidth="1"/>
    <col min="142" max="143" width="7.5546875" customWidth="1"/>
    <col min="144" max="145" width="6.6640625" customWidth="1"/>
    <col min="146" max="146" width="14.21875" customWidth="1"/>
    <col min="147" max="147" width="10.5546875" customWidth="1"/>
    <col min="148" max="149" width="8.77734375" customWidth="1"/>
    <col min="150" max="151" width="9.21875" customWidth="1"/>
    <col min="152" max="153" width="7.5546875" customWidth="1"/>
    <col min="154" max="155" width="6.6640625" customWidth="1"/>
    <col min="156" max="156" width="9.109375" customWidth="1"/>
    <col min="157" max="157" width="9.77734375" customWidth="1"/>
    <col min="158" max="159" width="9.88671875" customWidth="1"/>
    <col min="160" max="161" width="8" customWidth="1"/>
    <col min="162" max="163" width="8.33203125" customWidth="1"/>
    <col min="164" max="165" width="7.44140625" customWidth="1"/>
    <col min="167" max="167" width="10.5546875" customWidth="1"/>
    <col min="168" max="169" width="8.77734375" customWidth="1"/>
    <col min="170" max="171" width="7.88671875" customWidth="1"/>
    <col min="172" max="174" width="7.5546875" customWidth="1"/>
    <col min="175" max="175" width="6.6640625" customWidth="1"/>
    <col min="176" max="176" width="13.44140625" customWidth="1"/>
    <col min="177" max="177" width="11.21875" customWidth="1"/>
  </cols>
  <sheetData>
    <row r="1" spans="1:175" x14ac:dyDescent="0.3">
      <c r="A1" s="19"/>
      <c r="B1" s="19"/>
      <c r="C1" s="6"/>
      <c r="E1" s="13"/>
      <c r="G1" s="48"/>
    </row>
    <row r="2" spans="1:175" x14ac:dyDescent="0.3">
      <c r="A2" s="1"/>
      <c r="B2" s="1"/>
      <c r="C2" s="11"/>
      <c r="D2" s="11"/>
      <c r="E2" s="13"/>
    </row>
    <row r="3" spans="1:175" x14ac:dyDescent="0.3">
      <c r="A3" s="26"/>
      <c r="B3" s="14"/>
      <c r="C3" s="14"/>
      <c r="D3" s="26"/>
      <c r="E3" s="13"/>
    </row>
    <row r="4" spans="1:175" ht="16.05" customHeight="1" x14ac:dyDescent="0.3">
      <c r="A4" s="172" t="s">
        <v>0</v>
      </c>
      <c r="B4" s="172"/>
      <c r="C4" s="172"/>
      <c r="D4" s="5"/>
      <c r="E4" s="13"/>
      <c r="F4" s="7" t="s">
        <v>131</v>
      </c>
      <c r="G4" s="7" t="s">
        <v>145</v>
      </c>
      <c r="H4" s="5" t="s">
        <v>78</v>
      </c>
      <c r="I4" s="5" t="s">
        <v>2</v>
      </c>
      <c r="J4" s="5" t="s">
        <v>4</v>
      </c>
      <c r="K4" s="5" t="s">
        <v>5</v>
      </c>
      <c r="L4" s="5" t="s">
        <v>406</v>
      </c>
      <c r="M4" s="29" t="s">
        <v>3</v>
      </c>
      <c r="N4" s="29" t="s">
        <v>269</v>
      </c>
      <c r="O4" s="5" t="s">
        <v>6</v>
      </c>
      <c r="P4" s="170" t="s">
        <v>79</v>
      </c>
      <c r="Q4" s="170"/>
      <c r="R4" s="170"/>
      <c r="S4" s="170"/>
      <c r="T4" s="170"/>
      <c r="U4" s="170"/>
      <c r="V4" s="170"/>
      <c r="W4" s="170"/>
      <c r="X4" s="170"/>
      <c r="Y4" s="170"/>
      <c r="Z4" s="170" t="s">
        <v>80</v>
      </c>
      <c r="AA4" s="170"/>
      <c r="AB4" s="170"/>
      <c r="AC4" s="170"/>
      <c r="AD4" s="170"/>
      <c r="AE4" s="170"/>
      <c r="AF4" s="170"/>
      <c r="AG4" s="170"/>
      <c r="AH4" s="170"/>
      <c r="AI4" s="170"/>
      <c r="AJ4" s="170" t="s">
        <v>405</v>
      </c>
      <c r="AK4" s="170"/>
      <c r="AL4" s="170"/>
      <c r="AM4" s="170"/>
      <c r="AN4" s="170"/>
      <c r="AO4" s="170"/>
      <c r="AP4" s="170"/>
      <c r="AQ4" s="170"/>
      <c r="AR4" s="170"/>
      <c r="AS4" s="170"/>
      <c r="AT4" s="170" t="s">
        <v>81</v>
      </c>
      <c r="AU4" s="170"/>
      <c r="AV4" s="170"/>
      <c r="AW4" s="170"/>
      <c r="AX4" s="170"/>
      <c r="AY4" s="170"/>
      <c r="AZ4" s="170"/>
      <c r="BA4" s="170"/>
      <c r="BB4" s="170"/>
      <c r="BC4" s="29"/>
      <c r="BD4" s="170" t="s">
        <v>82</v>
      </c>
      <c r="BE4" s="170"/>
      <c r="BF4" s="170"/>
      <c r="BG4" s="170"/>
      <c r="BH4" s="170"/>
      <c r="BI4" s="170"/>
      <c r="BJ4" s="170"/>
      <c r="BK4" s="170"/>
      <c r="BL4" s="170"/>
      <c r="BM4" s="29"/>
      <c r="BN4" s="170" t="s">
        <v>83</v>
      </c>
      <c r="BO4" s="170"/>
      <c r="BP4" s="170"/>
      <c r="BQ4" s="170"/>
      <c r="BR4" s="170"/>
      <c r="BS4" s="170"/>
      <c r="BT4" s="170"/>
      <c r="BU4" s="170"/>
      <c r="BV4" s="170"/>
      <c r="BW4" s="29"/>
      <c r="BX4" s="170" t="s">
        <v>84</v>
      </c>
      <c r="BY4" s="170"/>
      <c r="BZ4" s="170"/>
      <c r="CA4" s="170"/>
      <c r="CB4" s="170"/>
      <c r="CC4" s="170"/>
      <c r="CD4" s="170"/>
      <c r="CE4" s="170"/>
      <c r="CF4" s="170"/>
      <c r="CG4" s="29"/>
      <c r="CH4" s="170" t="s">
        <v>183</v>
      </c>
      <c r="CI4" s="170"/>
      <c r="CJ4" s="170"/>
      <c r="CK4" s="170"/>
      <c r="CL4" s="170"/>
      <c r="CM4" s="170"/>
      <c r="CN4" s="170"/>
      <c r="CO4" s="170"/>
      <c r="CP4" s="170"/>
      <c r="CQ4" s="29"/>
      <c r="CR4" s="170" t="s">
        <v>184</v>
      </c>
      <c r="CS4" s="170"/>
      <c r="CT4" s="170"/>
      <c r="CU4" s="170"/>
      <c r="CV4" s="170"/>
      <c r="CW4" s="170"/>
      <c r="CX4" s="170"/>
      <c r="CY4" s="170"/>
      <c r="CZ4" s="170"/>
      <c r="DA4" s="29"/>
      <c r="DB4" s="170" t="s">
        <v>185</v>
      </c>
      <c r="DC4" s="170"/>
      <c r="DD4" s="170"/>
      <c r="DE4" s="170"/>
      <c r="DF4" s="170"/>
      <c r="DG4" s="170"/>
      <c r="DH4" s="170"/>
      <c r="DI4" s="170"/>
      <c r="DJ4" s="170"/>
      <c r="DK4" s="29"/>
      <c r="DL4" s="170" t="s">
        <v>186</v>
      </c>
      <c r="DM4" s="170"/>
      <c r="DN4" s="170"/>
      <c r="DO4" s="170"/>
      <c r="DP4" s="170"/>
      <c r="DQ4" s="170"/>
      <c r="DR4" s="170"/>
      <c r="DS4" s="170"/>
      <c r="DT4" s="170"/>
      <c r="DU4" s="29"/>
      <c r="DV4" s="170" t="s">
        <v>187</v>
      </c>
      <c r="DW4" s="170"/>
      <c r="DX4" s="170"/>
      <c r="DY4" s="170"/>
      <c r="DZ4" s="170"/>
      <c r="EA4" s="170"/>
      <c r="EB4" s="170"/>
      <c r="EC4" s="170"/>
      <c r="ED4" s="170"/>
      <c r="EE4" s="29"/>
      <c r="EF4" s="170" t="s">
        <v>132</v>
      </c>
      <c r="EG4" s="170"/>
      <c r="EH4" s="170"/>
      <c r="EI4" s="170"/>
      <c r="EJ4" s="170"/>
      <c r="EK4" s="170"/>
      <c r="EL4" s="170"/>
      <c r="EM4" s="170"/>
      <c r="EN4" s="170"/>
      <c r="EO4" s="29"/>
      <c r="EP4" s="170" t="s">
        <v>85</v>
      </c>
      <c r="EQ4" s="170"/>
      <c r="ER4" s="170"/>
      <c r="ES4" s="170"/>
      <c r="ET4" s="170"/>
      <c r="EU4" s="170"/>
      <c r="EV4" s="170"/>
      <c r="EW4" s="170"/>
      <c r="EX4" s="170"/>
      <c r="EY4" s="29"/>
      <c r="EZ4" s="170" t="s">
        <v>178</v>
      </c>
      <c r="FA4" s="170"/>
      <c r="FB4" s="170"/>
      <c r="FC4" s="170"/>
      <c r="FD4" s="170"/>
      <c r="FE4" s="170"/>
      <c r="FF4" s="170"/>
      <c r="FG4" s="170"/>
      <c r="FH4" s="170"/>
      <c r="FI4" s="29"/>
      <c r="FJ4" s="170" t="s">
        <v>86</v>
      </c>
      <c r="FK4" s="170"/>
      <c r="FL4" s="170"/>
      <c r="FM4" s="170"/>
      <c r="FN4" s="170"/>
      <c r="FO4" s="170"/>
      <c r="FP4" s="170"/>
      <c r="FQ4" s="170"/>
      <c r="FR4" s="170"/>
      <c r="FS4" s="170"/>
    </row>
    <row r="5" spans="1:175" s="5" customFormat="1" ht="15" customHeight="1" x14ac:dyDescent="0.3">
      <c r="A5" s="37"/>
      <c r="B5" s="173" t="s">
        <v>7</v>
      </c>
      <c r="C5" s="174" t="s">
        <v>8</v>
      </c>
      <c r="D5" s="173" t="s">
        <v>9</v>
      </c>
      <c r="E5" s="46" t="s">
        <v>1</v>
      </c>
      <c r="F5" s="22" t="s">
        <v>131</v>
      </c>
      <c r="G5" s="22" t="str">
        <f>G4</f>
        <v>Unit tag</v>
      </c>
      <c r="H5" s="23" t="s">
        <v>78</v>
      </c>
      <c r="I5" s="23" t="s">
        <v>2</v>
      </c>
      <c r="J5" s="23" t="s">
        <v>4</v>
      </c>
      <c r="K5" s="23" t="s">
        <v>5</v>
      </c>
      <c r="L5" s="23" t="s">
        <v>406</v>
      </c>
      <c r="M5" s="23" t="s">
        <v>3</v>
      </c>
      <c r="N5" s="23" t="s">
        <v>269</v>
      </c>
      <c r="O5" s="23" t="s">
        <v>6</v>
      </c>
      <c r="P5" s="23" t="s">
        <v>79</v>
      </c>
      <c r="Q5" s="23" t="s">
        <v>79</v>
      </c>
      <c r="R5" s="23" t="s">
        <v>79</v>
      </c>
      <c r="S5" s="23" t="s">
        <v>79</v>
      </c>
      <c r="T5" s="23" t="s">
        <v>79</v>
      </c>
      <c r="U5" s="23" t="s">
        <v>79</v>
      </c>
      <c r="V5" s="23" t="s">
        <v>79</v>
      </c>
      <c r="W5" s="23" t="s">
        <v>79</v>
      </c>
      <c r="X5" s="23" t="s">
        <v>79</v>
      </c>
      <c r="Y5" s="23" t="s">
        <v>79</v>
      </c>
      <c r="Z5" s="23" t="s">
        <v>80</v>
      </c>
      <c r="AA5" s="23" t="s">
        <v>80</v>
      </c>
      <c r="AB5" s="23" t="s">
        <v>80</v>
      </c>
      <c r="AC5" s="23" t="s">
        <v>80</v>
      </c>
      <c r="AD5" s="23" t="s">
        <v>80</v>
      </c>
      <c r="AE5" s="23" t="s">
        <v>80</v>
      </c>
      <c r="AF5" s="23" t="s">
        <v>80</v>
      </c>
      <c r="AG5" s="23" t="s">
        <v>80</v>
      </c>
      <c r="AH5" s="23" t="s">
        <v>80</v>
      </c>
      <c r="AI5" s="23" t="s">
        <v>80</v>
      </c>
      <c r="AJ5" s="23" t="s">
        <v>405</v>
      </c>
      <c r="AK5" s="23" t="s">
        <v>405</v>
      </c>
      <c r="AL5" s="23" t="s">
        <v>405</v>
      </c>
      <c r="AM5" s="23" t="s">
        <v>405</v>
      </c>
      <c r="AN5" s="23" t="s">
        <v>405</v>
      </c>
      <c r="AO5" s="23" t="s">
        <v>405</v>
      </c>
      <c r="AP5" s="23" t="s">
        <v>405</v>
      </c>
      <c r="AQ5" s="23" t="s">
        <v>405</v>
      </c>
      <c r="AR5" s="23" t="s">
        <v>405</v>
      </c>
      <c r="AS5" s="23" t="s">
        <v>405</v>
      </c>
      <c r="AT5" s="23" t="s">
        <v>81</v>
      </c>
      <c r="AU5" s="23" t="s">
        <v>81</v>
      </c>
      <c r="AV5" s="23" t="s">
        <v>81</v>
      </c>
      <c r="AW5" s="23" t="s">
        <v>81</v>
      </c>
      <c r="AX5" s="23" t="s">
        <v>81</v>
      </c>
      <c r="AY5" s="23" t="s">
        <v>81</v>
      </c>
      <c r="AZ5" s="23" t="s">
        <v>81</v>
      </c>
      <c r="BA5" s="23" t="s">
        <v>81</v>
      </c>
      <c r="BB5" s="23" t="s">
        <v>81</v>
      </c>
      <c r="BC5" s="23" t="s">
        <v>81</v>
      </c>
      <c r="BD5" s="23" t="s">
        <v>82</v>
      </c>
      <c r="BE5" s="23" t="s">
        <v>82</v>
      </c>
      <c r="BF5" s="23" t="s">
        <v>82</v>
      </c>
      <c r="BG5" s="23" t="s">
        <v>82</v>
      </c>
      <c r="BH5" s="23" t="s">
        <v>82</v>
      </c>
      <c r="BI5" s="23" t="s">
        <v>82</v>
      </c>
      <c r="BJ5" s="23" t="s">
        <v>82</v>
      </c>
      <c r="BK5" s="23" t="s">
        <v>82</v>
      </c>
      <c r="BL5" s="23" t="s">
        <v>82</v>
      </c>
      <c r="BM5" s="23" t="s">
        <v>82</v>
      </c>
      <c r="BN5" s="23" t="s">
        <v>83</v>
      </c>
      <c r="BO5" s="23" t="s">
        <v>83</v>
      </c>
      <c r="BP5" s="23" t="s">
        <v>83</v>
      </c>
      <c r="BQ5" s="23" t="s">
        <v>83</v>
      </c>
      <c r="BR5" s="23" t="s">
        <v>83</v>
      </c>
      <c r="BS5" s="23" t="s">
        <v>83</v>
      </c>
      <c r="BT5" s="23" t="s">
        <v>83</v>
      </c>
      <c r="BU5" s="23" t="s">
        <v>83</v>
      </c>
      <c r="BV5" s="23" t="s">
        <v>83</v>
      </c>
      <c r="BW5" s="23" t="s">
        <v>83</v>
      </c>
      <c r="BX5" s="23" t="s">
        <v>84</v>
      </c>
      <c r="BY5" s="23" t="s">
        <v>84</v>
      </c>
      <c r="BZ5" s="23" t="s">
        <v>84</v>
      </c>
      <c r="CA5" s="23" t="s">
        <v>84</v>
      </c>
      <c r="CB5" s="23" t="s">
        <v>84</v>
      </c>
      <c r="CC5" s="23" t="s">
        <v>84</v>
      </c>
      <c r="CD5" s="23" t="s">
        <v>84</v>
      </c>
      <c r="CE5" s="23" t="s">
        <v>84</v>
      </c>
      <c r="CF5" s="23" t="s">
        <v>84</v>
      </c>
      <c r="CG5" s="23" t="s">
        <v>84</v>
      </c>
      <c r="CH5" s="23" t="s">
        <v>183</v>
      </c>
      <c r="CI5" s="23" t="s">
        <v>183</v>
      </c>
      <c r="CJ5" s="23" t="s">
        <v>183</v>
      </c>
      <c r="CK5" s="23" t="s">
        <v>183</v>
      </c>
      <c r="CL5" s="23" t="s">
        <v>183</v>
      </c>
      <c r="CM5" s="23" t="s">
        <v>183</v>
      </c>
      <c r="CN5" s="23" t="s">
        <v>183</v>
      </c>
      <c r="CO5" s="23" t="s">
        <v>183</v>
      </c>
      <c r="CP5" s="23" t="s">
        <v>183</v>
      </c>
      <c r="CQ5" s="23" t="s">
        <v>183</v>
      </c>
      <c r="CR5" s="23" t="s">
        <v>184</v>
      </c>
      <c r="CS5" s="23" t="s">
        <v>184</v>
      </c>
      <c r="CT5" s="23" t="s">
        <v>184</v>
      </c>
      <c r="CU5" s="23" t="s">
        <v>184</v>
      </c>
      <c r="CV5" s="23" t="s">
        <v>184</v>
      </c>
      <c r="CW5" s="23" t="s">
        <v>184</v>
      </c>
      <c r="CX5" s="23" t="s">
        <v>184</v>
      </c>
      <c r="CY5" s="23" t="s">
        <v>184</v>
      </c>
      <c r="CZ5" s="23" t="s">
        <v>184</v>
      </c>
      <c r="DA5" s="23" t="s">
        <v>184</v>
      </c>
      <c r="DB5" s="23" t="s">
        <v>185</v>
      </c>
      <c r="DC5" s="23" t="s">
        <v>185</v>
      </c>
      <c r="DD5" s="23" t="s">
        <v>185</v>
      </c>
      <c r="DE5" s="23" t="s">
        <v>185</v>
      </c>
      <c r="DF5" s="23" t="s">
        <v>185</v>
      </c>
      <c r="DG5" s="23" t="s">
        <v>185</v>
      </c>
      <c r="DH5" s="23" t="s">
        <v>185</v>
      </c>
      <c r="DI5" s="23" t="s">
        <v>185</v>
      </c>
      <c r="DJ5" s="23" t="s">
        <v>185</v>
      </c>
      <c r="DK5" s="23" t="s">
        <v>185</v>
      </c>
      <c r="DL5" s="23" t="s">
        <v>186</v>
      </c>
      <c r="DM5" s="23" t="s">
        <v>186</v>
      </c>
      <c r="DN5" s="23" t="s">
        <v>186</v>
      </c>
      <c r="DO5" s="23" t="s">
        <v>186</v>
      </c>
      <c r="DP5" s="23" t="s">
        <v>186</v>
      </c>
      <c r="DQ5" s="23" t="s">
        <v>186</v>
      </c>
      <c r="DR5" s="23" t="s">
        <v>186</v>
      </c>
      <c r="DS5" s="23" t="s">
        <v>186</v>
      </c>
      <c r="DT5" s="23" t="s">
        <v>186</v>
      </c>
      <c r="DU5" s="23" t="s">
        <v>186</v>
      </c>
      <c r="DV5" s="23" t="s">
        <v>187</v>
      </c>
      <c r="DW5" s="23" t="s">
        <v>187</v>
      </c>
      <c r="DX5" s="23" t="s">
        <v>187</v>
      </c>
      <c r="DY5" s="23" t="s">
        <v>187</v>
      </c>
      <c r="DZ5" s="23" t="s">
        <v>187</v>
      </c>
      <c r="EA5" s="23" t="s">
        <v>187</v>
      </c>
      <c r="EB5" s="23" t="s">
        <v>187</v>
      </c>
      <c r="EC5" s="23" t="s">
        <v>187</v>
      </c>
      <c r="ED5" s="23" t="s">
        <v>187</v>
      </c>
      <c r="EE5" s="23" t="s">
        <v>187</v>
      </c>
      <c r="EF5" s="23" t="s">
        <v>132</v>
      </c>
      <c r="EG5" s="23" t="s">
        <v>132</v>
      </c>
      <c r="EH5" s="23" t="s">
        <v>132</v>
      </c>
      <c r="EI5" s="23" t="s">
        <v>132</v>
      </c>
      <c r="EJ5" s="23" t="s">
        <v>132</v>
      </c>
      <c r="EK5" s="23" t="s">
        <v>132</v>
      </c>
      <c r="EL5" s="23" t="s">
        <v>132</v>
      </c>
      <c r="EM5" s="23" t="s">
        <v>132</v>
      </c>
      <c r="EN5" s="23" t="s">
        <v>132</v>
      </c>
      <c r="EO5" s="23" t="s">
        <v>132</v>
      </c>
      <c r="EP5" s="23" t="s">
        <v>85</v>
      </c>
      <c r="EQ5" s="23" t="s">
        <v>85</v>
      </c>
      <c r="ER5" s="23" t="s">
        <v>85</v>
      </c>
      <c r="ES5" s="23" t="s">
        <v>85</v>
      </c>
      <c r="ET5" s="23" t="s">
        <v>85</v>
      </c>
      <c r="EU5" s="23" t="s">
        <v>85</v>
      </c>
      <c r="EV5" s="23" t="s">
        <v>85</v>
      </c>
      <c r="EW5" s="23" t="s">
        <v>85</v>
      </c>
      <c r="EX5" s="23" t="s">
        <v>85</v>
      </c>
      <c r="EY5" s="23" t="s">
        <v>85</v>
      </c>
      <c r="EZ5" s="23" t="s">
        <v>178</v>
      </c>
      <c r="FA5" s="23" t="s">
        <v>178</v>
      </c>
      <c r="FB5" s="23" t="s">
        <v>178</v>
      </c>
      <c r="FC5" s="23" t="s">
        <v>178</v>
      </c>
      <c r="FD5" s="23" t="s">
        <v>178</v>
      </c>
      <c r="FE5" s="23" t="s">
        <v>178</v>
      </c>
      <c r="FF5" s="23" t="s">
        <v>178</v>
      </c>
      <c r="FG5" s="23" t="s">
        <v>178</v>
      </c>
      <c r="FH5" s="23" t="s">
        <v>178</v>
      </c>
      <c r="FI5" s="23" t="s">
        <v>178</v>
      </c>
      <c r="FJ5" s="23" t="s">
        <v>86</v>
      </c>
      <c r="FK5" s="23" t="s">
        <v>86</v>
      </c>
      <c r="FL5" s="23" t="s">
        <v>86</v>
      </c>
      <c r="FM5" s="23" t="s">
        <v>86</v>
      </c>
      <c r="FN5" s="23" t="s">
        <v>86</v>
      </c>
      <c r="FO5" s="23" t="s">
        <v>86</v>
      </c>
      <c r="FP5" s="23" t="s">
        <v>86</v>
      </c>
      <c r="FQ5" s="23" t="s">
        <v>86</v>
      </c>
      <c r="FR5" s="23" t="s">
        <v>86</v>
      </c>
      <c r="FS5" s="23" t="s">
        <v>86</v>
      </c>
    </row>
    <row r="6" spans="1:175" s="5" customFormat="1" ht="13.95" customHeight="1" x14ac:dyDescent="0.3">
      <c r="A6" s="45"/>
      <c r="B6" s="173"/>
      <c r="C6" s="174"/>
      <c r="D6" s="173"/>
      <c r="E6" s="46" t="s">
        <v>102</v>
      </c>
      <c r="F6" s="18" t="s">
        <v>133</v>
      </c>
      <c r="G6" s="18" t="s">
        <v>133</v>
      </c>
      <c r="H6" s="18" t="s">
        <v>133</v>
      </c>
      <c r="I6" s="18" t="s">
        <v>133</v>
      </c>
      <c r="J6" s="18" t="s">
        <v>133</v>
      </c>
      <c r="K6" s="18" t="s">
        <v>133</v>
      </c>
      <c r="L6" s="18" t="s">
        <v>133</v>
      </c>
      <c r="M6" s="17" t="s">
        <v>133</v>
      </c>
      <c r="N6" s="17" t="s">
        <v>133</v>
      </c>
      <c r="O6" s="18" t="s">
        <v>133</v>
      </c>
      <c r="P6" s="17" t="s">
        <v>316</v>
      </c>
      <c r="Q6" s="67" t="s">
        <v>321</v>
      </c>
      <c r="R6" s="17" t="s">
        <v>317</v>
      </c>
      <c r="S6" s="17" t="s">
        <v>284</v>
      </c>
      <c r="T6" s="67" t="s">
        <v>322</v>
      </c>
      <c r="U6" s="17" t="s">
        <v>318</v>
      </c>
      <c r="V6" s="67" t="s">
        <v>323</v>
      </c>
      <c r="W6" s="17" t="s">
        <v>319</v>
      </c>
      <c r="X6" s="67" t="s">
        <v>324</v>
      </c>
      <c r="Y6" s="17" t="s">
        <v>320</v>
      </c>
      <c r="Z6" s="17" t="s">
        <v>316</v>
      </c>
      <c r="AA6" s="67" t="s">
        <v>321</v>
      </c>
      <c r="AB6" s="17" t="s">
        <v>317</v>
      </c>
      <c r="AC6" s="17" t="s">
        <v>284</v>
      </c>
      <c r="AD6" s="67" t="s">
        <v>322</v>
      </c>
      <c r="AE6" s="17" t="s">
        <v>318</v>
      </c>
      <c r="AF6" s="67" t="s">
        <v>323</v>
      </c>
      <c r="AG6" s="17" t="s">
        <v>319</v>
      </c>
      <c r="AH6" s="67" t="s">
        <v>324</v>
      </c>
      <c r="AI6" s="17" t="s">
        <v>320</v>
      </c>
      <c r="AJ6" s="17" t="s">
        <v>316</v>
      </c>
      <c r="AK6" s="67" t="s">
        <v>321</v>
      </c>
      <c r="AL6" s="17" t="s">
        <v>317</v>
      </c>
      <c r="AM6" s="17" t="s">
        <v>284</v>
      </c>
      <c r="AN6" s="67" t="s">
        <v>322</v>
      </c>
      <c r="AO6" s="17" t="s">
        <v>318</v>
      </c>
      <c r="AP6" s="67" t="s">
        <v>323</v>
      </c>
      <c r="AQ6" s="17" t="s">
        <v>319</v>
      </c>
      <c r="AR6" s="67" t="s">
        <v>324</v>
      </c>
      <c r="AS6" s="17" t="s">
        <v>320</v>
      </c>
      <c r="AT6" s="17" t="s">
        <v>316</v>
      </c>
      <c r="AU6" s="67" t="s">
        <v>321</v>
      </c>
      <c r="AV6" s="17" t="s">
        <v>317</v>
      </c>
      <c r="AW6" s="17" t="s">
        <v>284</v>
      </c>
      <c r="AX6" s="67" t="s">
        <v>322</v>
      </c>
      <c r="AY6" s="17" t="s">
        <v>318</v>
      </c>
      <c r="AZ6" s="67" t="s">
        <v>323</v>
      </c>
      <c r="BA6" s="17" t="s">
        <v>319</v>
      </c>
      <c r="BB6" s="67" t="s">
        <v>324</v>
      </c>
      <c r="BC6" s="17" t="s">
        <v>320</v>
      </c>
      <c r="BD6" s="17" t="s">
        <v>316</v>
      </c>
      <c r="BE6" s="67" t="s">
        <v>321</v>
      </c>
      <c r="BF6" s="17" t="s">
        <v>317</v>
      </c>
      <c r="BG6" s="17" t="s">
        <v>284</v>
      </c>
      <c r="BH6" s="67" t="s">
        <v>322</v>
      </c>
      <c r="BI6" s="17" t="s">
        <v>318</v>
      </c>
      <c r="BJ6" s="67" t="s">
        <v>323</v>
      </c>
      <c r="BK6" s="17" t="s">
        <v>319</v>
      </c>
      <c r="BL6" s="67" t="s">
        <v>324</v>
      </c>
      <c r="BM6" s="17" t="s">
        <v>320</v>
      </c>
      <c r="BN6" s="17" t="s">
        <v>316</v>
      </c>
      <c r="BO6" s="67" t="s">
        <v>321</v>
      </c>
      <c r="BP6" s="17" t="s">
        <v>317</v>
      </c>
      <c r="BQ6" s="17" t="s">
        <v>284</v>
      </c>
      <c r="BR6" s="67" t="s">
        <v>322</v>
      </c>
      <c r="BS6" s="17" t="s">
        <v>318</v>
      </c>
      <c r="BT6" s="67" t="s">
        <v>323</v>
      </c>
      <c r="BU6" s="17" t="s">
        <v>319</v>
      </c>
      <c r="BV6" s="67" t="s">
        <v>324</v>
      </c>
      <c r="BW6" s="17" t="s">
        <v>320</v>
      </c>
      <c r="BX6" s="17" t="s">
        <v>316</v>
      </c>
      <c r="BY6" s="67" t="s">
        <v>321</v>
      </c>
      <c r="BZ6" s="17" t="s">
        <v>317</v>
      </c>
      <c r="CA6" s="17" t="s">
        <v>284</v>
      </c>
      <c r="CB6" s="67" t="s">
        <v>322</v>
      </c>
      <c r="CC6" s="17" t="s">
        <v>318</v>
      </c>
      <c r="CD6" s="67" t="s">
        <v>323</v>
      </c>
      <c r="CE6" s="17" t="s">
        <v>319</v>
      </c>
      <c r="CF6" s="67" t="s">
        <v>324</v>
      </c>
      <c r="CG6" s="17" t="s">
        <v>320</v>
      </c>
      <c r="CH6" s="17" t="s">
        <v>316</v>
      </c>
      <c r="CI6" s="67" t="s">
        <v>321</v>
      </c>
      <c r="CJ6" s="17" t="s">
        <v>317</v>
      </c>
      <c r="CK6" s="17" t="s">
        <v>284</v>
      </c>
      <c r="CL6" s="67" t="s">
        <v>322</v>
      </c>
      <c r="CM6" s="17" t="s">
        <v>318</v>
      </c>
      <c r="CN6" s="67" t="s">
        <v>323</v>
      </c>
      <c r="CO6" s="17" t="s">
        <v>319</v>
      </c>
      <c r="CP6" s="67" t="s">
        <v>324</v>
      </c>
      <c r="CQ6" s="17" t="s">
        <v>320</v>
      </c>
      <c r="CR6" s="17" t="s">
        <v>316</v>
      </c>
      <c r="CS6" s="67" t="s">
        <v>321</v>
      </c>
      <c r="CT6" s="17" t="s">
        <v>317</v>
      </c>
      <c r="CU6" s="17" t="s">
        <v>284</v>
      </c>
      <c r="CV6" s="67" t="s">
        <v>322</v>
      </c>
      <c r="CW6" s="17" t="s">
        <v>318</v>
      </c>
      <c r="CX6" s="67" t="s">
        <v>323</v>
      </c>
      <c r="CY6" s="17" t="s">
        <v>319</v>
      </c>
      <c r="CZ6" s="67" t="s">
        <v>324</v>
      </c>
      <c r="DA6" s="17" t="s">
        <v>320</v>
      </c>
      <c r="DB6" s="17" t="s">
        <v>316</v>
      </c>
      <c r="DC6" s="67" t="s">
        <v>321</v>
      </c>
      <c r="DD6" s="17" t="s">
        <v>317</v>
      </c>
      <c r="DE6" s="17" t="s">
        <v>284</v>
      </c>
      <c r="DF6" s="67" t="s">
        <v>322</v>
      </c>
      <c r="DG6" s="17" t="s">
        <v>318</v>
      </c>
      <c r="DH6" s="67" t="s">
        <v>323</v>
      </c>
      <c r="DI6" s="17" t="s">
        <v>319</v>
      </c>
      <c r="DJ6" s="67" t="s">
        <v>324</v>
      </c>
      <c r="DK6" s="17" t="s">
        <v>320</v>
      </c>
      <c r="DL6" s="17" t="s">
        <v>316</v>
      </c>
      <c r="DM6" s="67" t="s">
        <v>321</v>
      </c>
      <c r="DN6" s="17" t="s">
        <v>317</v>
      </c>
      <c r="DO6" s="17" t="s">
        <v>284</v>
      </c>
      <c r="DP6" s="67" t="s">
        <v>322</v>
      </c>
      <c r="DQ6" s="17" t="s">
        <v>318</v>
      </c>
      <c r="DR6" s="67" t="s">
        <v>323</v>
      </c>
      <c r="DS6" s="17" t="s">
        <v>319</v>
      </c>
      <c r="DT6" s="67" t="s">
        <v>324</v>
      </c>
      <c r="DU6" s="17" t="s">
        <v>320</v>
      </c>
      <c r="DV6" s="17" t="s">
        <v>316</v>
      </c>
      <c r="DW6" s="67" t="s">
        <v>321</v>
      </c>
      <c r="DX6" s="17" t="s">
        <v>317</v>
      </c>
      <c r="DY6" s="17" t="s">
        <v>284</v>
      </c>
      <c r="DZ6" s="67" t="s">
        <v>322</v>
      </c>
      <c r="EA6" s="17" t="s">
        <v>318</v>
      </c>
      <c r="EB6" s="67" t="s">
        <v>323</v>
      </c>
      <c r="EC6" s="17" t="s">
        <v>319</v>
      </c>
      <c r="ED6" s="67" t="s">
        <v>324</v>
      </c>
      <c r="EE6" s="17" t="s">
        <v>320</v>
      </c>
      <c r="EF6" s="17" t="s">
        <v>316</v>
      </c>
      <c r="EG6" s="67" t="s">
        <v>321</v>
      </c>
      <c r="EH6" s="17" t="s">
        <v>317</v>
      </c>
      <c r="EI6" s="17" t="s">
        <v>284</v>
      </c>
      <c r="EJ6" s="67" t="s">
        <v>322</v>
      </c>
      <c r="EK6" s="17" t="s">
        <v>318</v>
      </c>
      <c r="EL6" s="67" t="s">
        <v>323</v>
      </c>
      <c r="EM6" s="17" t="s">
        <v>319</v>
      </c>
      <c r="EN6" s="67" t="s">
        <v>324</v>
      </c>
      <c r="EO6" s="17" t="s">
        <v>320</v>
      </c>
      <c r="EP6" s="17" t="s">
        <v>316</v>
      </c>
      <c r="EQ6" s="67" t="s">
        <v>321</v>
      </c>
      <c r="ER6" s="17" t="s">
        <v>317</v>
      </c>
      <c r="ES6" s="17" t="s">
        <v>284</v>
      </c>
      <c r="ET6" s="67" t="s">
        <v>322</v>
      </c>
      <c r="EU6" s="17" t="s">
        <v>318</v>
      </c>
      <c r="EV6" s="67" t="s">
        <v>323</v>
      </c>
      <c r="EW6" s="17" t="s">
        <v>319</v>
      </c>
      <c r="EX6" s="67" t="s">
        <v>324</v>
      </c>
      <c r="EY6" s="17" t="s">
        <v>320</v>
      </c>
      <c r="EZ6" s="17" t="s">
        <v>316</v>
      </c>
      <c r="FA6" s="67" t="s">
        <v>321</v>
      </c>
      <c r="FB6" s="17" t="s">
        <v>317</v>
      </c>
      <c r="FC6" s="17" t="s">
        <v>284</v>
      </c>
      <c r="FD6" s="67" t="s">
        <v>322</v>
      </c>
      <c r="FE6" s="17" t="s">
        <v>318</v>
      </c>
      <c r="FF6" s="67" t="s">
        <v>323</v>
      </c>
      <c r="FG6" s="17" t="s">
        <v>319</v>
      </c>
      <c r="FH6" s="67" t="s">
        <v>324</v>
      </c>
      <c r="FI6" s="17" t="s">
        <v>320</v>
      </c>
      <c r="FJ6" s="17" t="s">
        <v>316</v>
      </c>
      <c r="FK6" s="67" t="s">
        <v>321</v>
      </c>
      <c r="FL6" s="17" t="s">
        <v>317</v>
      </c>
      <c r="FM6" s="17" t="s">
        <v>284</v>
      </c>
      <c r="FN6" s="67" t="s">
        <v>322</v>
      </c>
      <c r="FO6" s="17" t="s">
        <v>318</v>
      </c>
      <c r="FP6" s="67" t="s">
        <v>323</v>
      </c>
      <c r="FQ6" s="17" t="s">
        <v>319</v>
      </c>
      <c r="FR6" s="67" t="s">
        <v>324</v>
      </c>
      <c r="FS6" s="17" t="s">
        <v>320</v>
      </c>
    </row>
    <row r="7" spans="1:175" s="5" customFormat="1" ht="5.55" customHeight="1" x14ac:dyDescent="0.3">
      <c r="A7" s="45"/>
      <c r="B7" s="173"/>
      <c r="C7" s="174"/>
      <c r="D7" s="173"/>
      <c r="E7" s="46"/>
      <c r="F7" s="18" t="str">
        <f>F5&amp;F6</f>
        <v>Used (1 or 0)All</v>
      </c>
      <c r="G7" s="18" t="str">
        <f>G5&amp;G6</f>
        <v>Unit tagAll</v>
      </c>
      <c r="H7" s="18" t="str">
        <f t="shared" ref="H7:DH7" si="0">H5&amp;H6</f>
        <v>Yearly demand (kg fuel)All</v>
      </c>
      <c r="I7" s="18" t="str">
        <f t="shared" si="0"/>
        <v>Produced fromAll</v>
      </c>
      <c r="J7" s="18" t="str">
        <f t="shared" si="0"/>
        <v>El balanceAll</v>
      </c>
      <c r="K7" s="18" t="str">
        <f t="shared" si="0"/>
        <v>Heat balanceAll</v>
      </c>
      <c r="L7" s="18" t="str">
        <f t="shared" si="0"/>
        <v>Process heat balanceAll</v>
      </c>
      <c r="M7" s="18" t="str">
        <f t="shared" si="0"/>
        <v>H2 balanceAll</v>
      </c>
      <c r="N7" s="18" t="str">
        <f t="shared" si="0"/>
        <v>CSP balanceAll</v>
      </c>
      <c r="O7" s="18" t="str">
        <f t="shared" si="0"/>
        <v>Max CapacityAll</v>
      </c>
      <c r="P7" s="18" t="str">
        <f t="shared" si="0"/>
        <v>Fuel production rate (kg output/kg input)2025 worst</v>
      </c>
      <c r="Q7" s="18" t="str">
        <f t="shared" si="0"/>
        <v>Fuel production rate (kg output/kg input)2025 bench</v>
      </c>
      <c r="R7" s="18" t="str">
        <f t="shared" si="0"/>
        <v>Fuel production rate (kg output/kg input)2025 best</v>
      </c>
      <c r="S7" s="18" t="str">
        <f t="shared" si="0"/>
        <v>Fuel production rate (kg output/kg input)2030 worst</v>
      </c>
      <c r="T7" s="18" t="str">
        <f t="shared" si="0"/>
        <v>Fuel production rate (kg output/kg input)2030 bench</v>
      </c>
      <c r="U7" s="18" t="str">
        <f t="shared" si="0"/>
        <v>Fuel production rate (kg output/kg input)2030 best</v>
      </c>
      <c r="V7" s="18" t="str">
        <f t="shared" si="0"/>
        <v>Fuel production rate (kg output/kg input)2040 bench</v>
      </c>
      <c r="W7" s="18" t="str">
        <f t="shared" si="0"/>
        <v>Fuel production rate (kg output/kg input)2050 worst</v>
      </c>
      <c r="X7" s="18" t="str">
        <f t="shared" si="0"/>
        <v>Fuel production rate (kg output/kg input)2050 bench</v>
      </c>
      <c r="Y7" s="18" t="str">
        <f t="shared" si="0"/>
        <v>Fuel production rate (kg output/kg input)2050 best</v>
      </c>
      <c r="Z7" s="18" t="str">
        <f t="shared" si="0"/>
        <v>Heat generated (kWh/output)2025 worst</v>
      </c>
      <c r="AA7" s="18" t="str">
        <f t="shared" si="0"/>
        <v>Heat generated (kWh/output)2025 bench</v>
      </c>
      <c r="AB7" s="18" t="str">
        <f t="shared" si="0"/>
        <v>Heat generated (kWh/output)2025 best</v>
      </c>
      <c r="AC7" s="18" t="str">
        <f t="shared" si="0"/>
        <v>Heat generated (kWh/output)2030 worst</v>
      </c>
      <c r="AD7" s="18" t="str">
        <f t="shared" si="0"/>
        <v>Heat generated (kWh/output)2030 bench</v>
      </c>
      <c r="AE7" s="18" t="str">
        <f t="shared" si="0"/>
        <v>Heat generated (kWh/output)2030 best</v>
      </c>
      <c r="AF7" s="18" t="str">
        <f t="shared" si="0"/>
        <v>Heat generated (kWh/output)2040 bench</v>
      </c>
      <c r="AG7" s="18" t="str">
        <f t="shared" si="0"/>
        <v>Heat generated (kWh/output)2050 worst</v>
      </c>
      <c r="AH7" s="18" t="str">
        <f t="shared" si="0"/>
        <v>Heat generated (kWh/output)2050 bench</v>
      </c>
      <c r="AI7" s="18" t="str">
        <f t="shared" si="0"/>
        <v>Heat generated (kWh/output)2050 best</v>
      </c>
      <c r="AJ7" s="18" t="str">
        <f t="shared" si="0"/>
        <v>Process heat generated (kWh/output)2025 worst</v>
      </c>
      <c r="AK7" s="18" t="str">
        <f t="shared" si="0"/>
        <v>Process heat generated (kWh/output)2025 bench</v>
      </c>
      <c r="AL7" s="18" t="str">
        <f t="shared" si="0"/>
        <v>Process heat generated (kWh/output)2025 best</v>
      </c>
      <c r="AM7" s="18" t="str">
        <f t="shared" si="0"/>
        <v>Process heat generated (kWh/output)2030 worst</v>
      </c>
      <c r="AN7" s="18" t="str">
        <f t="shared" si="0"/>
        <v>Process heat generated (kWh/output)2030 bench</v>
      </c>
      <c r="AO7" s="18" t="str">
        <f t="shared" si="0"/>
        <v>Process heat generated (kWh/output)2030 best</v>
      </c>
      <c r="AP7" s="18" t="str">
        <f t="shared" si="0"/>
        <v>Process heat generated (kWh/output)2040 bench</v>
      </c>
      <c r="AQ7" s="18" t="str">
        <f t="shared" si="0"/>
        <v>Process heat generated (kWh/output)2050 worst</v>
      </c>
      <c r="AR7" s="18" t="str">
        <f t="shared" si="0"/>
        <v>Process heat generated (kWh/output)2050 bench</v>
      </c>
      <c r="AS7" s="18" t="str">
        <f t="shared" si="0"/>
        <v>Process heat generated (kWh/output)2050 best</v>
      </c>
      <c r="AT7" s="18" t="str">
        <f t="shared" si="0"/>
        <v>Load min (% of max capacity)2025 worst</v>
      </c>
      <c r="AU7" s="18" t="str">
        <f t="shared" si="0"/>
        <v>Load min (% of max capacity)2025 bench</v>
      </c>
      <c r="AV7" s="18" t="str">
        <f t="shared" si="0"/>
        <v>Load min (% of max capacity)2025 best</v>
      </c>
      <c r="AW7" s="18" t="str">
        <f t="shared" si="0"/>
        <v>Load min (% of max capacity)2030 worst</v>
      </c>
      <c r="AX7" s="18" t="str">
        <f t="shared" si="0"/>
        <v>Load min (% of max capacity)2030 bench</v>
      </c>
      <c r="AY7" s="18" t="str">
        <f t="shared" si="0"/>
        <v>Load min (% of max capacity)2030 best</v>
      </c>
      <c r="AZ7" s="18" t="str">
        <f t="shared" si="0"/>
        <v>Load min (% of max capacity)2040 bench</v>
      </c>
      <c r="BA7" s="18" t="str">
        <f t="shared" si="0"/>
        <v>Load min (% of max capacity)2050 worst</v>
      </c>
      <c r="BB7" s="18" t="str">
        <f t="shared" si="0"/>
        <v>Load min (% of max capacity)2050 bench</v>
      </c>
      <c r="BC7" s="18" t="str">
        <f t="shared" si="0"/>
        <v>Load min (% of max capacity)2050 best</v>
      </c>
      <c r="BD7" s="18" t="str">
        <f t="shared" si="0"/>
        <v>Ramp up (% of capacity /h)2025 worst</v>
      </c>
      <c r="BE7" s="18" t="str">
        <f t="shared" si="0"/>
        <v>Ramp up (% of capacity /h)2025 bench</v>
      </c>
      <c r="BF7" s="18" t="str">
        <f t="shared" si="0"/>
        <v>Ramp up (% of capacity /h)2025 best</v>
      </c>
      <c r="BG7" s="18" t="str">
        <f t="shared" si="0"/>
        <v>Ramp up (% of capacity /h)2030 worst</v>
      </c>
      <c r="BH7" s="18" t="str">
        <f t="shared" si="0"/>
        <v>Ramp up (% of capacity /h)2030 bench</v>
      </c>
      <c r="BI7" s="18" t="str">
        <f t="shared" si="0"/>
        <v>Ramp up (% of capacity /h)2030 best</v>
      </c>
      <c r="BJ7" s="18" t="str">
        <f t="shared" si="0"/>
        <v>Ramp up (% of capacity /h)2040 bench</v>
      </c>
      <c r="BK7" s="18" t="str">
        <f t="shared" si="0"/>
        <v>Ramp up (% of capacity /h)2050 worst</v>
      </c>
      <c r="BL7" s="18" t="str">
        <f t="shared" si="0"/>
        <v>Ramp up (% of capacity /h)2050 bench</v>
      </c>
      <c r="BM7" s="18" t="str">
        <f t="shared" si="0"/>
        <v>Ramp up (% of capacity /h)2050 best</v>
      </c>
      <c r="BN7" s="18" t="str">
        <f t="shared" si="0"/>
        <v>Ramp down (% of capacity /h)2025 worst</v>
      </c>
      <c r="BO7" s="18" t="str">
        <f t="shared" si="0"/>
        <v>Ramp down (% of capacity /h)2025 bench</v>
      </c>
      <c r="BP7" s="18" t="str">
        <f t="shared" si="0"/>
        <v>Ramp down (% of capacity /h)2025 best</v>
      </c>
      <c r="BQ7" s="18" t="str">
        <f t="shared" si="0"/>
        <v>Ramp down (% of capacity /h)2030 worst</v>
      </c>
      <c r="BR7" s="18" t="str">
        <f t="shared" si="0"/>
        <v>Ramp down (% of capacity /h)2030 bench</v>
      </c>
      <c r="BS7" s="18" t="str">
        <f t="shared" si="0"/>
        <v>Ramp down (% of capacity /h)2030 best</v>
      </c>
      <c r="BT7" s="18" t="str">
        <f t="shared" si="0"/>
        <v>Ramp down (% of capacity /h)2040 bench</v>
      </c>
      <c r="BU7" s="18" t="str">
        <f t="shared" si="0"/>
        <v>Ramp down (% of capacity /h)2050 worst</v>
      </c>
      <c r="BV7" s="18" t="str">
        <f t="shared" si="0"/>
        <v>Ramp down (% of capacity /h)2050 bench</v>
      </c>
      <c r="BW7" s="18" t="str">
        <f t="shared" si="0"/>
        <v>Ramp down (% of capacity /h)2050 best</v>
      </c>
      <c r="BX7" s="18" t="str">
        <f t="shared" si="0"/>
        <v>Electrical consumption (kWh/output)2025 worst</v>
      </c>
      <c r="BY7" s="18" t="str">
        <f t="shared" si="0"/>
        <v>Electrical consumption (kWh/output)2025 bench</v>
      </c>
      <c r="BZ7" s="18" t="str">
        <f t="shared" si="0"/>
        <v>Electrical consumption (kWh/output)2025 best</v>
      </c>
      <c r="CA7" s="18" t="str">
        <f t="shared" si="0"/>
        <v>Electrical consumption (kWh/output)2030 worst</v>
      </c>
      <c r="CB7" s="18" t="str">
        <f t="shared" si="0"/>
        <v>Electrical consumption (kWh/output)2030 bench</v>
      </c>
      <c r="CC7" s="18" t="str">
        <f t="shared" si="0"/>
        <v>Electrical consumption (kWh/output)2030 best</v>
      </c>
      <c r="CD7" s="18" t="str">
        <f t="shared" si="0"/>
        <v>Electrical consumption (kWh/output)2040 bench</v>
      </c>
      <c r="CE7" s="18" t="str">
        <f t="shared" si="0"/>
        <v>Electrical consumption (kWh/output)2050 worst</v>
      </c>
      <c r="CF7" s="18" t="str">
        <f t="shared" si="0"/>
        <v>Electrical consumption (kWh/output)2050 bench</v>
      </c>
      <c r="CG7" s="18" t="str">
        <f t="shared" si="0"/>
        <v>Electrical consumption (kWh/output)2050 best</v>
      </c>
      <c r="CH7" s="18" t="str">
        <f t="shared" si="0"/>
        <v>Investment (EUR/Capacity installed)2025 worst</v>
      </c>
      <c r="CI7" s="18" t="str">
        <f t="shared" si="0"/>
        <v>Investment (EUR/Capacity installed)2025 bench</v>
      </c>
      <c r="CJ7" s="18" t="str">
        <f t="shared" si="0"/>
        <v>Investment (EUR/Capacity installed)2025 best</v>
      </c>
      <c r="CK7" s="18" t="str">
        <f t="shared" si="0"/>
        <v>Investment (EUR/Capacity installed)2030 worst</v>
      </c>
      <c r="CL7" s="18" t="str">
        <f t="shared" si="0"/>
        <v>Investment (EUR/Capacity installed)2030 bench</v>
      </c>
      <c r="CM7" s="18" t="str">
        <f t="shared" si="0"/>
        <v>Investment (EUR/Capacity installed)2030 best</v>
      </c>
      <c r="CN7" s="18" t="str">
        <f t="shared" si="0"/>
        <v>Investment (EUR/Capacity installed)2040 bench</v>
      </c>
      <c r="CO7" s="18" t="str">
        <f t="shared" si="0"/>
        <v>Investment (EUR/Capacity installed)2050 worst</v>
      </c>
      <c r="CP7" s="18" t="str">
        <f t="shared" si="0"/>
        <v>Investment (EUR/Capacity installed)2050 bench</v>
      </c>
      <c r="CQ7" s="18" t="str">
        <f t="shared" si="0"/>
        <v>Investment (EUR/Capacity installed)2050 best</v>
      </c>
      <c r="CR7" s="18" t="str">
        <f t="shared" si="0"/>
        <v>Fixed cost (EUR/Capacity installed/y)2025 worst</v>
      </c>
      <c r="CS7" s="18" t="str">
        <f t="shared" si="0"/>
        <v>Fixed cost (EUR/Capacity installed/y)2025 bench</v>
      </c>
      <c r="CT7" s="18" t="str">
        <f t="shared" si="0"/>
        <v>Fixed cost (EUR/Capacity installed/y)2025 best</v>
      </c>
      <c r="CU7" s="18" t="str">
        <f t="shared" si="0"/>
        <v>Fixed cost (EUR/Capacity installed/y)2030 worst</v>
      </c>
      <c r="CV7" s="18" t="str">
        <f t="shared" si="0"/>
        <v>Fixed cost (EUR/Capacity installed/y)2030 bench</v>
      </c>
      <c r="CW7" s="18" t="str">
        <f t="shared" si="0"/>
        <v>Fixed cost (EUR/Capacity installed/y)2030 best</v>
      </c>
      <c r="CX7" s="18" t="str">
        <f t="shared" si="0"/>
        <v>Fixed cost (EUR/Capacity installed/y)2040 bench</v>
      </c>
      <c r="CY7" s="18" t="str">
        <f t="shared" si="0"/>
        <v>Fixed cost (EUR/Capacity installed/y)2050 worst</v>
      </c>
      <c r="CZ7" s="18" t="str">
        <f t="shared" si="0"/>
        <v>Fixed cost (EUR/Capacity installed/y)2050 bench</v>
      </c>
      <c r="DA7" s="18" t="str">
        <f t="shared" si="0"/>
        <v>Fixed cost (EUR/Capacity installed/y)2050 best</v>
      </c>
      <c r="DB7" s="18" t="str">
        <f t="shared" si="0"/>
        <v>Variable cost (EUR/Output)2025 worst</v>
      </c>
      <c r="DC7" s="18" t="str">
        <f t="shared" si="0"/>
        <v>Variable cost (EUR/Output)2025 bench</v>
      </c>
      <c r="DD7" s="18" t="str">
        <f t="shared" si="0"/>
        <v>Variable cost (EUR/Output)2025 best</v>
      </c>
      <c r="DE7" s="18" t="str">
        <f t="shared" si="0"/>
        <v>Variable cost (EUR/Output)2030 worst</v>
      </c>
      <c r="DF7" s="18" t="str">
        <f t="shared" si="0"/>
        <v>Variable cost (EUR/Output)2030 bench</v>
      </c>
      <c r="DG7" s="18" t="str">
        <f t="shared" si="0"/>
        <v>Variable cost (EUR/Output)2030 best</v>
      </c>
      <c r="DH7" s="18" t="str">
        <f t="shared" si="0"/>
        <v>Variable cost (EUR/Output)2040 bench</v>
      </c>
      <c r="DI7" s="18" t="str">
        <f t="shared" ref="DI7:FS7" si="1">DI5&amp;DI6</f>
        <v>Variable cost (EUR/Output)2050 worst</v>
      </c>
      <c r="DJ7" s="18" t="str">
        <f t="shared" si="1"/>
        <v>Variable cost (EUR/Output)2050 bench</v>
      </c>
      <c r="DK7" s="18" t="str">
        <f t="shared" si="1"/>
        <v>Variable cost (EUR/Output)2050 best</v>
      </c>
      <c r="DL7" s="18" t="str">
        <f t="shared" si="1"/>
        <v>Fuel selling price (EUR/output)2025 worst</v>
      </c>
      <c r="DM7" s="18" t="str">
        <f t="shared" si="1"/>
        <v>Fuel selling price (EUR/output)2025 bench</v>
      </c>
      <c r="DN7" s="18" t="str">
        <f t="shared" si="1"/>
        <v>Fuel selling price (EUR/output)2025 best</v>
      </c>
      <c r="DO7" s="18" t="str">
        <f t="shared" si="1"/>
        <v>Fuel selling price (EUR/output)2030 worst</v>
      </c>
      <c r="DP7" s="18" t="str">
        <f t="shared" si="1"/>
        <v>Fuel selling price (EUR/output)2030 bench</v>
      </c>
      <c r="DQ7" s="18" t="str">
        <f t="shared" si="1"/>
        <v>Fuel selling price (EUR/output)2030 best</v>
      </c>
      <c r="DR7" s="18" t="str">
        <f t="shared" si="1"/>
        <v>Fuel selling price (EUR/output)2040 bench</v>
      </c>
      <c r="DS7" s="18" t="str">
        <f t="shared" si="1"/>
        <v>Fuel selling price (EUR/output)2050 worst</v>
      </c>
      <c r="DT7" s="18" t="str">
        <f t="shared" si="1"/>
        <v>Fuel selling price (EUR/output)2050 bench</v>
      </c>
      <c r="DU7" s="18" t="str">
        <f t="shared" si="1"/>
        <v>Fuel selling price (EUR/output)2050 best</v>
      </c>
      <c r="DV7" s="18" t="str">
        <f t="shared" si="1"/>
        <v>Fuel buying price (EUR/output)2025 worst</v>
      </c>
      <c r="DW7" s="18" t="str">
        <f t="shared" si="1"/>
        <v>Fuel buying price (EUR/output)2025 bench</v>
      </c>
      <c r="DX7" s="18" t="str">
        <f t="shared" si="1"/>
        <v>Fuel buying price (EUR/output)2025 best</v>
      </c>
      <c r="DY7" s="18" t="str">
        <f t="shared" si="1"/>
        <v>Fuel buying price (EUR/output)2030 worst</v>
      </c>
      <c r="DZ7" s="18" t="str">
        <f t="shared" si="1"/>
        <v>Fuel buying price (EUR/output)2030 bench</v>
      </c>
      <c r="EA7" s="18" t="str">
        <f t="shared" si="1"/>
        <v>Fuel buying price (EUR/output)2030 best</v>
      </c>
      <c r="EB7" s="18" t="str">
        <f t="shared" si="1"/>
        <v>Fuel buying price (EUR/output)2040 bench</v>
      </c>
      <c r="EC7" s="18" t="str">
        <f t="shared" si="1"/>
        <v>Fuel buying price (EUR/output)2050 worst</v>
      </c>
      <c r="ED7" s="18" t="str">
        <f t="shared" si="1"/>
        <v>Fuel buying price (EUR/output)2050 bench</v>
      </c>
      <c r="EE7" s="18" t="str">
        <f t="shared" si="1"/>
        <v>Fuel buying price (EUR/output)2050 best</v>
      </c>
      <c r="EF7" s="18" t="str">
        <f t="shared" si="1"/>
        <v>CO2e infrastructure (kg CO2e/Capacity/y)2025 worst</v>
      </c>
      <c r="EG7" s="18" t="str">
        <f t="shared" si="1"/>
        <v>CO2e infrastructure (kg CO2e/Capacity/y)2025 bench</v>
      </c>
      <c r="EH7" s="18" t="str">
        <f t="shared" si="1"/>
        <v>CO2e infrastructure (kg CO2e/Capacity/y)2025 best</v>
      </c>
      <c r="EI7" s="18" t="str">
        <f t="shared" si="1"/>
        <v>CO2e infrastructure (kg CO2e/Capacity/y)2030 worst</v>
      </c>
      <c r="EJ7" s="18" t="str">
        <f t="shared" si="1"/>
        <v>CO2e infrastructure (kg CO2e/Capacity/y)2030 bench</v>
      </c>
      <c r="EK7" s="18" t="str">
        <f t="shared" si="1"/>
        <v>CO2e infrastructure (kg CO2e/Capacity/y)2030 best</v>
      </c>
      <c r="EL7" s="18" t="str">
        <f t="shared" si="1"/>
        <v>CO2e infrastructure (kg CO2e/Capacity/y)2040 bench</v>
      </c>
      <c r="EM7" s="18" t="str">
        <f t="shared" si="1"/>
        <v>CO2e infrastructure (kg CO2e/Capacity/y)2050 worst</v>
      </c>
      <c r="EN7" s="18" t="str">
        <f t="shared" si="1"/>
        <v>CO2e infrastructure (kg CO2e/Capacity/y)2050 bench</v>
      </c>
      <c r="EO7" s="18" t="str">
        <f t="shared" si="1"/>
        <v>CO2e infrastructure (kg CO2e/Capacity/y)2050 best</v>
      </c>
      <c r="EP7" s="18" t="str">
        <f t="shared" si="1"/>
        <v>CO2e process (kg CO2e/output)2025 worst</v>
      </c>
      <c r="EQ7" s="18" t="str">
        <f t="shared" si="1"/>
        <v>CO2e process (kg CO2e/output)2025 bench</v>
      </c>
      <c r="ER7" s="18" t="str">
        <f t="shared" si="1"/>
        <v>CO2e process (kg CO2e/output)2025 best</v>
      </c>
      <c r="ES7" s="18" t="str">
        <f t="shared" si="1"/>
        <v>CO2e process (kg CO2e/output)2030 worst</v>
      </c>
      <c r="ET7" s="18" t="str">
        <f t="shared" si="1"/>
        <v>CO2e process (kg CO2e/output)2030 bench</v>
      </c>
      <c r="EU7" s="18" t="str">
        <f t="shared" si="1"/>
        <v>CO2e process (kg CO2e/output)2030 best</v>
      </c>
      <c r="EV7" s="18" t="str">
        <f t="shared" si="1"/>
        <v>CO2e process (kg CO2e/output)2040 bench</v>
      </c>
      <c r="EW7" s="18" t="str">
        <f t="shared" si="1"/>
        <v>CO2e process (kg CO2e/output)2050 worst</v>
      </c>
      <c r="EX7" s="18" t="str">
        <f t="shared" si="1"/>
        <v>CO2e process (kg CO2e/output)2050 bench</v>
      </c>
      <c r="EY7" s="18" t="str">
        <f t="shared" si="1"/>
        <v>CO2e process (kg CO2e/output)2050 best</v>
      </c>
      <c r="EZ7" s="18" t="str">
        <f t="shared" si="1"/>
        <v>Land use (m2/Capacity)2025 worst</v>
      </c>
      <c r="FA7" s="18" t="str">
        <f t="shared" si="1"/>
        <v>Land use (m2/Capacity)2025 bench</v>
      </c>
      <c r="FB7" s="18" t="str">
        <f t="shared" si="1"/>
        <v>Land use (m2/Capacity)2025 best</v>
      </c>
      <c r="FC7" s="18" t="str">
        <f t="shared" si="1"/>
        <v>Land use (m2/Capacity)2030 worst</v>
      </c>
      <c r="FD7" s="18" t="str">
        <f t="shared" si="1"/>
        <v>Land use (m2/Capacity)2030 bench</v>
      </c>
      <c r="FE7" s="18" t="str">
        <f t="shared" si="1"/>
        <v>Land use (m2/Capacity)2030 best</v>
      </c>
      <c r="FF7" s="18" t="str">
        <f t="shared" si="1"/>
        <v>Land use (m2/Capacity)2040 bench</v>
      </c>
      <c r="FG7" s="18" t="str">
        <f t="shared" si="1"/>
        <v>Land use (m2/Capacity)2050 worst</v>
      </c>
      <c r="FH7" s="18" t="str">
        <f t="shared" si="1"/>
        <v>Land use (m2/Capacity)2050 bench</v>
      </c>
      <c r="FI7" s="18" t="str">
        <f t="shared" si="1"/>
        <v>Land use (m2/Capacity)2050 best</v>
      </c>
      <c r="FJ7" s="18" t="str">
        <f t="shared" si="1"/>
        <v>Annuity factor2025 worst</v>
      </c>
      <c r="FK7" s="18" t="str">
        <f t="shared" si="1"/>
        <v>Annuity factor2025 bench</v>
      </c>
      <c r="FL7" s="18" t="str">
        <f t="shared" si="1"/>
        <v>Annuity factor2025 best</v>
      </c>
      <c r="FM7" s="18" t="str">
        <f t="shared" si="1"/>
        <v>Annuity factor2030 worst</v>
      </c>
      <c r="FN7" s="18" t="str">
        <f t="shared" si="1"/>
        <v>Annuity factor2030 bench</v>
      </c>
      <c r="FO7" s="18" t="str">
        <f t="shared" si="1"/>
        <v>Annuity factor2030 best</v>
      </c>
      <c r="FP7" s="18" t="str">
        <f t="shared" si="1"/>
        <v>Annuity factor2040 bench</v>
      </c>
      <c r="FQ7" s="18" t="str">
        <f t="shared" si="1"/>
        <v>Annuity factor2050 worst</v>
      </c>
      <c r="FR7" s="18" t="str">
        <f t="shared" si="1"/>
        <v>Annuity factor2050 bench</v>
      </c>
      <c r="FS7" s="18" t="str">
        <f t="shared" si="1"/>
        <v>Annuity factor2050 best</v>
      </c>
    </row>
    <row r="8" spans="1:175" s="8" customFormat="1" ht="16.05" customHeight="1" x14ac:dyDescent="0.3">
      <c r="B8" s="173"/>
      <c r="C8" s="174"/>
      <c r="D8" s="173"/>
      <c r="E8" s="68" t="s">
        <v>10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  <c r="AE8" s="8">
        <v>0</v>
      </c>
      <c r="AF8" s="8">
        <v>0</v>
      </c>
      <c r="AG8" s="8">
        <v>0</v>
      </c>
      <c r="AH8" s="8">
        <v>0</v>
      </c>
      <c r="AI8" s="8">
        <v>0</v>
      </c>
      <c r="AJ8" s="8">
        <v>0</v>
      </c>
      <c r="AK8" s="8">
        <v>0</v>
      </c>
      <c r="AL8" s="8">
        <v>0</v>
      </c>
      <c r="AM8" s="8">
        <v>0</v>
      </c>
      <c r="AN8" s="8">
        <v>0</v>
      </c>
      <c r="AO8" s="8">
        <v>0</v>
      </c>
      <c r="AP8" s="8">
        <v>0</v>
      </c>
      <c r="AQ8" s="8">
        <v>0</v>
      </c>
      <c r="AR8" s="8">
        <v>0</v>
      </c>
      <c r="AS8" s="8">
        <v>0</v>
      </c>
      <c r="AT8" s="8">
        <v>0</v>
      </c>
      <c r="AU8" s="8">
        <v>0</v>
      </c>
      <c r="AV8" s="8">
        <v>0</v>
      </c>
      <c r="AW8" s="8">
        <v>0</v>
      </c>
      <c r="AX8" s="8">
        <v>0</v>
      </c>
      <c r="AY8" s="8">
        <v>0</v>
      </c>
      <c r="AZ8" s="8">
        <v>0</v>
      </c>
      <c r="BA8" s="8">
        <v>0</v>
      </c>
      <c r="BB8" s="8">
        <v>0</v>
      </c>
      <c r="BC8" s="8">
        <v>0</v>
      </c>
      <c r="BD8" s="8">
        <v>0</v>
      </c>
      <c r="BE8" s="8">
        <v>0</v>
      </c>
      <c r="BF8" s="8">
        <v>0</v>
      </c>
      <c r="BG8" s="8">
        <v>0</v>
      </c>
      <c r="BH8" s="8">
        <v>0</v>
      </c>
      <c r="BI8" s="8">
        <v>0</v>
      </c>
      <c r="BJ8" s="8">
        <v>0</v>
      </c>
      <c r="BK8" s="8">
        <v>0</v>
      </c>
      <c r="BL8" s="8">
        <v>0</v>
      </c>
      <c r="BM8" s="8">
        <v>0</v>
      </c>
      <c r="BN8" s="8">
        <v>0</v>
      </c>
      <c r="BO8" s="8">
        <v>0</v>
      </c>
      <c r="BP8" s="8">
        <v>0</v>
      </c>
      <c r="BQ8" s="8">
        <v>0</v>
      </c>
      <c r="BR8" s="8">
        <v>0</v>
      </c>
      <c r="BS8" s="8">
        <v>0</v>
      </c>
      <c r="BT8" s="8">
        <v>0</v>
      </c>
      <c r="BU8" s="8">
        <v>0</v>
      </c>
      <c r="BV8" s="8">
        <v>0</v>
      </c>
      <c r="BW8" s="8">
        <v>0</v>
      </c>
      <c r="BX8" s="8">
        <v>0</v>
      </c>
      <c r="BY8" s="8">
        <v>0</v>
      </c>
      <c r="BZ8" s="8">
        <v>0</v>
      </c>
      <c r="CA8" s="8">
        <v>0</v>
      </c>
      <c r="CB8" s="8">
        <v>0</v>
      </c>
      <c r="CC8" s="8">
        <v>0</v>
      </c>
      <c r="CD8" s="8">
        <v>0</v>
      </c>
      <c r="CE8" s="8">
        <v>0</v>
      </c>
      <c r="CF8" s="8">
        <v>0</v>
      </c>
      <c r="CG8" s="8">
        <v>0</v>
      </c>
      <c r="CH8" s="8">
        <v>0</v>
      </c>
      <c r="CI8" s="8">
        <v>0</v>
      </c>
      <c r="CJ8" s="8">
        <v>0</v>
      </c>
      <c r="CK8" s="8">
        <v>0</v>
      </c>
      <c r="CL8" s="8">
        <v>0</v>
      </c>
      <c r="CM8" s="8">
        <v>0</v>
      </c>
      <c r="CN8" s="8">
        <v>0</v>
      </c>
      <c r="CO8" s="8">
        <v>0</v>
      </c>
      <c r="CP8" s="8">
        <v>0</v>
      </c>
      <c r="CQ8" s="8">
        <v>0</v>
      </c>
      <c r="CR8" s="8">
        <v>0</v>
      </c>
      <c r="CS8" s="8">
        <v>0</v>
      </c>
      <c r="CT8" s="8">
        <v>0</v>
      </c>
      <c r="CU8" s="8">
        <v>0</v>
      </c>
      <c r="CV8" s="8">
        <v>0</v>
      </c>
      <c r="CW8" s="8">
        <v>0</v>
      </c>
      <c r="CX8" s="8">
        <v>0</v>
      </c>
      <c r="CY8" s="8">
        <v>0</v>
      </c>
      <c r="CZ8" s="8">
        <v>0</v>
      </c>
      <c r="DA8" s="8">
        <v>0</v>
      </c>
      <c r="DB8" s="8">
        <v>0</v>
      </c>
      <c r="DC8" s="8">
        <v>0</v>
      </c>
      <c r="DD8" s="8">
        <v>0</v>
      </c>
      <c r="DE8" s="8">
        <v>0</v>
      </c>
      <c r="DF8" s="8">
        <v>0</v>
      </c>
      <c r="DG8" s="8">
        <v>0</v>
      </c>
      <c r="DH8" s="8">
        <v>0</v>
      </c>
      <c r="DI8" s="8">
        <v>0</v>
      </c>
      <c r="DJ8" s="8">
        <v>0</v>
      </c>
      <c r="DK8" s="8">
        <v>0</v>
      </c>
      <c r="DL8" s="8">
        <v>0</v>
      </c>
      <c r="DM8" s="8">
        <v>0</v>
      </c>
      <c r="DN8" s="8">
        <v>0</v>
      </c>
      <c r="DO8" s="8">
        <v>0</v>
      </c>
      <c r="DP8" s="8">
        <v>0</v>
      </c>
      <c r="DQ8" s="8">
        <v>0</v>
      </c>
      <c r="DR8" s="8">
        <v>0</v>
      </c>
      <c r="DS8" s="8">
        <v>0</v>
      </c>
      <c r="DT8" s="8">
        <v>0</v>
      </c>
      <c r="DU8" s="8">
        <v>0</v>
      </c>
      <c r="DV8" s="8">
        <v>0</v>
      </c>
      <c r="DW8" s="8">
        <v>0</v>
      </c>
      <c r="DX8" s="8">
        <v>0</v>
      </c>
      <c r="DY8" s="8">
        <v>0</v>
      </c>
      <c r="DZ8" s="8">
        <v>0</v>
      </c>
      <c r="EA8" s="8">
        <v>0</v>
      </c>
      <c r="EB8" s="8">
        <v>0</v>
      </c>
      <c r="EC8" s="8">
        <v>0</v>
      </c>
      <c r="ED8" s="8">
        <v>0</v>
      </c>
      <c r="EE8" s="8">
        <v>0</v>
      </c>
      <c r="EF8" s="8">
        <v>0</v>
      </c>
      <c r="EG8" s="8">
        <v>0</v>
      </c>
      <c r="EH8" s="8">
        <v>0</v>
      </c>
      <c r="EI8" s="8">
        <v>0</v>
      </c>
      <c r="EJ8" s="8">
        <v>0</v>
      </c>
      <c r="EK8" s="8">
        <v>0</v>
      </c>
      <c r="EL8" s="8">
        <v>0</v>
      </c>
      <c r="EM8" s="8">
        <v>0</v>
      </c>
      <c r="EN8" s="8">
        <v>0</v>
      </c>
      <c r="EO8" s="8">
        <v>0</v>
      </c>
      <c r="EP8" s="8">
        <v>0</v>
      </c>
      <c r="EQ8" s="8">
        <v>0</v>
      </c>
      <c r="ER8" s="8">
        <v>0</v>
      </c>
      <c r="ES8" s="8">
        <v>0</v>
      </c>
      <c r="ET8" s="8">
        <v>0</v>
      </c>
      <c r="EU8" s="8">
        <v>0</v>
      </c>
      <c r="EV8" s="8">
        <v>0</v>
      </c>
      <c r="EW8" s="8">
        <v>0</v>
      </c>
      <c r="EX8" s="8">
        <v>0</v>
      </c>
      <c r="EY8" s="8">
        <v>0</v>
      </c>
      <c r="EZ8" s="8">
        <v>0</v>
      </c>
      <c r="FA8" s="8">
        <v>0</v>
      </c>
      <c r="FB8" s="8">
        <v>0</v>
      </c>
      <c r="FC8" s="8">
        <v>0</v>
      </c>
      <c r="FD8" s="8">
        <v>0</v>
      </c>
      <c r="FE8" s="8">
        <v>0</v>
      </c>
      <c r="FF8" s="8">
        <v>0</v>
      </c>
      <c r="FG8" s="8">
        <v>0</v>
      </c>
      <c r="FH8" s="8">
        <v>0</v>
      </c>
      <c r="FI8" s="8">
        <v>0</v>
      </c>
      <c r="FJ8" s="8">
        <v>0</v>
      </c>
      <c r="FK8" s="8">
        <v>0</v>
      </c>
      <c r="FL8" s="8">
        <v>0</v>
      </c>
      <c r="FM8" s="8">
        <v>0</v>
      </c>
      <c r="FN8" s="8">
        <v>0</v>
      </c>
      <c r="FO8" s="8">
        <v>0</v>
      </c>
      <c r="FP8" s="8">
        <v>0</v>
      </c>
      <c r="FQ8" s="8">
        <v>0</v>
      </c>
      <c r="FR8" s="8">
        <v>0</v>
      </c>
      <c r="FS8" s="8">
        <v>0</v>
      </c>
    </row>
    <row r="9" spans="1:175" ht="14.55" customHeight="1" x14ac:dyDescent="0.3">
      <c r="A9" s="171" t="s">
        <v>11</v>
      </c>
      <c r="B9" s="3" t="s">
        <v>135</v>
      </c>
      <c r="C9" s="11" t="s">
        <v>276</v>
      </c>
      <c r="D9" s="2" t="s">
        <v>77</v>
      </c>
      <c r="E9" s="9">
        <v>0</v>
      </c>
      <c r="F9" s="13">
        <v>0</v>
      </c>
      <c r="G9" s="13" t="s">
        <v>88</v>
      </c>
      <c r="H9">
        <v>0</v>
      </c>
      <c r="I9" s="24" t="str">
        <f>B11</f>
        <v>Product/Reactant12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 t="s">
        <v>287</v>
      </c>
      <c r="Q9" t="s">
        <v>287</v>
      </c>
      <c r="R9" t="s">
        <v>287</v>
      </c>
      <c r="S9" t="s">
        <v>287</v>
      </c>
      <c r="T9" t="s">
        <v>287</v>
      </c>
      <c r="U9" t="s">
        <v>287</v>
      </c>
      <c r="V9" t="s">
        <v>287</v>
      </c>
      <c r="W9" t="s">
        <v>287</v>
      </c>
      <c r="X9" t="s">
        <v>287</v>
      </c>
      <c r="Y9" t="s">
        <v>287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 s="14">
        <v>0</v>
      </c>
      <c r="AU9" s="14">
        <v>0</v>
      </c>
      <c r="AV9" s="14">
        <v>0</v>
      </c>
      <c r="AW9" s="14">
        <v>0</v>
      </c>
      <c r="AX9" s="14">
        <v>0</v>
      </c>
      <c r="AY9" s="14">
        <v>0</v>
      </c>
      <c r="AZ9" s="14">
        <v>0</v>
      </c>
      <c r="BA9" s="14">
        <v>0</v>
      </c>
      <c r="BB9" s="14">
        <v>0</v>
      </c>
      <c r="BC9" s="14">
        <v>0</v>
      </c>
      <c r="BD9" s="14">
        <v>0</v>
      </c>
      <c r="BE9" s="14">
        <v>0</v>
      </c>
      <c r="BF9" s="14">
        <v>0</v>
      </c>
      <c r="BG9" s="14">
        <v>0</v>
      </c>
      <c r="BH9" s="14">
        <v>0</v>
      </c>
      <c r="BI9" s="14">
        <v>0</v>
      </c>
      <c r="BJ9" s="14">
        <v>0</v>
      </c>
      <c r="BK9" s="14">
        <v>0</v>
      </c>
      <c r="BL9" s="14">
        <v>0</v>
      </c>
      <c r="BM9" s="14">
        <v>0</v>
      </c>
      <c r="BN9" s="14">
        <v>0</v>
      </c>
      <c r="BO9" s="14">
        <v>0</v>
      </c>
      <c r="BP9" s="14">
        <v>0</v>
      </c>
      <c r="BQ9" s="14">
        <v>0</v>
      </c>
      <c r="BR9" s="14">
        <v>0</v>
      </c>
      <c r="BS9" s="14">
        <v>0</v>
      </c>
      <c r="BT9" s="14">
        <v>0</v>
      </c>
      <c r="BU9" s="14">
        <v>0</v>
      </c>
      <c r="BV9" s="14">
        <v>0</v>
      </c>
      <c r="BW9" s="14">
        <v>0</v>
      </c>
      <c r="BX9" s="10">
        <v>0</v>
      </c>
      <c r="BY9" s="10">
        <v>0</v>
      </c>
      <c r="BZ9" s="10">
        <v>0</v>
      </c>
      <c r="CA9" s="10">
        <v>0</v>
      </c>
      <c r="CB9" s="10">
        <v>0</v>
      </c>
      <c r="CC9" s="10">
        <v>0</v>
      </c>
      <c r="CD9" s="10">
        <v>0</v>
      </c>
      <c r="CE9" s="10">
        <v>0</v>
      </c>
      <c r="CF9" s="10">
        <v>0</v>
      </c>
      <c r="CG9" s="10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</row>
    <row r="10" spans="1:175" x14ac:dyDescent="0.3">
      <c r="A10" s="171"/>
      <c r="B10" s="3" t="s">
        <v>135</v>
      </c>
      <c r="C10" s="11" t="s">
        <v>276</v>
      </c>
      <c r="D10" s="2" t="s">
        <v>96</v>
      </c>
      <c r="E10" s="9">
        <v>0</v>
      </c>
      <c r="F10" s="13">
        <v>0</v>
      </c>
      <c r="G10" s="13" t="s">
        <v>89</v>
      </c>
      <c r="H10">
        <v>0</v>
      </c>
      <c r="I10" s="24" t="str">
        <f>B11</f>
        <v>Product/Reactant12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 t="s">
        <v>287</v>
      </c>
      <c r="Q10" t="s">
        <v>287</v>
      </c>
      <c r="R10" t="s">
        <v>287</v>
      </c>
      <c r="S10" t="s">
        <v>287</v>
      </c>
      <c r="T10" t="s">
        <v>287</v>
      </c>
      <c r="U10" t="s">
        <v>287</v>
      </c>
      <c r="V10" t="s">
        <v>287</v>
      </c>
      <c r="W10" t="s">
        <v>287</v>
      </c>
      <c r="X10" t="s">
        <v>287</v>
      </c>
      <c r="Y10" t="s">
        <v>287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 s="14">
        <v>0</v>
      </c>
      <c r="AU10" s="14">
        <v>0</v>
      </c>
      <c r="AV10" s="14">
        <v>0</v>
      </c>
      <c r="AW10" s="14">
        <v>0</v>
      </c>
      <c r="AX10" s="14">
        <v>0</v>
      </c>
      <c r="AY10" s="14">
        <v>0</v>
      </c>
      <c r="AZ10" s="14">
        <v>0</v>
      </c>
      <c r="BA10" s="14">
        <v>0</v>
      </c>
      <c r="BB10" s="14">
        <v>0</v>
      </c>
      <c r="BC10" s="14">
        <v>0</v>
      </c>
      <c r="BD10" s="14">
        <v>0</v>
      </c>
      <c r="BE10" s="14">
        <v>0</v>
      </c>
      <c r="BF10" s="14">
        <v>0</v>
      </c>
      <c r="BG10" s="14">
        <v>0</v>
      </c>
      <c r="BH10" s="14">
        <v>0</v>
      </c>
      <c r="BI10" s="14">
        <v>0</v>
      </c>
      <c r="BJ10" s="14">
        <v>0</v>
      </c>
      <c r="BK10" s="14">
        <v>0</v>
      </c>
      <c r="BL10" s="14">
        <v>0</v>
      </c>
      <c r="BM10" s="14">
        <v>0</v>
      </c>
      <c r="BN10" s="14">
        <v>0</v>
      </c>
      <c r="BO10" s="14">
        <v>0</v>
      </c>
      <c r="BP10" s="14">
        <v>0</v>
      </c>
      <c r="BQ10" s="14">
        <v>0</v>
      </c>
      <c r="BR10" s="14">
        <v>0</v>
      </c>
      <c r="BS10" s="14">
        <v>0</v>
      </c>
      <c r="BT10" s="14">
        <v>0</v>
      </c>
      <c r="BU10" s="14">
        <v>0</v>
      </c>
      <c r="BV10" s="14">
        <v>0</v>
      </c>
      <c r="BW10" s="14">
        <v>0</v>
      </c>
      <c r="BX10" s="52">
        <v>0</v>
      </c>
      <c r="BY10" s="52">
        <v>0</v>
      </c>
      <c r="BZ10" s="52">
        <v>0</v>
      </c>
      <c r="CA10" s="52">
        <v>0</v>
      </c>
      <c r="CB10" s="52">
        <v>0</v>
      </c>
      <c r="CC10" s="52">
        <v>0</v>
      </c>
      <c r="CD10" s="52">
        <v>0</v>
      </c>
      <c r="CE10" s="52">
        <v>0</v>
      </c>
      <c r="CF10" s="52">
        <v>0</v>
      </c>
      <c r="CG10" s="52">
        <v>0</v>
      </c>
      <c r="CH10" s="52">
        <v>0</v>
      </c>
      <c r="CI10" s="52">
        <v>0</v>
      </c>
      <c r="CJ10" s="52">
        <v>0</v>
      </c>
      <c r="CK10" s="52">
        <v>0</v>
      </c>
      <c r="CL10" s="52">
        <v>0</v>
      </c>
      <c r="CM10" s="52">
        <v>0</v>
      </c>
      <c r="CN10" s="52">
        <v>0</v>
      </c>
      <c r="CO10" s="52">
        <v>0</v>
      </c>
      <c r="CP10" s="52">
        <v>0</v>
      </c>
      <c r="CQ10" s="52">
        <v>0</v>
      </c>
      <c r="CR10" s="52">
        <v>0</v>
      </c>
      <c r="CS10" s="52">
        <v>0</v>
      </c>
      <c r="CT10" s="52">
        <v>0</v>
      </c>
      <c r="CU10">
        <v>0</v>
      </c>
      <c r="CV10" s="52">
        <v>0</v>
      </c>
      <c r="CW10">
        <v>0</v>
      </c>
      <c r="CX10" s="52">
        <v>0</v>
      </c>
      <c r="CY10">
        <v>0</v>
      </c>
      <c r="CZ10" s="52">
        <v>0</v>
      </c>
      <c r="DA10">
        <v>0</v>
      </c>
      <c r="DB10" s="52">
        <v>0</v>
      </c>
      <c r="DC10" s="52">
        <v>0</v>
      </c>
      <c r="DD10" s="52">
        <v>0</v>
      </c>
      <c r="DE10">
        <v>0</v>
      </c>
      <c r="DF10" s="52">
        <v>0</v>
      </c>
      <c r="DG10">
        <v>0</v>
      </c>
      <c r="DH10" s="52">
        <v>0</v>
      </c>
      <c r="DI10">
        <v>0</v>
      </c>
      <c r="DJ10" s="52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 t="s">
        <v>359</v>
      </c>
      <c r="DW10" t="s">
        <v>359</v>
      </c>
      <c r="DX10" t="s">
        <v>359</v>
      </c>
      <c r="DY10" t="s">
        <v>359</v>
      </c>
      <c r="DZ10" t="s">
        <v>359</v>
      </c>
      <c r="EA10" t="s">
        <v>359</v>
      </c>
      <c r="EB10" t="s">
        <v>359</v>
      </c>
      <c r="EC10" t="s">
        <v>359</v>
      </c>
      <c r="ED10" t="s">
        <v>359</v>
      </c>
      <c r="EE10" t="s">
        <v>359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 s="27">
        <v>0</v>
      </c>
      <c r="EQ10" s="27">
        <v>0</v>
      </c>
      <c r="ER10" s="27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</row>
    <row r="11" spans="1:175" x14ac:dyDescent="0.3">
      <c r="A11" s="171"/>
      <c r="B11" s="3" t="s">
        <v>429</v>
      </c>
      <c r="C11" s="4" t="s">
        <v>171</v>
      </c>
      <c r="D11" s="2" t="s">
        <v>229</v>
      </c>
      <c r="E11" s="9">
        <v>0</v>
      </c>
      <c r="F11" s="13">
        <v>0</v>
      </c>
      <c r="G11" s="13" t="s">
        <v>103</v>
      </c>
      <c r="H11" s="15">
        <v>0</v>
      </c>
      <c r="I11" s="24" t="str">
        <f>B36</f>
        <v>Reactant2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 t="s">
        <v>287</v>
      </c>
      <c r="Q11" t="s">
        <v>287</v>
      </c>
      <c r="R11" t="s">
        <v>287</v>
      </c>
      <c r="S11" t="s">
        <v>287</v>
      </c>
      <c r="T11" t="s">
        <v>287</v>
      </c>
      <c r="U11" t="s">
        <v>287</v>
      </c>
      <c r="V11" t="s">
        <v>287</v>
      </c>
      <c r="W11" t="s">
        <v>287</v>
      </c>
      <c r="X11" t="s">
        <v>287</v>
      </c>
      <c r="Y11" t="s">
        <v>287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 s="14" t="s">
        <v>287</v>
      </c>
      <c r="AU11" s="14" t="s">
        <v>287</v>
      </c>
      <c r="AV11" s="14" t="s">
        <v>287</v>
      </c>
      <c r="AW11" s="14" t="s">
        <v>287</v>
      </c>
      <c r="AX11" s="14" t="s">
        <v>287</v>
      </c>
      <c r="AY11" s="14" t="s">
        <v>287</v>
      </c>
      <c r="AZ11" s="14" t="s">
        <v>287</v>
      </c>
      <c r="BA11" s="14" t="s">
        <v>287</v>
      </c>
      <c r="BB11" s="14" t="s">
        <v>287</v>
      </c>
      <c r="BC11" s="14" t="s">
        <v>287</v>
      </c>
      <c r="BD11" s="14" t="s">
        <v>308</v>
      </c>
      <c r="BE11" s="14" t="s">
        <v>308</v>
      </c>
      <c r="BF11" s="14" t="s">
        <v>308</v>
      </c>
      <c r="BG11" s="14" t="s">
        <v>287</v>
      </c>
      <c r="BH11" s="14" t="s">
        <v>287</v>
      </c>
      <c r="BI11" s="14" t="s">
        <v>287</v>
      </c>
      <c r="BJ11" s="14" t="s">
        <v>287</v>
      </c>
      <c r="BK11" s="14" t="s">
        <v>287</v>
      </c>
      <c r="BL11" s="14" t="s">
        <v>287</v>
      </c>
      <c r="BM11" s="14" t="s">
        <v>287</v>
      </c>
      <c r="BN11" s="14" t="s">
        <v>308</v>
      </c>
      <c r="BO11" s="14" t="s">
        <v>308</v>
      </c>
      <c r="BP11" s="14" t="s">
        <v>308</v>
      </c>
      <c r="BQ11" s="14" t="s">
        <v>287</v>
      </c>
      <c r="BR11" s="14" t="s">
        <v>287</v>
      </c>
      <c r="BS11" s="14" t="s">
        <v>287</v>
      </c>
      <c r="BT11" s="14" t="s">
        <v>287</v>
      </c>
      <c r="BU11" s="14" t="s">
        <v>287</v>
      </c>
      <c r="BV11" s="14" t="s">
        <v>287</v>
      </c>
      <c r="BW11" s="14" t="s">
        <v>287</v>
      </c>
      <c r="BX11" s="10" t="s">
        <v>287</v>
      </c>
      <c r="BY11" s="10" t="s">
        <v>287</v>
      </c>
      <c r="BZ11" s="10" t="s">
        <v>287</v>
      </c>
      <c r="CA11" s="10" t="s">
        <v>287</v>
      </c>
      <c r="CB11" s="10" t="s">
        <v>287</v>
      </c>
      <c r="CC11" s="10" t="s">
        <v>287</v>
      </c>
      <c r="CD11" s="10" t="s">
        <v>287</v>
      </c>
      <c r="CE11" s="10" t="s">
        <v>287</v>
      </c>
      <c r="CF11" s="10" t="s">
        <v>287</v>
      </c>
      <c r="CG11" s="10" t="s">
        <v>287</v>
      </c>
      <c r="CH11" t="s">
        <v>360</v>
      </c>
      <c r="CI11" t="s">
        <v>360</v>
      </c>
      <c r="CJ11" t="s">
        <v>360</v>
      </c>
      <c r="CK11" s="15" t="s">
        <v>361</v>
      </c>
      <c r="CL11" s="15" t="s">
        <v>361</v>
      </c>
      <c r="CM11" s="15" t="s">
        <v>361</v>
      </c>
      <c r="CN11">
        <v>0</v>
      </c>
      <c r="CO11" s="15" t="s">
        <v>362</v>
      </c>
      <c r="CP11" s="15" t="s">
        <v>362</v>
      </c>
      <c r="CQ11" s="15" t="s">
        <v>362</v>
      </c>
      <c r="CR11" t="s">
        <v>363</v>
      </c>
      <c r="CS11" t="s">
        <v>363</v>
      </c>
      <c r="CT11" t="s">
        <v>363</v>
      </c>
      <c r="CU11" t="s">
        <v>363</v>
      </c>
      <c r="CV11" t="s">
        <v>363</v>
      </c>
      <c r="CW11" t="s">
        <v>363</v>
      </c>
      <c r="CX11" t="s">
        <v>363</v>
      </c>
      <c r="CY11" t="s">
        <v>363</v>
      </c>
      <c r="CZ11" t="s">
        <v>363</v>
      </c>
      <c r="DA11" t="s">
        <v>363</v>
      </c>
      <c r="DB11" s="52">
        <v>0</v>
      </c>
      <c r="DC11" s="52">
        <v>0</v>
      </c>
      <c r="DD11" s="52">
        <v>0</v>
      </c>
      <c r="DE11">
        <v>0</v>
      </c>
      <c r="DF11" s="52">
        <v>0</v>
      </c>
      <c r="DG11">
        <v>0</v>
      </c>
      <c r="DH11" s="52">
        <v>0</v>
      </c>
      <c r="DI11">
        <v>0</v>
      </c>
      <c r="DJ11" s="52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</row>
    <row r="12" spans="1:175" x14ac:dyDescent="0.3">
      <c r="A12" s="171"/>
      <c r="B12" s="3" t="s">
        <v>440</v>
      </c>
      <c r="C12" s="4" t="s">
        <v>171</v>
      </c>
      <c r="D12" s="2" t="s">
        <v>441</v>
      </c>
      <c r="E12" s="9">
        <v>0</v>
      </c>
      <c r="F12" s="13">
        <v>0</v>
      </c>
      <c r="G12" s="13" t="s">
        <v>442</v>
      </c>
      <c r="H12" s="15" t="s">
        <v>472</v>
      </c>
      <c r="I12" s="24" t="str">
        <f>B36</f>
        <v>Reactant2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 s="16" t="s">
        <v>448</v>
      </c>
      <c r="Q12" s="16" t="s">
        <v>448</v>
      </c>
      <c r="R12" s="16" t="s">
        <v>448</v>
      </c>
      <c r="S12" s="16" t="s">
        <v>448</v>
      </c>
      <c r="T12" s="16" t="s">
        <v>448</v>
      </c>
      <c r="U12" s="16" t="s">
        <v>448</v>
      </c>
      <c r="V12" s="16" t="s">
        <v>448</v>
      </c>
      <c r="W12" s="16" t="s">
        <v>448</v>
      </c>
      <c r="X12" s="16" t="s">
        <v>448</v>
      </c>
      <c r="Y12" s="16" t="s">
        <v>448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  <c r="AK12" s="16">
        <v>0</v>
      </c>
      <c r="AL12" s="16">
        <v>0</v>
      </c>
      <c r="AM12" s="16">
        <v>0</v>
      </c>
      <c r="AN12" s="16">
        <v>0</v>
      </c>
      <c r="AO12" s="16">
        <v>0</v>
      </c>
      <c r="AP12" s="16">
        <v>0</v>
      </c>
      <c r="AQ12" s="16">
        <v>0</v>
      </c>
      <c r="AR12" s="16">
        <v>0</v>
      </c>
      <c r="AS12" s="16">
        <v>0</v>
      </c>
      <c r="AT12" s="14" t="s">
        <v>287</v>
      </c>
      <c r="AU12" s="14" t="s">
        <v>287</v>
      </c>
      <c r="AV12" s="14" t="s">
        <v>287</v>
      </c>
      <c r="AW12" s="14" t="s">
        <v>287</v>
      </c>
      <c r="AX12" s="14" t="s">
        <v>287</v>
      </c>
      <c r="AY12" s="14" t="s">
        <v>287</v>
      </c>
      <c r="AZ12" s="14" t="s">
        <v>287</v>
      </c>
      <c r="BA12" s="14" t="s">
        <v>287</v>
      </c>
      <c r="BB12" s="14" t="s">
        <v>287</v>
      </c>
      <c r="BC12" s="14" t="s">
        <v>287</v>
      </c>
      <c r="BD12" s="14" t="s">
        <v>308</v>
      </c>
      <c r="BE12" s="14" t="s">
        <v>308</v>
      </c>
      <c r="BF12" s="14" t="s">
        <v>308</v>
      </c>
      <c r="BG12" s="14" t="s">
        <v>287</v>
      </c>
      <c r="BH12" s="14" t="s">
        <v>287</v>
      </c>
      <c r="BI12" s="14" t="s">
        <v>287</v>
      </c>
      <c r="BJ12" s="14" t="s">
        <v>287</v>
      </c>
      <c r="BK12" s="14" t="s">
        <v>287</v>
      </c>
      <c r="BL12" s="14" t="s">
        <v>287</v>
      </c>
      <c r="BM12" s="14" t="s">
        <v>287</v>
      </c>
      <c r="BN12" s="14" t="s">
        <v>308</v>
      </c>
      <c r="BO12" s="14" t="s">
        <v>308</v>
      </c>
      <c r="BP12" s="14" t="s">
        <v>308</v>
      </c>
      <c r="BQ12" s="14" t="s">
        <v>287</v>
      </c>
      <c r="BR12" s="14" t="s">
        <v>287</v>
      </c>
      <c r="BS12" s="14" t="s">
        <v>287</v>
      </c>
      <c r="BT12" s="14" t="s">
        <v>287</v>
      </c>
      <c r="BU12" s="14" t="s">
        <v>287</v>
      </c>
      <c r="BV12" s="14" t="s">
        <v>287</v>
      </c>
      <c r="BW12" s="14" t="s">
        <v>287</v>
      </c>
      <c r="BX12" s="10">
        <v>0</v>
      </c>
      <c r="BY12" s="10">
        <v>0</v>
      </c>
      <c r="BZ12" s="10">
        <v>0</v>
      </c>
      <c r="CA12" s="10">
        <v>0</v>
      </c>
      <c r="CB12" s="10">
        <v>0</v>
      </c>
      <c r="CC12" s="10">
        <v>0</v>
      </c>
      <c r="CD12" s="10">
        <v>0</v>
      </c>
      <c r="CE12" s="10">
        <v>0</v>
      </c>
      <c r="CF12" s="10">
        <v>0</v>
      </c>
      <c r="CG12" s="10">
        <v>0</v>
      </c>
      <c r="CH12" s="15" t="s">
        <v>449</v>
      </c>
      <c r="CI12" s="15" t="s">
        <v>449</v>
      </c>
      <c r="CJ12" s="15" t="s">
        <v>449</v>
      </c>
      <c r="CK12" s="15" t="s">
        <v>449</v>
      </c>
      <c r="CL12" s="15" t="s">
        <v>449</v>
      </c>
      <c r="CM12" s="15" t="s">
        <v>449</v>
      </c>
      <c r="CN12" s="15" t="s">
        <v>449</v>
      </c>
      <c r="CO12" s="15" t="s">
        <v>449</v>
      </c>
      <c r="CP12" s="15" t="s">
        <v>449</v>
      </c>
      <c r="CQ12" s="15" t="s">
        <v>449</v>
      </c>
      <c r="CR12" s="69" t="s">
        <v>449</v>
      </c>
      <c r="CS12" s="69" t="s">
        <v>449</v>
      </c>
      <c r="CT12" s="69" t="s">
        <v>449</v>
      </c>
      <c r="CU12" s="69" t="s">
        <v>449</v>
      </c>
      <c r="CV12" s="69" t="s">
        <v>449</v>
      </c>
      <c r="CW12" s="69" t="s">
        <v>449</v>
      </c>
      <c r="CX12" s="69" t="s">
        <v>449</v>
      </c>
      <c r="CY12" s="69" t="s">
        <v>449</v>
      </c>
      <c r="CZ12" s="69" t="s">
        <v>449</v>
      </c>
      <c r="DA12" s="69" t="s">
        <v>449</v>
      </c>
      <c r="DB12" s="52">
        <v>0</v>
      </c>
      <c r="DC12" s="52">
        <v>0</v>
      </c>
      <c r="DD12" s="52">
        <v>0</v>
      </c>
      <c r="DE12">
        <v>0</v>
      </c>
      <c r="DF12" s="52">
        <v>0</v>
      </c>
      <c r="DG12">
        <v>0</v>
      </c>
      <c r="DH12" s="52">
        <v>0</v>
      </c>
      <c r="DI12">
        <v>0</v>
      </c>
      <c r="DJ12" s="5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</row>
    <row r="13" spans="1:175" x14ac:dyDescent="0.3">
      <c r="A13" s="171"/>
      <c r="B13" s="3" t="s">
        <v>135</v>
      </c>
      <c r="C13" s="4" t="s">
        <v>171</v>
      </c>
      <c r="D13" s="2" t="s">
        <v>443</v>
      </c>
      <c r="E13" s="9">
        <v>0</v>
      </c>
      <c r="F13" s="13">
        <v>0</v>
      </c>
      <c r="G13" s="13" t="s">
        <v>444</v>
      </c>
      <c r="H13" s="15" t="s">
        <v>472</v>
      </c>
      <c r="I13" s="24" t="str">
        <f>B15</f>
        <v>Reactant14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 s="16" t="s">
        <v>450</v>
      </c>
      <c r="Q13" s="16" t="s">
        <v>450</v>
      </c>
      <c r="R13" s="16" t="s">
        <v>451</v>
      </c>
      <c r="S13" s="16" t="s">
        <v>450</v>
      </c>
      <c r="T13" s="16" t="s">
        <v>450</v>
      </c>
      <c r="U13" s="16" t="s">
        <v>451</v>
      </c>
      <c r="V13" s="16" t="s">
        <v>450</v>
      </c>
      <c r="W13" s="16" t="s">
        <v>450</v>
      </c>
      <c r="X13" s="16" t="s">
        <v>450</v>
      </c>
      <c r="Y13" s="16" t="s">
        <v>451</v>
      </c>
      <c r="Z13" s="51" t="s">
        <v>450</v>
      </c>
      <c r="AA13" s="51" t="s">
        <v>450</v>
      </c>
      <c r="AB13" s="51" t="s">
        <v>450</v>
      </c>
      <c r="AC13" s="51" t="s">
        <v>450</v>
      </c>
      <c r="AD13" s="51" t="s">
        <v>450</v>
      </c>
      <c r="AE13" s="51" t="s">
        <v>450</v>
      </c>
      <c r="AF13" s="51" t="s">
        <v>450</v>
      </c>
      <c r="AG13" s="51" t="s">
        <v>450</v>
      </c>
      <c r="AH13" s="51" t="s">
        <v>450</v>
      </c>
      <c r="AI13" s="51" t="s">
        <v>450</v>
      </c>
      <c r="AJ13" s="16">
        <v>0</v>
      </c>
      <c r="AK13" s="16">
        <v>0</v>
      </c>
      <c r="AL13" s="16">
        <v>0</v>
      </c>
      <c r="AM13" s="16">
        <v>0</v>
      </c>
      <c r="AN13" s="16">
        <v>0</v>
      </c>
      <c r="AO13" s="16">
        <v>0</v>
      </c>
      <c r="AP13" s="16">
        <v>0</v>
      </c>
      <c r="AQ13" s="16">
        <v>0</v>
      </c>
      <c r="AR13" s="16">
        <v>0</v>
      </c>
      <c r="AS13" s="16">
        <v>0</v>
      </c>
      <c r="AT13" s="14" t="s">
        <v>287</v>
      </c>
      <c r="AU13" s="14" t="s">
        <v>287</v>
      </c>
      <c r="AV13" s="14" t="s">
        <v>287</v>
      </c>
      <c r="AW13" s="14" t="s">
        <v>287</v>
      </c>
      <c r="AX13" s="14" t="s">
        <v>287</v>
      </c>
      <c r="AY13" s="14" t="s">
        <v>287</v>
      </c>
      <c r="AZ13" s="14" t="s">
        <v>287</v>
      </c>
      <c r="BA13" s="14" t="s">
        <v>287</v>
      </c>
      <c r="BB13" s="14" t="s">
        <v>287</v>
      </c>
      <c r="BC13" s="14" t="s">
        <v>287</v>
      </c>
      <c r="BD13" s="14" t="s">
        <v>308</v>
      </c>
      <c r="BE13" s="14" t="s">
        <v>308</v>
      </c>
      <c r="BF13" s="14" t="s">
        <v>308</v>
      </c>
      <c r="BG13" s="14" t="s">
        <v>287</v>
      </c>
      <c r="BH13" s="14" t="s">
        <v>287</v>
      </c>
      <c r="BI13" s="14" t="s">
        <v>287</v>
      </c>
      <c r="BJ13" s="14" t="s">
        <v>287</v>
      </c>
      <c r="BK13" s="14" t="s">
        <v>287</v>
      </c>
      <c r="BL13" s="14" t="s">
        <v>287</v>
      </c>
      <c r="BM13" s="14" t="s">
        <v>287</v>
      </c>
      <c r="BN13" s="14" t="s">
        <v>308</v>
      </c>
      <c r="BO13" s="14" t="s">
        <v>308</v>
      </c>
      <c r="BP13" s="14" t="s">
        <v>308</v>
      </c>
      <c r="BQ13" s="14" t="s">
        <v>287</v>
      </c>
      <c r="BR13" s="14" t="s">
        <v>287</v>
      </c>
      <c r="BS13" s="14" t="s">
        <v>287</v>
      </c>
      <c r="BT13" s="14" t="s">
        <v>287</v>
      </c>
      <c r="BU13" s="14" t="s">
        <v>287</v>
      </c>
      <c r="BV13" s="14" t="s">
        <v>287</v>
      </c>
      <c r="BW13" s="14" t="s">
        <v>287</v>
      </c>
      <c r="BX13" s="16" t="s">
        <v>452</v>
      </c>
      <c r="BY13" s="16" t="s">
        <v>452</v>
      </c>
      <c r="BZ13" s="16" t="s">
        <v>452</v>
      </c>
      <c r="CA13" s="16" t="s">
        <v>452</v>
      </c>
      <c r="CB13" s="16" t="s">
        <v>452</v>
      </c>
      <c r="CC13" s="16" t="s">
        <v>452</v>
      </c>
      <c r="CD13" s="16" t="s">
        <v>452</v>
      </c>
      <c r="CE13" s="16" t="s">
        <v>452</v>
      </c>
      <c r="CF13" s="16" t="s">
        <v>452</v>
      </c>
      <c r="CG13" s="16" t="s">
        <v>452</v>
      </c>
      <c r="CH13" s="15" t="s">
        <v>453</v>
      </c>
      <c r="CI13" s="15" t="s">
        <v>453</v>
      </c>
      <c r="CJ13" s="15" t="s">
        <v>453</v>
      </c>
      <c r="CK13" s="15" t="s">
        <v>453</v>
      </c>
      <c r="CL13" s="15" t="s">
        <v>453</v>
      </c>
      <c r="CM13" s="15" t="s">
        <v>453</v>
      </c>
      <c r="CN13" s="15" t="s">
        <v>453</v>
      </c>
      <c r="CO13" s="15" t="s">
        <v>453</v>
      </c>
      <c r="CP13" s="15" t="s">
        <v>453</v>
      </c>
      <c r="CQ13" s="15" t="s">
        <v>453</v>
      </c>
      <c r="CR13" s="69" t="s">
        <v>453</v>
      </c>
      <c r="CS13" s="69" t="s">
        <v>453</v>
      </c>
      <c r="CT13" s="69" t="s">
        <v>453</v>
      </c>
      <c r="CU13" s="69" t="s">
        <v>453</v>
      </c>
      <c r="CV13" s="69" t="s">
        <v>453</v>
      </c>
      <c r="CW13" s="69" t="s">
        <v>453</v>
      </c>
      <c r="CX13" s="69" t="s">
        <v>453</v>
      </c>
      <c r="CY13" s="69" t="s">
        <v>453</v>
      </c>
      <c r="CZ13" s="69" t="s">
        <v>453</v>
      </c>
      <c r="DA13" s="69" t="s">
        <v>453</v>
      </c>
      <c r="DB13" s="52">
        <v>0</v>
      </c>
      <c r="DC13" s="52">
        <v>0</v>
      </c>
      <c r="DD13" s="52">
        <v>0</v>
      </c>
      <c r="DE13" s="52">
        <v>0</v>
      </c>
      <c r="DF13" s="52">
        <v>0</v>
      </c>
      <c r="DG13" s="52">
        <v>0</v>
      </c>
      <c r="DH13" s="52">
        <v>0</v>
      </c>
      <c r="DI13" s="52">
        <v>0</v>
      </c>
      <c r="DJ13" s="52">
        <v>0</v>
      </c>
      <c r="DK13" s="52">
        <v>0</v>
      </c>
      <c r="DL13" s="52">
        <v>0</v>
      </c>
      <c r="DM13" s="52">
        <v>0</v>
      </c>
      <c r="DN13" s="52">
        <v>0</v>
      </c>
      <c r="DO13" s="52">
        <v>0</v>
      </c>
      <c r="DP13" s="52">
        <v>0</v>
      </c>
      <c r="DQ13" s="52">
        <v>0</v>
      </c>
      <c r="DR13" s="52">
        <v>0</v>
      </c>
      <c r="DS13" s="52">
        <v>0</v>
      </c>
      <c r="DT13" s="52">
        <v>0</v>
      </c>
      <c r="DU13" s="52">
        <v>0</v>
      </c>
      <c r="DV13" s="52">
        <v>0</v>
      </c>
      <c r="DW13" s="52">
        <v>0</v>
      </c>
      <c r="DX13" s="52">
        <v>0</v>
      </c>
      <c r="DY13" s="52">
        <v>0</v>
      </c>
      <c r="DZ13" s="52">
        <v>0</v>
      </c>
      <c r="EA13" s="52">
        <v>0</v>
      </c>
      <c r="EB13" s="52">
        <v>0</v>
      </c>
      <c r="EC13" s="52">
        <v>0</v>
      </c>
      <c r="ED13" s="52">
        <v>0</v>
      </c>
      <c r="EE13" s="52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 s="16" t="s">
        <v>454</v>
      </c>
      <c r="EQ13" s="16" t="s">
        <v>454</v>
      </c>
      <c r="ER13" s="16" t="s">
        <v>454</v>
      </c>
      <c r="ES13" s="16" t="s">
        <v>454</v>
      </c>
      <c r="ET13" s="16" t="s">
        <v>454</v>
      </c>
      <c r="EU13" s="16" t="s">
        <v>454</v>
      </c>
      <c r="EV13" s="16" t="s">
        <v>454</v>
      </c>
      <c r="EW13" s="16" t="s">
        <v>454</v>
      </c>
      <c r="EX13" s="16" t="s">
        <v>454</v>
      </c>
      <c r="EY13" s="16" t="s">
        <v>454</v>
      </c>
      <c r="EZ13" s="16">
        <v>0</v>
      </c>
      <c r="FA13" s="16">
        <v>0</v>
      </c>
      <c r="FB13" s="16">
        <v>0</v>
      </c>
      <c r="FC13" s="16">
        <v>0</v>
      </c>
      <c r="FD13" s="16">
        <v>0</v>
      </c>
      <c r="FE13" s="16">
        <v>0</v>
      </c>
      <c r="FF13" s="16">
        <v>0</v>
      </c>
      <c r="FG13" s="16">
        <v>0</v>
      </c>
      <c r="FH13" s="16">
        <v>0</v>
      </c>
      <c r="FI13" s="16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</row>
    <row r="14" spans="1:175" x14ac:dyDescent="0.3">
      <c r="A14" s="171"/>
      <c r="B14" s="3" t="s">
        <v>135</v>
      </c>
      <c r="C14" s="11" t="s">
        <v>276</v>
      </c>
      <c r="D14" s="2" t="s">
        <v>445</v>
      </c>
      <c r="E14" s="9">
        <v>0</v>
      </c>
      <c r="F14" s="13">
        <v>0</v>
      </c>
      <c r="G14" s="13" t="s">
        <v>445</v>
      </c>
      <c r="H14" s="15" t="s">
        <v>472</v>
      </c>
      <c r="I14" s="24" t="str">
        <f>B12</f>
        <v>Product/Reactant13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 s="16" t="s">
        <v>448</v>
      </c>
      <c r="Q14" s="16" t="s">
        <v>448</v>
      </c>
      <c r="R14" s="16" t="s">
        <v>448</v>
      </c>
      <c r="S14" s="16" t="s">
        <v>448</v>
      </c>
      <c r="T14" s="16" t="s">
        <v>448</v>
      </c>
      <c r="U14" s="16" t="s">
        <v>448</v>
      </c>
      <c r="V14" s="16" t="s">
        <v>448</v>
      </c>
      <c r="W14" s="16" t="s">
        <v>448</v>
      </c>
      <c r="X14" s="16" t="s">
        <v>448</v>
      </c>
      <c r="Y14" s="16" t="s">
        <v>448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  <c r="AK14" s="16">
        <v>0</v>
      </c>
      <c r="AL14" s="16">
        <v>0</v>
      </c>
      <c r="AM14" s="16">
        <v>0</v>
      </c>
      <c r="AN14" s="16">
        <v>0</v>
      </c>
      <c r="AO14" s="16">
        <v>0</v>
      </c>
      <c r="AP14" s="16">
        <v>0</v>
      </c>
      <c r="AQ14" s="16">
        <v>0</v>
      </c>
      <c r="AR14" s="16">
        <v>0</v>
      </c>
      <c r="AS14" s="16">
        <v>0</v>
      </c>
      <c r="AT14" s="14">
        <v>0</v>
      </c>
      <c r="AU14" s="14">
        <v>0</v>
      </c>
      <c r="AV14" s="14">
        <v>0</v>
      </c>
      <c r="AW14" s="14">
        <v>0</v>
      </c>
      <c r="AX14" s="14">
        <v>0</v>
      </c>
      <c r="AY14" s="14">
        <v>0</v>
      </c>
      <c r="AZ14" s="14">
        <v>0</v>
      </c>
      <c r="BA14" s="14">
        <v>0</v>
      </c>
      <c r="BB14" s="14">
        <v>0</v>
      </c>
      <c r="BC14" s="14">
        <v>0</v>
      </c>
      <c r="BD14" s="14">
        <v>0</v>
      </c>
      <c r="BE14" s="14">
        <v>0</v>
      </c>
      <c r="BF14" s="14">
        <v>0</v>
      </c>
      <c r="BG14" s="14">
        <v>0</v>
      </c>
      <c r="BH14" s="14">
        <v>0</v>
      </c>
      <c r="BI14" s="14">
        <v>0</v>
      </c>
      <c r="BJ14" s="14">
        <v>0</v>
      </c>
      <c r="BK14" s="14">
        <v>0</v>
      </c>
      <c r="BL14" s="14">
        <v>0</v>
      </c>
      <c r="BM14" s="14">
        <v>0</v>
      </c>
      <c r="BN14" s="14">
        <v>0</v>
      </c>
      <c r="BO14" s="14">
        <v>0</v>
      </c>
      <c r="BP14" s="14">
        <v>0</v>
      </c>
      <c r="BQ14" s="14">
        <v>0</v>
      </c>
      <c r="BR14" s="14">
        <v>0</v>
      </c>
      <c r="BS14" s="14">
        <v>0</v>
      </c>
      <c r="BT14" s="14">
        <v>0</v>
      </c>
      <c r="BU14" s="14">
        <v>0</v>
      </c>
      <c r="BV14" s="14">
        <v>0</v>
      </c>
      <c r="BW14" s="14">
        <v>0</v>
      </c>
      <c r="BX14" s="10">
        <v>0</v>
      </c>
      <c r="BY14" s="10">
        <v>0</v>
      </c>
      <c r="BZ14" s="10">
        <v>0</v>
      </c>
      <c r="CA14" s="10">
        <v>0</v>
      </c>
      <c r="CB14" s="10">
        <v>0</v>
      </c>
      <c r="CC14" s="10">
        <v>0</v>
      </c>
      <c r="CD14" s="10">
        <v>0</v>
      </c>
      <c r="CE14" s="10">
        <v>0</v>
      </c>
      <c r="CF14" s="10">
        <v>0</v>
      </c>
      <c r="CG14" s="10">
        <v>0</v>
      </c>
      <c r="CH14" s="10">
        <v>0</v>
      </c>
      <c r="CI14" s="10">
        <v>0</v>
      </c>
      <c r="CJ14" s="10">
        <v>0</v>
      </c>
      <c r="CK14" s="10">
        <v>0</v>
      </c>
      <c r="CL14" s="10">
        <v>0</v>
      </c>
      <c r="CM14" s="10">
        <v>0</v>
      </c>
      <c r="CN14" s="10">
        <v>0</v>
      </c>
      <c r="CO14" s="10">
        <v>0</v>
      </c>
      <c r="CP14" s="10">
        <v>0</v>
      </c>
      <c r="CQ14" s="10">
        <v>0</v>
      </c>
      <c r="CR14" s="10">
        <v>0</v>
      </c>
      <c r="CS14" s="10">
        <v>0</v>
      </c>
      <c r="CT14" s="10">
        <v>0</v>
      </c>
      <c r="CU14" s="10">
        <v>0</v>
      </c>
      <c r="CV14" s="10">
        <v>0</v>
      </c>
      <c r="CW14" s="10">
        <v>0</v>
      </c>
      <c r="CX14" s="10">
        <v>0</v>
      </c>
      <c r="CY14" s="10">
        <v>0</v>
      </c>
      <c r="CZ14" s="10">
        <v>0</v>
      </c>
      <c r="DA14" s="10">
        <v>0</v>
      </c>
      <c r="DB14" s="52">
        <v>0</v>
      </c>
      <c r="DC14" s="52">
        <v>0</v>
      </c>
      <c r="DD14" s="52">
        <v>0</v>
      </c>
      <c r="DE14">
        <v>0</v>
      </c>
      <c r="DF14" s="52">
        <v>0</v>
      </c>
      <c r="DG14">
        <v>0</v>
      </c>
      <c r="DH14" s="52">
        <v>0</v>
      </c>
      <c r="DI14">
        <v>0</v>
      </c>
      <c r="DJ14" s="52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 t="s">
        <v>455</v>
      </c>
      <c r="DW14" t="s">
        <v>456</v>
      </c>
      <c r="DX14" t="s">
        <v>457</v>
      </c>
      <c r="DY14" t="s">
        <v>455</v>
      </c>
      <c r="DZ14" t="s">
        <v>456</v>
      </c>
      <c r="EA14" t="s">
        <v>457</v>
      </c>
      <c r="EB14" t="s">
        <v>456</v>
      </c>
      <c r="EC14" t="s">
        <v>455</v>
      </c>
      <c r="ED14" t="s">
        <v>456</v>
      </c>
      <c r="EE14" t="s">
        <v>457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</row>
    <row r="15" spans="1:175" x14ac:dyDescent="0.3">
      <c r="A15" s="171"/>
      <c r="B15" s="3" t="s">
        <v>446</v>
      </c>
      <c r="C15" s="11" t="s">
        <v>276</v>
      </c>
      <c r="D15" s="2" t="s">
        <v>447</v>
      </c>
      <c r="E15" s="9">
        <v>0</v>
      </c>
      <c r="F15" s="13">
        <v>0</v>
      </c>
      <c r="G15" s="13" t="s">
        <v>447</v>
      </c>
      <c r="H15" s="15" t="s">
        <v>472</v>
      </c>
      <c r="I15" s="24" t="s">
        <v>12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 s="51">
        <v>0</v>
      </c>
      <c r="Q15" s="51">
        <v>0</v>
      </c>
      <c r="R15" s="51">
        <v>0</v>
      </c>
      <c r="S15" s="51">
        <v>0</v>
      </c>
      <c r="T15" s="51">
        <v>0</v>
      </c>
      <c r="U15" s="51">
        <v>0</v>
      </c>
      <c r="V15" s="51">
        <v>0</v>
      </c>
      <c r="W15" s="51">
        <v>0</v>
      </c>
      <c r="X15" s="51">
        <v>0</v>
      </c>
      <c r="Y15" s="51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  <c r="AK15" s="16">
        <v>0</v>
      </c>
      <c r="AL15" s="16">
        <v>0</v>
      </c>
      <c r="AM15" s="16">
        <v>0</v>
      </c>
      <c r="AN15" s="16">
        <v>0</v>
      </c>
      <c r="AO15" s="16">
        <v>0</v>
      </c>
      <c r="AP15" s="16">
        <v>0</v>
      </c>
      <c r="AQ15" s="16">
        <v>0</v>
      </c>
      <c r="AR15" s="16">
        <v>0</v>
      </c>
      <c r="AS15" s="16">
        <v>0</v>
      </c>
      <c r="AT15" s="14">
        <v>0</v>
      </c>
      <c r="AU15" s="14">
        <v>0</v>
      </c>
      <c r="AV15" s="14">
        <v>0</v>
      </c>
      <c r="AW15" s="14">
        <v>0</v>
      </c>
      <c r="AX15" s="14">
        <v>0</v>
      </c>
      <c r="AY15" s="14">
        <v>0</v>
      </c>
      <c r="AZ15" s="14">
        <v>0</v>
      </c>
      <c r="BA15" s="14">
        <v>0</v>
      </c>
      <c r="BB15" s="14">
        <v>0</v>
      </c>
      <c r="BC15" s="14">
        <v>0</v>
      </c>
      <c r="BD15" s="14">
        <v>0</v>
      </c>
      <c r="BE15" s="14">
        <v>0</v>
      </c>
      <c r="BF15" s="14">
        <v>0</v>
      </c>
      <c r="BG15" s="14">
        <v>0</v>
      </c>
      <c r="BH15" s="14">
        <v>0</v>
      </c>
      <c r="BI15" s="14">
        <v>0</v>
      </c>
      <c r="BJ15" s="14">
        <v>0</v>
      </c>
      <c r="BK15" s="14">
        <v>0</v>
      </c>
      <c r="BL15" s="14">
        <v>0</v>
      </c>
      <c r="BM15" s="14">
        <v>0</v>
      </c>
      <c r="BN15" s="14">
        <v>0</v>
      </c>
      <c r="BO15" s="14">
        <v>0</v>
      </c>
      <c r="BP15" s="14">
        <v>0</v>
      </c>
      <c r="BQ15" s="14">
        <v>0</v>
      </c>
      <c r="BR15" s="14">
        <v>0</v>
      </c>
      <c r="BS15" s="14">
        <v>0</v>
      </c>
      <c r="BT15" s="14">
        <v>0</v>
      </c>
      <c r="BU15" s="14">
        <v>0</v>
      </c>
      <c r="BV15" s="14">
        <v>0</v>
      </c>
      <c r="BW15" s="14">
        <v>0</v>
      </c>
      <c r="BX15" s="10">
        <v>0</v>
      </c>
      <c r="BY15" s="10">
        <v>0</v>
      </c>
      <c r="BZ15" s="10">
        <v>0</v>
      </c>
      <c r="CA15" s="10">
        <v>0</v>
      </c>
      <c r="CB15" s="10">
        <v>0</v>
      </c>
      <c r="CC15" s="10">
        <v>0</v>
      </c>
      <c r="CD15" s="10">
        <v>0</v>
      </c>
      <c r="CE15" s="10">
        <v>0</v>
      </c>
      <c r="CF15" s="10">
        <v>0</v>
      </c>
      <c r="CG15" s="10">
        <v>0</v>
      </c>
      <c r="CH15" s="10">
        <v>0</v>
      </c>
      <c r="CI15" s="10">
        <v>0</v>
      </c>
      <c r="CJ15" s="10">
        <v>0</v>
      </c>
      <c r="CK15" s="10">
        <v>0</v>
      </c>
      <c r="CL15" s="10">
        <v>0</v>
      </c>
      <c r="CM15" s="10">
        <v>0</v>
      </c>
      <c r="CN15" s="10">
        <v>0</v>
      </c>
      <c r="CO15" s="10">
        <v>0</v>
      </c>
      <c r="CP15" s="10">
        <v>0</v>
      </c>
      <c r="CQ15" s="10">
        <v>0</v>
      </c>
      <c r="CR15" s="10">
        <v>0</v>
      </c>
      <c r="CS15" s="10">
        <v>0</v>
      </c>
      <c r="CT15" s="10">
        <v>0</v>
      </c>
      <c r="CU15" s="10">
        <v>0</v>
      </c>
      <c r="CV15" s="10">
        <v>0</v>
      </c>
      <c r="CW15" s="10">
        <v>0</v>
      </c>
      <c r="CX15" s="10">
        <v>0</v>
      </c>
      <c r="CY15" s="10">
        <v>0</v>
      </c>
      <c r="CZ15" s="10">
        <v>0</v>
      </c>
      <c r="DA15" s="10">
        <v>0</v>
      </c>
      <c r="DB15" s="52">
        <v>0</v>
      </c>
      <c r="DC15" s="52">
        <v>0</v>
      </c>
      <c r="DD15" s="52">
        <v>0</v>
      </c>
      <c r="DE15">
        <v>0</v>
      </c>
      <c r="DF15" s="52">
        <v>0</v>
      </c>
      <c r="DG15">
        <v>0</v>
      </c>
      <c r="DH15" s="52">
        <v>0</v>
      </c>
      <c r="DI15">
        <v>0</v>
      </c>
      <c r="DJ15" s="52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 t="s">
        <v>455</v>
      </c>
      <c r="DW15" t="s">
        <v>456</v>
      </c>
      <c r="DX15" t="s">
        <v>457</v>
      </c>
      <c r="DY15" t="s">
        <v>455</v>
      </c>
      <c r="DZ15" t="s">
        <v>456</v>
      </c>
      <c r="EA15" t="s">
        <v>457</v>
      </c>
      <c r="EB15" t="s">
        <v>456</v>
      </c>
      <c r="EC15" t="s">
        <v>455</v>
      </c>
      <c r="ED15" t="s">
        <v>456</v>
      </c>
      <c r="EE15" t="s">
        <v>457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</row>
    <row r="16" spans="1:175" x14ac:dyDescent="0.3">
      <c r="A16" s="171"/>
      <c r="B16" s="3" t="s">
        <v>135</v>
      </c>
      <c r="C16" s="11" t="s">
        <v>276</v>
      </c>
      <c r="D16" s="2" t="s">
        <v>435</v>
      </c>
      <c r="E16" s="9">
        <v>0</v>
      </c>
      <c r="F16" s="13">
        <v>0</v>
      </c>
      <c r="G16" s="13" t="s">
        <v>435</v>
      </c>
      <c r="H16">
        <v>0</v>
      </c>
      <c r="I16" s="24" t="str">
        <f>B21</f>
        <v>Product/Reactant1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 t="s">
        <v>422</v>
      </c>
      <c r="Q16" t="s">
        <v>422</v>
      </c>
      <c r="R16" t="s">
        <v>422</v>
      </c>
      <c r="S16" t="s">
        <v>422</v>
      </c>
      <c r="T16" t="s">
        <v>422</v>
      </c>
      <c r="U16" t="s">
        <v>422</v>
      </c>
      <c r="V16" t="s">
        <v>422</v>
      </c>
      <c r="W16" t="s">
        <v>422</v>
      </c>
      <c r="X16" t="s">
        <v>422</v>
      </c>
      <c r="Y16" t="s">
        <v>422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 s="14">
        <v>0</v>
      </c>
      <c r="AU16" s="14">
        <v>0</v>
      </c>
      <c r="AV16" s="14">
        <v>0</v>
      </c>
      <c r="AW16" s="14">
        <v>0</v>
      </c>
      <c r="AX16" s="14">
        <v>0</v>
      </c>
      <c r="AY16" s="14">
        <v>0</v>
      </c>
      <c r="AZ16" s="14">
        <v>0</v>
      </c>
      <c r="BA16" s="14">
        <v>0</v>
      </c>
      <c r="BB16" s="14">
        <v>0</v>
      </c>
      <c r="BC16" s="14">
        <v>0</v>
      </c>
      <c r="BD16" s="14">
        <v>0</v>
      </c>
      <c r="BE16" s="14">
        <v>0</v>
      </c>
      <c r="BF16" s="14">
        <v>0</v>
      </c>
      <c r="BG16" s="14">
        <v>0</v>
      </c>
      <c r="BH16" s="14">
        <v>0</v>
      </c>
      <c r="BI16" s="14">
        <v>0</v>
      </c>
      <c r="BJ16" s="14">
        <v>0</v>
      </c>
      <c r="BK16" s="14">
        <v>0</v>
      </c>
      <c r="BL16" s="14">
        <v>0</v>
      </c>
      <c r="BM16" s="14">
        <v>0</v>
      </c>
      <c r="BN16" s="14">
        <v>0</v>
      </c>
      <c r="BO16" s="14">
        <v>0</v>
      </c>
      <c r="BP16" s="14">
        <v>0</v>
      </c>
      <c r="BQ16" s="14">
        <v>0</v>
      </c>
      <c r="BR16" s="14">
        <v>0</v>
      </c>
      <c r="BS16" s="14">
        <v>0</v>
      </c>
      <c r="BT16" s="14">
        <v>0</v>
      </c>
      <c r="BU16" s="14">
        <v>0</v>
      </c>
      <c r="BV16" s="14">
        <v>0</v>
      </c>
      <c r="BW16" s="14">
        <v>0</v>
      </c>
      <c r="BX16" s="10">
        <v>0</v>
      </c>
      <c r="BY16" s="10">
        <v>0</v>
      </c>
      <c r="BZ16" s="10">
        <v>0</v>
      </c>
      <c r="CA16" s="10">
        <v>0</v>
      </c>
      <c r="CB16" s="10">
        <v>0</v>
      </c>
      <c r="CC16" s="10">
        <v>0</v>
      </c>
      <c r="CD16" s="10">
        <v>0</v>
      </c>
      <c r="CE16" s="10">
        <v>0</v>
      </c>
      <c r="CF16" s="10">
        <v>0</v>
      </c>
      <c r="CG16" s="10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</row>
    <row r="17" spans="1:175" x14ac:dyDescent="0.3">
      <c r="A17" s="171"/>
      <c r="B17" s="3" t="s">
        <v>135</v>
      </c>
      <c r="C17" s="11" t="s">
        <v>276</v>
      </c>
      <c r="D17" s="2" t="s">
        <v>436</v>
      </c>
      <c r="E17" s="9">
        <v>0</v>
      </c>
      <c r="F17" s="13">
        <v>0</v>
      </c>
      <c r="G17" s="13" t="s">
        <v>436</v>
      </c>
      <c r="H17">
        <v>0</v>
      </c>
      <c r="I17" s="24" t="str">
        <f t="shared" ref="I17:I19" si="2">B22</f>
        <v>Product/Reactant1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 t="s">
        <v>422</v>
      </c>
      <c r="Q17" t="s">
        <v>422</v>
      </c>
      <c r="R17" t="s">
        <v>422</v>
      </c>
      <c r="S17" t="s">
        <v>422</v>
      </c>
      <c r="T17" t="s">
        <v>422</v>
      </c>
      <c r="U17" t="s">
        <v>422</v>
      </c>
      <c r="V17" t="s">
        <v>422</v>
      </c>
      <c r="W17" t="s">
        <v>422</v>
      </c>
      <c r="X17" t="s">
        <v>422</v>
      </c>
      <c r="Y17" t="s">
        <v>422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 s="14">
        <v>0</v>
      </c>
      <c r="AU17" s="14">
        <v>0</v>
      </c>
      <c r="AV17" s="14">
        <v>0</v>
      </c>
      <c r="AW17" s="14">
        <v>0</v>
      </c>
      <c r="AX17" s="14">
        <v>0</v>
      </c>
      <c r="AY17" s="14">
        <v>0</v>
      </c>
      <c r="AZ17" s="14">
        <v>0</v>
      </c>
      <c r="BA17" s="14">
        <v>0</v>
      </c>
      <c r="BB17" s="14">
        <v>0</v>
      </c>
      <c r="BC17" s="14">
        <v>0</v>
      </c>
      <c r="BD17" s="14">
        <v>0</v>
      </c>
      <c r="BE17" s="14">
        <v>0</v>
      </c>
      <c r="BF17" s="14">
        <v>0</v>
      </c>
      <c r="BG17" s="14">
        <v>0</v>
      </c>
      <c r="BH17" s="14">
        <v>0</v>
      </c>
      <c r="BI17" s="14">
        <v>0</v>
      </c>
      <c r="BJ17" s="14">
        <v>0</v>
      </c>
      <c r="BK17" s="14">
        <v>0</v>
      </c>
      <c r="BL17" s="14">
        <v>0</v>
      </c>
      <c r="BM17" s="14">
        <v>0</v>
      </c>
      <c r="BN17" s="14">
        <v>0</v>
      </c>
      <c r="BO17" s="14">
        <v>0</v>
      </c>
      <c r="BP17" s="14">
        <v>0</v>
      </c>
      <c r="BQ17" s="14">
        <v>0</v>
      </c>
      <c r="BR17" s="14">
        <v>0</v>
      </c>
      <c r="BS17" s="14">
        <v>0</v>
      </c>
      <c r="BT17" s="14">
        <v>0</v>
      </c>
      <c r="BU17" s="14">
        <v>0</v>
      </c>
      <c r="BV17" s="14">
        <v>0</v>
      </c>
      <c r="BW17" s="14">
        <v>0</v>
      </c>
      <c r="BX17" s="10">
        <v>0</v>
      </c>
      <c r="BY17" s="10">
        <v>0</v>
      </c>
      <c r="BZ17" s="10">
        <v>0</v>
      </c>
      <c r="CA17" s="10">
        <v>0</v>
      </c>
      <c r="CB17" s="10">
        <v>0</v>
      </c>
      <c r="CC17" s="10">
        <v>0</v>
      </c>
      <c r="CD17" s="10">
        <v>0</v>
      </c>
      <c r="CE17" s="10">
        <v>0</v>
      </c>
      <c r="CF17" s="10">
        <v>0</v>
      </c>
      <c r="CG17" s="10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</row>
    <row r="18" spans="1:175" x14ac:dyDescent="0.3">
      <c r="A18" s="171"/>
      <c r="B18" s="3" t="s">
        <v>135</v>
      </c>
      <c r="C18" s="11" t="s">
        <v>276</v>
      </c>
      <c r="D18" s="2" t="s">
        <v>437</v>
      </c>
      <c r="E18" s="9">
        <v>0</v>
      </c>
      <c r="F18" s="13">
        <v>0</v>
      </c>
      <c r="G18" s="13" t="s">
        <v>437</v>
      </c>
      <c r="H18">
        <v>0</v>
      </c>
      <c r="I18" s="24" t="str">
        <f t="shared" si="2"/>
        <v>Product/Reactant1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 t="s">
        <v>422</v>
      </c>
      <c r="Q18" t="s">
        <v>422</v>
      </c>
      <c r="R18" t="s">
        <v>422</v>
      </c>
      <c r="S18" t="s">
        <v>422</v>
      </c>
      <c r="T18" t="s">
        <v>422</v>
      </c>
      <c r="U18" t="s">
        <v>422</v>
      </c>
      <c r="V18" t="s">
        <v>422</v>
      </c>
      <c r="W18" t="s">
        <v>422</v>
      </c>
      <c r="X18" t="s">
        <v>422</v>
      </c>
      <c r="Y18" t="s">
        <v>422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 s="14">
        <v>0</v>
      </c>
      <c r="AU18" s="14">
        <v>0</v>
      </c>
      <c r="AV18" s="14">
        <v>0</v>
      </c>
      <c r="AW18" s="14">
        <v>0</v>
      </c>
      <c r="AX18" s="14">
        <v>0</v>
      </c>
      <c r="AY18" s="14">
        <v>0</v>
      </c>
      <c r="AZ18" s="14">
        <v>0</v>
      </c>
      <c r="BA18" s="14">
        <v>0</v>
      </c>
      <c r="BB18" s="14">
        <v>0</v>
      </c>
      <c r="BC18" s="14">
        <v>0</v>
      </c>
      <c r="BD18" s="14">
        <v>0</v>
      </c>
      <c r="BE18" s="14">
        <v>0</v>
      </c>
      <c r="BF18" s="14">
        <v>0</v>
      </c>
      <c r="BG18" s="14">
        <v>0</v>
      </c>
      <c r="BH18" s="14">
        <v>0</v>
      </c>
      <c r="BI18" s="14">
        <v>0</v>
      </c>
      <c r="BJ18" s="14">
        <v>0</v>
      </c>
      <c r="BK18" s="14">
        <v>0</v>
      </c>
      <c r="BL18" s="14">
        <v>0</v>
      </c>
      <c r="BM18" s="14">
        <v>0</v>
      </c>
      <c r="BN18" s="14">
        <v>0</v>
      </c>
      <c r="BO18" s="14">
        <v>0</v>
      </c>
      <c r="BP18" s="14">
        <v>0</v>
      </c>
      <c r="BQ18" s="14">
        <v>0</v>
      </c>
      <c r="BR18" s="14">
        <v>0</v>
      </c>
      <c r="BS18" s="14">
        <v>0</v>
      </c>
      <c r="BT18" s="14">
        <v>0</v>
      </c>
      <c r="BU18" s="14">
        <v>0</v>
      </c>
      <c r="BV18" s="14">
        <v>0</v>
      </c>
      <c r="BW18" s="14">
        <v>0</v>
      </c>
      <c r="BX18" s="10">
        <v>0</v>
      </c>
      <c r="BY18" s="10">
        <v>0</v>
      </c>
      <c r="BZ18" s="10">
        <v>0</v>
      </c>
      <c r="CA18" s="10">
        <v>0</v>
      </c>
      <c r="CB18" s="10">
        <v>0</v>
      </c>
      <c r="CC18" s="10">
        <v>0</v>
      </c>
      <c r="CD18" s="10">
        <v>0</v>
      </c>
      <c r="CE18" s="10">
        <v>0</v>
      </c>
      <c r="CF18" s="10">
        <v>0</v>
      </c>
      <c r="CG18" s="10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</row>
    <row r="19" spans="1:175" x14ac:dyDescent="0.3">
      <c r="A19" s="171"/>
      <c r="B19" s="3" t="s">
        <v>135</v>
      </c>
      <c r="C19" s="11" t="s">
        <v>276</v>
      </c>
      <c r="D19" s="2" t="s">
        <v>438</v>
      </c>
      <c r="E19" s="9">
        <v>0</v>
      </c>
      <c r="F19" s="13">
        <v>0</v>
      </c>
      <c r="G19" s="13" t="s">
        <v>438</v>
      </c>
      <c r="H19">
        <v>0</v>
      </c>
      <c r="I19" s="24" t="str">
        <f t="shared" si="2"/>
        <v>Product/Reactant1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 t="s">
        <v>422</v>
      </c>
      <c r="Q19" t="s">
        <v>422</v>
      </c>
      <c r="R19" t="s">
        <v>422</v>
      </c>
      <c r="S19" t="s">
        <v>422</v>
      </c>
      <c r="T19" t="s">
        <v>422</v>
      </c>
      <c r="U19" t="s">
        <v>422</v>
      </c>
      <c r="V19" t="s">
        <v>422</v>
      </c>
      <c r="W19" t="s">
        <v>422</v>
      </c>
      <c r="X19" t="s">
        <v>422</v>
      </c>
      <c r="Y19" t="s">
        <v>422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 s="14">
        <v>0</v>
      </c>
      <c r="AU19" s="14">
        <v>0</v>
      </c>
      <c r="AV19" s="14">
        <v>0</v>
      </c>
      <c r="AW19" s="14">
        <v>0</v>
      </c>
      <c r="AX19" s="14">
        <v>0</v>
      </c>
      <c r="AY19" s="14">
        <v>0</v>
      </c>
      <c r="AZ19" s="14">
        <v>0</v>
      </c>
      <c r="BA19" s="14">
        <v>0</v>
      </c>
      <c r="BB19" s="14">
        <v>0</v>
      </c>
      <c r="BC19" s="14">
        <v>0</v>
      </c>
      <c r="BD19" s="14">
        <v>0</v>
      </c>
      <c r="BE19" s="14">
        <v>0</v>
      </c>
      <c r="BF19" s="14">
        <v>0</v>
      </c>
      <c r="BG19" s="14">
        <v>0</v>
      </c>
      <c r="BH19" s="14">
        <v>0</v>
      </c>
      <c r="BI19" s="14">
        <v>0</v>
      </c>
      <c r="BJ19" s="14">
        <v>0</v>
      </c>
      <c r="BK19" s="14">
        <v>0</v>
      </c>
      <c r="BL19" s="14">
        <v>0</v>
      </c>
      <c r="BM19" s="14">
        <v>0</v>
      </c>
      <c r="BN19" s="14">
        <v>0</v>
      </c>
      <c r="BO19" s="14">
        <v>0</v>
      </c>
      <c r="BP19" s="14">
        <v>0</v>
      </c>
      <c r="BQ19" s="14">
        <v>0</v>
      </c>
      <c r="BR19" s="14">
        <v>0</v>
      </c>
      <c r="BS19" s="14">
        <v>0</v>
      </c>
      <c r="BT19" s="14">
        <v>0</v>
      </c>
      <c r="BU19" s="14">
        <v>0</v>
      </c>
      <c r="BV19" s="14">
        <v>0</v>
      </c>
      <c r="BW19" s="14">
        <v>0</v>
      </c>
      <c r="BX19" s="10">
        <v>0</v>
      </c>
      <c r="BY19" s="10">
        <v>0</v>
      </c>
      <c r="BZ19" s="10">
        <v>0</v>
      </c>
      <c r="CA19" s="10">
        <v>0</v>
      </c>
      <c r="CB19" s="10">
        <v>0</v>
      </c>
      <c r="CC19" s="10">
        <v>0</v>
      </c>
      <c r="CD19" s="10">
        <v>0</v>
      </c>
      <c r="CE19" s="10">
        <v>0</v>
      </c>
      <c r="CF19" s="10">
        <v>0</v>
      </c>
      <c r="CG19" s="10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</row>
    <row r="20" spans="1:175" x14ac:dyDescent="0.3">
      <c r="A20" s="171"/>
      <c r="B20" s="3" t="s">
        <v>135</v>
      </c>
      <c r="C20" s="4" t="s">
        <v>433</v>
      </c>
      <c r="D20" s="2" t="s">
        <v>427</v>
      </c>
      <c r="E20" s="9">
        <v>0</v>
      </c>
      <c r="F20" s="13">
        <v>0</v>
      </c>
      <c r="G20" s="13" t="s">
        <v>428</v>
      </c>
      <c r="H20">
        <v>0</v>
      </c>
      <c r="I20" s="24" t="str">
        <f>B21</f>
        <v>Product/Reactant1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 t="s">
        <v>422</v>
      </c>
      <c r="Q20" t="s">
        <v>422</v>
      </c>
      <c r="R20" t="s">
        <v>422</v>
      </c>
      <c r="S20" t="s">
        <v>422</v>
      </c>
      <c r="T20" t="s">
        <v>422</v>
      </c>
      <c r="U20" t="s">
        <v>422</v>
      </c>
      <c r="V20" t="s">
        <v>422</v>
      </c>
      <c r="W20" t="s">
        <v>422</v>
      </c>
      <c r="X20" t="s">
        <v>422</v>
      </c>
      <c r="Y20" t="s">
        <v>422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 s="14">
        <v>0</v>
      </c>
      <c r="AU20" s="14">
        <v>0</v>
      </c>
      <c r="AV20" s="14">
        <v>0</v>
      </c>
      <c r="AW20" s="14">
        <v>0</v>
      </c>
      <c r="AX20" s="14">
        <v>0</v>
      </c>
      <c r="AY20" s="14">
        <v>0</v>
      </c>
      <c r="AZ20" s="14">
        <v>0</v>
      </c>
      <c r="BA20" s="14">
        <v>0</v>
      </c>
      <c r="BB20" s="14">
        <v>0</v>
      </c>
      <c r="BC20" s="14">
        <v>0</v>
      </c>
      <c r="BD20" s="14">
        <v>0</v>
      </c>
      <c r="BE20" s="14">
        <v>0</v>
      </c>
      <c r="BF20" s="14">
        <v>0</v>
      </c>
      <c r="BG20" s="14">
        <v>0</v>
      </c>
      <c r="BH20" s="14">
        <v>0</v>
      </c>
      <c r="BI20" s="14">
        <v>0</v>
      </c>
      <c r="BJ20" s="14">
        <v>0</v>
      </c>
      <c r="BK20" s="14">
        <v>0</v>
      </c>
      <c r="BL20" s="14">
        <v>0</v>
      </c>
      <c r="BM20" s="14">
        <v>0</v>
      </c>
      <c r="BN20" s="14">
        <v>0</v>
      </c>
      <c r="BO20" s="14">
        <v>0</v>
      </c>
      <c r="BP20" s="14">
        <v>0</v>
      </c>
      <c r="BQ20" s="14">
        <v>0</v>
      </c>
      <c r="BR20" s="14">
        <v>0</v>
      </c>
      <c r="BS20" s="14">
        <v>0</v>
      </c>
      <c r="BT20" s="14">
        <v>0</v>
      </c>
      <c r="BU20" s="14">
        <v>0</v>
      </c>
      <c r="BV20" s="14">
        <v>0</v>
      </c>
      <c r="BW20" s="14">
        <v>0</v>
      </c>
      <c r="BX20" s="10">
        <v>0</v>
      </c>
      <c r="BY20" s="10">
        <v>0</v>
      </c>
      <c r="BZ20" s="10">
        <v>0</v>
      </c>
      <c r="CA20" s="10">
        <v>0</v>
      </c>
      <c r="CB20" s="10">
        <v>0</v>
      </c>
      <c r="CC20" s="10">
        <v>0</v>
      </c>
      <c r="CD20" s="10">
        <v>0</v>
      </c>
      <c r="CE20" s="10">
        <v>0</v>
      </c>
      <c r="CF20" s="10">
        <v>0</v>
      </c>
      <c r="CG20" s="1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</row>
    <row r="21" spans="1:175" s="66" customFormat="1" x14ac:dyDescent="0.3">
      <c r="A21" s="171"/>
      <c r="B21" s="62" t="s">
        <v>134</v>
      </c>
      <c r="C21" s="63" t="s">
        <v>171</v>
      </c>
      <c r="D21" s="54" t="s">
        <v>401</v>
      </c>
      <c r="E21" s="9">
        <v>0</v>
      </c>
      <c r="F21" s="64">
        <v>0</v>
      </c>
      <c r="G21" s="64" t="s">
        <v>417</v>
      </c>
      <c r="H21">
        <v>0</v>
      </c>
      <c r="I21" s="65" t="str">
        <f>B37</f>
        <v>Reactant5</v>
      </c>
      <c r="J21" s="66">
        <v>0</v>
      </c>
      <c r="K21" s="66">
        <v>0</v>
      </c>
      <c r="L21" s="66">
        <v>0</v>
      </c>
      <c r="M21" s="66">
        <v>0</v>
      </c>
      <c r="N21" s="66">
        <v>0</v>
      </c>
      <c r="O21" s="66">
        <v>0</v>
      </c>
      <c r="P21" s="66" t="s">
        <v>422</v>
      </c>
      <c r="Q21" s="66" t="s">
        <v>422</v>
      </c>
      <c r="R21" s="66" t="s">
        <v>422</v>
      </c>
      <c r="S21" s="66" t="s">
        <v>422</v>
      </c>
      <c r="T21" s="66" t="s">
        <v>422</v>
      </c>
      <c r="U21" s="66" t="s">
        <v>422</v>
      </c>
      <c r="V21" s="66" t="s">
        <v>422</v>
      </c>
      <c r="W21" s="66" t="s">
        <v>422</v>
      </c>
      <c r="X21" s="66" t="s">
        <v>422</v>
      </c>
      <c r="Y21" s="66" t="s">
        <v>422</v>
      </c>
      <c r="Z21" s="66" t="s">
        <v>422</v>
      </c>
      <c r="AA21" s="66" t="s">
        <v>422</v>
      </c>
      <c r="AB21" s="66" t="s">
        <v>422</v>
      </c>
      <c r="AC21" s="66" t="s">
        <v>422</v>
      </c>
      <c r="AD21" s="66" t="s">
        <v>422</v>
      </c>
      <c r="AE21" s="66" t="s">
        <v>422</v>
      </c>
      <c r="AF21" s="66" t="s">
        <v>422</v>
      </c>
      <c r="AG21" s="66" t="s">
        <v>422</v>
      </c>
      <c r="AH21" s="66" t="s">
        <v>422</v>
      </c>
      <c r="AI21" s="66" t="s">
        <v>422</v>
      </c>
      <c r="AJ21" s="66" t="s">
        <v>422</v>
      </c>
      <c r="AK21" s="66" t="s">
        <v>422</v>
      </c>
      <c r="AL21" s="66" t="s">
        <v>422</v>
      </c>
      <c r="AM21" s="66" t="s">
        <v>422</v>
      </c>
      <c r="AN21" s="66" t="s">
        <v>422</v>
      </c>
      <c r="AO21" s="66" t="s">
        <v>422</v>
      </c>
      <c r="AP21" s="66" t="s">
        <v>422</v>
      </c>
      <c r="AQ21" s="66" t="s">
        <v>422</v>
      </c>
      <c r="AR21" s="66" t="s">
        <v>422</v>
      </c>
      <c r="AS21" s="66" t="s">
        <v>422</v>
      </c>
      <c r="AT21" s="56" t="s">
        <v>422</v>
      </c>
      <c r="AU21" s="56" t="s">
        <v>422</v>
      </c>
      <c r="AV21" s="56" t="s">
        <v>422</v>
      </c>
      <c r="AW21" s="56" t="s">
        <v>422</v>
      </c>
      <c r="AX21" s="56" t="s">
        <v>422</v>
      </c>
      <c r="AY21" s="56" t="s">
        <v>422</v>
      </c>
      <c r="AZ21" s="56" t="s">
        <v>422</v>
      </c>
      <c r="BA21" s="56" t="s">
        <v>422</v>
      </c>
      <c r="BB21" s="56" t="s">
        <v>422</v>
      </c>
      <c r="BC21" s="56" t="s">
        <v>422</v>
      </c>
      <c r="BD21" s="56" t="s">
        <v>422</v>
      </c>
      <c r="BE21" s="56" t="s">
        <v>422</v>
      </c>
      <c r="BF21" s="56" t="s">
        <v>422</v>
      </c>
      <c r="BG21" s="56" t="s">
        <v>422</v>
      </c>
      <c r="BH21" s="56" t="s">
        <v>422</v>
      </c>
      <c r="BI21" s="56" t="s">
        <v>422</v>
      </c>
      <c r="BJ21" s="56" t="s">
        <v>422</v>
      </c>
      <c r="BK21" s="56" t="s">
        <v>422</v>
      </c>
      <c r="BL21" s="56" t="s">
        <v>422</v>
      </c>
      <c r="BM21" s="56" t="s">
        <v>422</v>
      </c>
      <c r="BN21" s="56" t="s">
        <v>422</v>
      </c>
      <c r="BO21" s="56" t="s">
        <v>422</v>
      </c>
      <c r="BP21" s="56" t="s">
        <v>422</v>
      </c>
      <c r="BQ21" s="56" t="s">
        <v>422</v>
      </c>
      <c r="BR21" s="56" t="s">
        <v>422</v>
      </c>
      <c r="BS21" s="56" t="s">
        <v>422</v>
      </c>
      <c r="BT21" s="56" t="s">
        <v>422</v>
      </c>
      <c r="BU21" s="56" t="s">
        <v>422</v>
      </c>
      <c r="BV21" s="56" t="s">
        <v>422</v>
      </c>
      <c r="BW21" s="56" t="s">
        <v>422</v>
      </c>
      <c r="BX21" s="55" t="s">
        <v>422</v>
      </c>
      <c r="BY21" s="55" t="s">
        <v>422</v>
      </c>
      <c r="BZ21" s="55" t="s">
        <v>422</v>
      </c>
      <c r="CA21" s="55" t="s">
        <v>422</v>
      </c>
      <c r="CB21" s="55" t="s">
        <v>422</v>
      </c>
      <c r="CC21" s="55" t="s">
        <v>422</v>
      </c>
      <c r="CD21" s="55" t="s">
        <v>422</v>
      </c>
      <c r="CE21" s="55" t="s">
        <v>422</v>
      </c>
      <c r="CF21" s="55" t="s">
        <v>422</v>
      </c>
      <c r="CG21" s="55" t="s">
        <v>422</v>
      </c>
      <c r="CH21" s="66" t="s">
        <v>422</v>
      </c>
      <c r="CI21" s="66" t="s">
        <v>422</v>
      </c>
      <c r="CJ21" s="66" t="s">
        <v>422</v>
      </c>
      <c r="CK21" s="66" t="s">
        <v>422</v>
      </c>
      <c r="CL21" s="66" t="s">
        <v>422</v>
      </c>
      <c r="CM21" s="66" t="s">
        <v>422</v>
      </c>
      <c r="CN21" s="66" t="s">
        <v>422</v>
      </c>
      <c r="CO21" s="66" t="s">
        <v>422</v>
      </c>
      <c r="CP21" s="66" t="s">
        <v>422</v>
      </c>
      <c r="CQ21" s="66" t="s">
        <v>422</v>
      </c>
      <c r="CR21" s="66" t="s">
        <v>422</v>
      </c>
      <c r="CS21" s="66" t="s">
        <v>422</v>
      </c>
      <c r="CT21" s="66" t="s">
        <v>422</v>
      </c>
      <c r="CU21" s="66" t="s">
        <v>422</v>
      </c>
      <c r="CV21" s="66" t="s">
        <v>422</v>
      </c>
      <c r="CW21" s="66" t="s">
        <v>422</v>
      </c>
      <c r="CX21" s="66" t="s">
        <v>422</v>
      </c>
      <c r="CY21" s="66" t="s">
        <v>422</v>
      </c>
      <c r="CZ21" s="66" t="s">
        <v>422</v>
      </c>
      <c r="DA21" s="66" t="s">
        <v>422</v>
      </c>
      <c r="DB21" s="66" t="s">
        <v>422</v>
      </c>
      <c r="DC21" s="66" t="s">
        <v>422</v>
      </c>
      <c r="DD21" s="66" t="s">
        <v>422</v>
      </c>
      <c r="DE21" s="66" t="s">
        <v>422</v>
      </c>
      <c r="DF21" s="66" t="s">
        <v>422</v>
      </c>
      <c r="DG21" s="66" t="s">
        <v>422</v>
      </c>
      <c r="DH21" s="66" t="s">
        <v>422</v>
      </c>
      <c r="DI21" s="66" t="s">
        <v>422</v>
      </c>
      <c r="DJ21" s="66" t="s">
        <v>422</v>
      </c>
      <c r="DK21" s="66" t="s">
        <v>422</v>
      </c>
      <c r="DL21" s="66" t="s">
        <v>422</v>
      </c>
      <c r="DM21" s="66" t="s">
        <v>422</v>
      </c>
      <c r="DN21" s="66" t="s">
        <v>422</v>
      </c>
      <c r="DO21" s="66" t="s">
        <v>422</v>
      </c>
      <c r="DP21" s="66" t="s">
        <v>422</v>
      </c>
      <c r="DQ21" s="66" t="s">
        <v>422</v>
      </c>
      <c r="DR21" s="66" t="s">
        <v>422</v>
      </c>
      <c r="DS21" s="66" t="s">
        <v>422</v>
      </c>
      <c r="DT21" s="66" t="s">
        <v>422</v>
      </c>
      <c r="DU21" s="66" t="s">
        <v>422</v>
      </c>
      <c r="DV21" s="66" t="s">
        <v>422</v>
      </c>
      <c r="DW21" s="66" t="s">
        <v>422</v>
      </c>
      <c r="DX21" s="66" t="s">
        <v>422</v>
      </c>
      <c r="DY21" s="66" t="s">
        <v>422</v>
      </c>
      <c r="DZ21" s="66" t="s">
        <v>422</v>
      </c>
      <c r="EA21" s="66" t="s">
        <v>422</v>
      </c>
      <c r="EB21" s="66" t="s">
        <v>422</v>
      </c>
      <c r="EC21" s="66" t="s">
        <v>422</v>
      </c>
      <c r="ED21" s="66" t="s">
        <v>422</v>
      </c>
      <c r="EE21" s="66" t="s">
        <v>422</v>
      </c>
      <c r="EF21" s="66" t="s">
        <v>422</v>
      </c>
      <c r="EG21" s="66" t="s">
        <v>422</v>
      </c>
      <c r="EH21" s="66" t="s">
        <v>422</v>
      </c>
      <c r="EI21" s="66" t="s">
        <v>422</v>
      </c>
      <c r="EJ21" s="66" t="s">
        <v>422</v>
      </c>
      <c r="EK21" s="66" t="s">
        <v>422</v>
      </c>
      <c r="EL21" s="66" t="s">
        <v>422</v>
      </c>
      <c r="EM21" s="66" t="s">
        <v>422</v>
      </c>
      <c r="EN21" s="66" t="s">
        <v>422</v>
      </c>
      <c r="EO21" s="66" t="s">
        <v>422</v>
      </c>
      <c r="EP21" s="66" t="s">
        <v>422</v>
      </c>
      <c r="EQ21" s="66" t="s">
        <v>422</v>
      </c>
      <c r="ER21" s="66" t="s">
        <v>422</v>
      </c>
      <c r="ES21" s="66" t="s">
        <v>422</v>
      </c>
      <c r="ET21" s="66" t="s">
        <v>422</v>
      </c>
      <c r="EU21" s="66" t="s">
        <v>422</v>
      </c>
      <c r="EV21" s="66" t="s">
        <v>422</v>
      </c>
      <c r="EW21" s="66" t="s">
        <v>422</v>
      </c>
      <c r="EX21" s="66" t="s">
        <v>422</v>
      </c>
      <c r="EY21" s="66" t="s">
        <v>422</v>
      </c>
      <c r="EZ21" s="66" t="s">
        <v>422</v>
      </c>
      <c r="FA21" s="66" t="s">
        <v>422</v>
      </c>
      <c r="FB21" s="66" t="s">
        <v>422</v>
      </c>
      <c r="FC21" s="66" t="s">
        <v>422</v>
      </c>
      <c r="FD21" s="66" t="s">
        <v>422</v>
      </c>
      <c r="FE21" s="66" t="s">
        <v>422</v>
      </c>
      <c r="FF21" s="66" t="s">
        <v>422</v>
      </c>
      <c r="FG21" s="66" t="s">
        <v>422</v>
      </c>
      <c r="FH21" s="66" t="s">
        <v>422</v>
      </c>
      <c r="FI21" s="66" t="s">
        <v>422</v>
      </c>
      <c r="FJ21" s="66" t="s">
        <v>422</v>
      </c>
      <c r="FK21" s="66" t="s">
        <v>422</v>
      </c>
      <c r="FL21" s="66" t="s">
        <v>422</v>
      </c>
      <c r="FM21" s="66" t="s">
        <v>422</v>
      </c>
      <c r="FN21" s="66" t="s">
        <v>422</v>
      </c>
      <c r="FO21" s="66" t="s">
        <v>422</v>
      </c>
      <c r="FP21" s="66" t="s">
        <v>422</v>
      </c>
      <c r="FQ21" s="66" t="s">
        <v>422</v>
      </c>
      <c r="FR21" s="66" t="s">
        <v>422</v>
      </c>
      <c r="FS21" s="66" t="s">
        <v>422</v>
      </c>
    </row>
    <row r="22" spans="1:175" s="66" customFormat="1" x14ac:dyDescent="0.3">
      <c r="A22" s="171"/>
      <c r="B22" s="62" t="s">
        <v>134</v>
      </c>
      <c r="C22" s="63" t="s">
        <v>171</v>
      </c>
      <c r="D22" s="54" t="s">
        <v>402</v>
      </c>
      <c r="E22" s="9">
        <v>0</v>
      </c>
      <c r="F22" s="64">
        <v>0</v>
      </c>
      <c r="G22" s="64" t="s">
        <v>418</v>
      </c>
      <c r="H22">
        <v>0</v>
      </c>
      <c r="I22" s="65" t="str">
        <f>B38</f>
        <v>Reactant6</v>
      </c>
      <c r="J22" s="66">
        <v>0</v>
      </c>
      <c r="K22" s="66">
        <v>0</v>
      </c>
      <c r="L22" s="66">
        <v>0</v>
      </c>
      <c r="M22" s="66">
        <v>0</v>
      </c>
      <c r="N22" s="66">
        <v>0</v>
      </c>
      <c r="O22" s="66">
        <v>0</v>
      </c>
      <c r="P22" s="66" t="s">
        <v>422</v>
      </c>
      <c r="Q22" s="66" t="s">
        <v>422</v>
      </c>
      <c r="R22" s="66" t="s">
        <v>422</v>
      </c>
      <c r="S22" s="66" t="s">
        <v>422</v>
      </c>
      <c r="T22" s="66" t="s">
        <v>422</v>
      </c>
      <c r="U22" s="66" t="s">
        <v>422</v>
      </c>
      <c r="V22" s="66" t="s">
        <v>422</v>
      </c>
      <c r="W22" s="66" t="s">
        <v>422</v>
      </c>
      <c r="X22" s="66" t="s">
        <v>422</v>
      </c>
      <c r="Y22" s="66" t="s">
        <v>422</v>
      </c>
      <c r="Z22" s="66" t="s">
        <v>422</v>
      </c>
      <c r="AA22" s="66" t="s">
        <v>422</v>
      </c>
      <c r="AB22" s="66" t="s">
        <v>422</v>
      </c>
      <c r="AC22" s="66" t="s">
        <v>422</v>
      </c>
      <c r="AD22" s="66" t="s">
        <v>422</v>
      </c>
      <c r="AE22" s="66" t="s">
        <v>422</v>
      </c>
      <c r="AF22" s="66" t="s">
        <v>422</v>
      </c>
      <c r="AG22" s="66" t="s">
        <v>422</v>
      </c>
      <c r="AH22" s="66" t="s">
        <v>422</v>
      </c>
      <c r="AI22" s="66" t="s">
        <v>422</v>
      </c>
      <c r="AJ22" s="66" t="s">
        <v>422</v>
      </c>
      <c r="AK22" s="66" t="s">
        <v>422</v>
      </c>
      <c r="AL22" s="66" t="s">
        <v>422</v>
      </c>
      <c r="AM22" s="66" t="s">
        <v>422</v>
      </c>
      <c r="AN22" s="66" t="s">
        <v>422</v>
      </c>
      <c r="AO22" s="66" t="s">
        <v>422</v>
      </c>
      <c r="AP22" s="66" t="s">
        <v>422</v>
      </c>
      <c r="AQ22" s="66" t="s">
        <v>422</v>
      </c>
      <c r="AR22" s="66" t="s">
        <v>422</v>
      </c>
      <c r="AS22" s="66" t="s">
        <v>422</v>
      </c>
      <c r="AT22" s="56" t="s">
        <v>422</v>
      </c>
      <c r="AU22" s="56" t="s">
        <v>422</v>
      </c>
      <c r="AV22" s="56" t="s">
        <v>422</v>
      </c>
      <c r="AW22" s="56" t="s">
        <v>422</v>
      </c>
      <c r="AX22" s="56" t="s">
        <v>422</v>
      </c>
      <c r="AY22" s="56" t="s">
        <v>422</v>
      </c>
      <c r="AZ22" s="56" t="s">
        <v>422</v>
      </c>
      <c r="BA22" s="56" t="s">
        <v>422</v>
      </c>
      <c r="BB22" s="56" t="s">
        <v>422</v>
      </c>
      <c r="BC22" s="56" t="s">
        <v>422</v>
      </c>
      <c r="BD22" s="56" t="s">
        <v>422</v>
      </c>
      <c r="BE22" s="56" t="s">
        <v>422</v>
      </c>
      <c r="BF22" s="56" t="s">
        <v>422</v>
      </c>
      <c r="BG22" s="56" t="s">
        <v>422</v>
      </c>
      <c r="BH22" s="56" t="s">
        <v>422</v>
      </c>
      <c r="BI22" s="56" t="s">
        <v>422</v>
      </c>
      <c r="BJ22" s="56" t="s">
        <v>422</v>
      </c>
      <c r="BK22" s="56" t="s">
        <v>422</v>
      </c>
      <c r="BL22" s="56" t="s">
        <v>422</v>
      </c>
      <c r="BM22" s="56" t="s">
        <v>422</v>
      </c>
      <c r="BN22" s="56" t="s">
        <v>422</v>
      </c>
      <c r="BO22" s="56" t="s">
        <v>422</v>
      </c>
      <c r="BP22" s="56" t="s">
        <v>422</v>
      </c>
      <c r="BQ22" s="56" t="s">
        <v>422</v>
      </c>
      <c r="BR22" s="56" t="s">
        <v>422</v>
      </c>
      <c r="BS22" s="56" t="s">
        <v>422</v>
      </c>
      <c r="BT22" s="56" t="s">
        <v>422</v>
      </c>
      <c r="BU22" s="56" t="s">
        <v>422</v>
      </c>
      <c r="BV22" s="56" t="s">
        <v>422</v>
      </c>
      <c r="BW22" s="56" t="s">
        <v>422</v>
      </c>
      <c r="BX22" s="55" t="s">
        <v>422</v>
      </c>
      <c r="BY22" s="55" t="s">
        <v>422</v>
      </c>
      <c r="BZ22" s="55" t="s">
        <v>422</v>
      </c>
      <c r="CA22" s="55" t="s">
        <v>422</v>
      </c>
      <c r="CB22" s="55" t="s">
        <v>422</v>
      </c>
      <c r="CC22" s="55" t="s">
        <v>422</v>
      </c>
      <c r="CD22" s="55" t="s">
        <v>422</v>
      </c>
      <c r="CE22" s="55" t="s">
        <v>422</v>
      </c>
      <c r="CF22" s="55" t="s">
        <v>422</v>
      </c>
      <c r="CG22" s="55" t="s">
        <v>422</v>
      </c>
      <c r="CH22" s="66" t="s">
        <v>422</v>
      </c>
      <c r="CI22" s="66" t="s">
        <v>422</v>
      </c>
      <c r="CJ22" s="66" t="s">
        <v>422</v>
      </c>
      <c r="CK22" s="66" t="s">
        <v>422</v>
      </c>
      <c r="CL22" s="66" t="s">
        <v>422</v>
      </c>
      <c r="CM22" s="66" t="s">
        <v>422</v>
      </c>
      <c r="CN22" s="66" t="s">
        <v>422</v>
      </c>
      <c r="CO22" s="66" t="s">
        <v>422</v>
      </c>
      <c r="CP22" s="66" t="s">
        <v>422</v>
      </c>
      <c r="CQ22" s="66" t="s">
        <v>422</v>
      </c>
      <c r="CR22" s="66" t="s">
        <v>422</v>
      </c>
      <c r="CS22" s="66" t="s">
        <v>422</v>
      </c>
      <c r="CT22" s="66" t="s">
        <v>422</v>
      </c>
      <c r="CU22" s="66" t="s">
        <v>422</v>
      </c>
      <c r="CV22" s="66" t="s">
        <v>422</v>
      </c>
      <c r="CW22" s="66" t="s">
        <v>422</v>
      </c>
      <c r="CX22" s="66" t="s">
        <v>422</v>
      </c>
      <c r="CY22" s="66" t="s">
        <v>422</v>
      </c>
      <c r="CZ22" s="66" t="s">
        <v>422</v>
      </c>
      <c r="DA22" s="66" t="s">
        <v>422</v>
      </c>
      <c r="DB22" s="66" t="s">
        <v>422</v>
      </c>
      <c r="DC22" s="66" t="s">
        <v>422</v>
      </c>
      <c r="DD22" s="66" t="s">
        <v>422</v>
      </c>
      <c r="DE22" s="66" t="s">
        <v>422</v>
      </c>
      <c r="DF22" s="66" t="s">
        <v>422</v>
      </c>
      <c r="DG22" s="66" t="s">
        <v>422</v>
      </c>
      <c r="DH22" s="66" t="s">
        <v>422</v>
      </c>
      <c r="DI22" s="66" t="s">
        <v>422</v>
      </c>
      <c r="DJ22" s="66" t="s">
        <v>422</v>
      </c>
      <c r="DK22" s="66" t="s">
        <v>422</v>
      </c>
      <c r="DL22" s="66" t="s">
        <v>422</v>
      </c>
      <c r="DM22" s="66" t="s">
        <v>422</v>
      </c>
      <c r="DN22" s="66" t="s">
        <v>422</v>
      </c>
      <c r="DO22" s="66" t="s">
        <v>422</v>
      </c>
      <c r="DP22" s="66" t="s">
        <v>422</v>
      </c>
      <c r="DQ22" s="66" t="s">
        <v>422</v>
      </c>
      <c r="DR22" s="66" t="s">
        <v>422</v>
      </c>
      <c r="DS22" s="66" t="s">
        <v>422</v>
      </c>
      <c r="DT22" s="66" t="s">
        <v>422</v>
      </c>
      <c r="DU22" s="66" t="s">
        <v>422</v>
      </c>
      <c r="DV22" s="66" t="s">
        <v>422</v>
      </c>
      <c r="DW22" s="66" t="s">
        <v>422</v>
      </c>
      <c r="DX22" s="66" t="s">
        <v>422</v>
      </c>
      <c r="DY22" s="66" t="s">
        <v>422</v>
      </c>
      <c r="DZ22" s="66" t="s">
        <v>422</v>
      </c>
      <c r="EA22" s="66" t="s">
        <v>422</v>
      </c>
      <c r="EB22" s="66" t="s">
        <v>422</v>
      </c>
      <c r="EC22" s="66" t="s">
        <v>422</v>
      </c>
      <c r="ED22" s="66" t="s">
        <v>422</v>
      </c>
      <c r="EE22" s="66" t="s">
        <v>422</v>
      </c>
      <c r="EF22" s="66" t="s">
        <v>422</v>
      </c>
      <c r="EG22" s="66" t="s">
        <v>422</v>
      </c>
      <c r="EH22" s="66" t="s">
        <v>422</v>
      </c>
      <c r="EI22" s="66" t="s">
        <v>422</v>
      </c>
      <c r="EJ22" s="66" t="s">
        <v>422</v>
      </c>
      <c r="EK22" s="66" t="s">
        <v>422</v>
      </c>
      <c r="EL22" s="66" t="s">
        <v>422</v>
      </c>
      <c r="EM22" s="66" t="s">
        <v>422</v>
      </c>
      <c r="EN22" s="66" t="s">
        <v>422</v>
      </c>
      <c r="EO22" s="66" t="s">
        <v>422</v>
      </c>
      <c r="EP22" s="66" t="s">
        <v>422</v>
      </c>
      <c r="EQ22" s="66" t="s">
        <v>422</v>
      </c>
      <c r="ER22" s="66" t="s">
        <v>422</v>
      </c>
      <c r="ES22" s="66" t="s">
        <v>422</v>
      </c>
      <c r="ET22" s="66" t="s">
        <v>422</v>
      </c>
      <c r="EU22" s="66" t="s">
        <v>422</v>
      </c>
      <c r="EV22" s="66" t="s">
        <v>422</v>
      </c>
      <c r="EW22" s="66" t="s">
        <v>422</v>
      </c>
      <c r="EX22" s="66" t="s">
        <v>422</v>
      </c>
      <c r="EY22" s="66" t="s">
        <v>422</v>
      </c>
      <c r="EZ22" s="66" t="s">
        <v>422</v>
      </c>
      <c r="FA22" s="66" t="s">
        <v>422</v>
      </c>
      <c r="FB22" s="66" t="s">
        <v>422</v>
      </c>
      <c r="FC22" s="66" t="s">
        <v>422</v>
      </c>
      <c r="FD22" s="66" t="s">
        <v>422</v>
      </c>
      <c r="FE22" s="66" t="s">
        <v>422</v>
      </c>
      <c r="FF22" s="66" t="s">
        <v>422</v>
      </c>
      <c r="FG22" s="66" t="s">
        <v>422</v>
      </c>
      <c r="FH22" s="66" t="s">
        <v>422</v>
      </c>
      <c r="FI22" s="66" t="s">
        <v>422</v>
      </c>
      <c r="FJ22" s="66" t="s">
        <v>422</v>
      </c>
      <c r="FK22" s="66" t="s">
        <v>422</v>
      </c>
      <c r="FL22" s="66" t="s">
        <v>422</v>
      </c>
      <c r="FM22" s="66" t="s">
        <v>422</v>
      </c>
      <c r="FN22" s="66" t="s">
        <v>422</v>
      </c>
      <c r="FO22" s="66" t="s">
        <v>422</v>
      </c>
      <c r="FP22" s="66" t="s">
        <v>422</v>
      </c>
      <c r="FQ22" s="66" t="s">
        <v>422</v>
      </c>
      <c r="FR22" s="66" t="s">
        <v>422</v>
      </c>
      <c r="FS22" s="66" t="s">
        <v>422</v>
      </c>
    </row>
    <row r="23" spans="1:175" s="66" customFormat="1" x14ac:dyDescent="0.3">
      <c r="A23" s="171"/>
      <c r="B23" s="62" t="s">
        <v>134</v>
      </c>
      <c r="C23" s="63" t="s">
        <v>171</v>
      </c>
      <c r="D23" s="54" t="s">
        <v>403</v>
      </c>
      <c r="E23" s="9">
        <v>0</v>
      </c>
      <c r="F23" s="64">
        <v>0</v>
      </c>
      <c r="G23" s="64" t="s">
        <v>419</v>
      </c>
      <c r="H23">
        <v>0</v>
      </c>
      <c r="I23" s="65" t="str">
        <f t="shared" ref="I23:I24" si="3">B39</f>
        <v>Reactant7</v>
      </c>
      <c r="J23" s="66">
        <v>0</v>
      </c>
      <c r="K23" s="66">
        <v>0</v>
      </c>
      <c r="L23" s="66">
        <v>0</v>
      </c>
      <c r="M23" s="66">
        <v>0</v>
      </c>
      <c r="N23" s="66">
        <v>0</v>
      </c>
      <c r="O23" s="66">
        <v>0</v>
      </c>
      <c r="P23" s="66" t="s">
        <v>422</v>
      </c>
      <c r="Q23" s="66" t="s">
        <v>422</v>
      </c>
      <c r="R23" s="66" t="s">
        <v>422</v>
      </c>
      <c r="S23" s="66" t="s">
        <v>422</v>
      </c>
      <c r="T23" s="66" t="s">
        <v>422</v>
      </c>
      <c r="U23" s="66" t="s">
        <v>422</v>
      </c>
      <c r="V23" s="66" t="s">
        <v>422</v>
      </c>
      <c r="W23" s="66" t="s">
        <v>422</v>
      </c>
      <c r="X23" s="66" t="s">
        <v>422</v>
      </c>
      <c r="Y23" s="66" t="s">
        <v>422</v>
      </c>
      <c r="Z23" s="66" t="s">
        <v>422</v>
      </c>
      <c r="AA23" s="66" t="s">
        <v>422</v>
      </c>
      <c r="AB23" s="66" t="s">
        <v>422</v>
      </c>
      <c r="AC23" s="66" t="s">
        <v>422</v>
      </c>
      <c r="AD23" s="66" t="s">
        <v>422</v>
      </c>
      <c r="AE23" s="66" t="s">
        <v>422</v>
      </c>
      <c r="AF23" s="66" t="s">
        <v>422</v>
      </c>
      <c r="AG23" s="66" t="s">
        <v>422</v>
      </c>
      <c r="AH23" s="66" t="s">
        <v>422</v>
      </c>
      <c r="AI23" s="66" t="s">
        <v>422</v>
      </c>
      <c r="AJ23" s="66" t="s">
        <v>422</v>
      </c>
      <c r="AK23" s="66" t="s">
        <v>422</v>
      </c>
      <c r="AL23" s="66" t="s">
        <v>422</v>
      </c>
      <c r="AM23" s="66" t="s">
        <v>422</v>
      </c>
      <c r="AN23" s="66" t="s">
        <v>422</v>
      </c>
      <c r="AO23" s="66" t="s">
        <v>422</v>
      </c>
      <c r="AP23" s="66" t="s">
        <v>422</v>
      </c>
      <c r="AQ23" s="66" t="s">
        <v>422</v>
      </c>
      <c r="AR23" s="66" t="s">
        <v>422</v>
      </c>
      <c r="AS23" s="66" t="s">
        <v>422</v>
      </c>
      <c r="AT23" s="56" t="s">
        <v>422</v>
      </c>
      <c r="AU23" s="56" t="s">
        <v>422</v>
      </c>
      <c r="AV23" s="56" t="s">
        <v>422</v>
      </c>
      <c r="AW23" s="56" t="s">
        <v>422</v>
      </c>
      <c r="AX23" s="56" t="s">
        <v>422</v>
      </c>
      <c r="AY23" s="56" t="s">
        <v>422</v>
      </c>
      <c r="AZ23" s="56" t="s">
        <v>422</v>
      </c>
      <c r="BA23" s="56" t="s">
        <v>422</v>
      </c>
      <c r="BB23" s="56" t="s">
        <v>422</v>
      </c>
      <c r="BC23" s="56" t="s">
        <v>422</v>
      </c>
      <c r="BD23" s="56" t="s">
        <v>422</v>
      </c>
      <c r="BE23" s="56" t="s">
        <v>422</v>
      </c>
      <c r="BF23" s="56" t="s">
        <v>422</v>
      </c>
      <c r="BG23" s="56" t="s">
        <v>422</v>
      </c>
      <c r="BH23" s="56" t="s">
        <v>422</v>
      </c>
      <c r="BI23" s="56" t="s">
        <v>422</v>
      </c>
      <c r="BJ23" s="56" t="s">
        <v>422</v>
      </c>
      <c r="BK23" s="56" t="s">
        <v>422</v>
      </c>
      <c r="BL23" s="56" t="s">
        <v>422</v>
      </c>
      <c r="BM23" s="56" t="s">
        <v>422</v>
      </c>
      <c r="BN23" s="56" t="s">
        <v>422</v>
      </c>
      <c r="BO23" s="56" t="s">
        <v>422</v>
      </c>
      <c r="BP23" s="56" t="s">
        <v>422</v>
      </c>
      <c r="BQ23" s="56" t="s">
        <v>422</v>
      </c>
      <c r="BR23" s="56" t="s">
        <v>422</v>
      </c>
      <c r="BS23" s="56" t="s">
        <v>422</v>
      </c>
      <c r="BT23" s="56" t="s">
        <v>422</v>
      </c>
      <c r="BU23" s="56" t="s">
        <v>422</v>
      </c>
      <c r="BV23" s="56" t="s">
        <v>422</v>
      </c>
      <c r="BW23" s="56" t="s">
        <v>422</v>
      </c>
      <c r="BX23" s="55" t="s">
        <v>422</v>
      </c>
      <c r="BY23" s="55" t="s">
        <v>422</v>
      </c>
      <c r="BZ23" s="55" t="s">
        <v>422</v>
      </c>
      <c r="CA23" s="55" t="s">
        <v>422</v>
      </c>
      <c r="CB23" s="55" t="s">
        <v>422</v>
      </c>
      <c r="CC23" s="55" t="s">
        <v>422</v>
      </c>
      <c r="CD23" s="55" t="s">
        <v>422</v>
      </c>
      <c r="CE23" s="55" t="s">
        <v>422</v>
      </c>
      <c r="CF23" s="55" t="s">
        <v>422</v>
      </c>
      <c r="CG23" s="55" t="s">
        <v>422</v>
      </c>
      <c r="CH23" s="66" t="s">
        <v>422</v>
      </c>
      <c r="CI23" s="66" t="s">
        <v>422</v>
      </c>
      <c r="CJ23" s="66" t="s">
        <v>422</v>
      </c>
      <c r="CK23" s="66" t="s">
        <v>422</v>
      </c>
      <c r="CL23" s="66" t="s">
        <v>422</v>
      </c>
      <c r="CM23" s="66" t="s">
        <v>422</v>
      </c>
      <c r="CN23" s="66" t="s">
        <v>422</v>
      </c>
      <c r="CO23" s="66" t="s">
        <v>422</v>
      </c>
      <c r="CP23" s="66" t="s">
        <v>422</v>
      </c>
      <c r="CQ23" s="66" t="s">
        <v>422</v>
      </c>
      <c r="CR23" s="66" t="s">
        <v>422</v>
      </c>
      <c r="CS23" s="66" t="s">
        <v>422</v>
      </c>
      <c r="CT23" s="66" t="s">
        <v>422</v>
      </c>
      <c r="CU23" s="66" t="s">
        <v>422</v>
      </c>
      <c r="CV23" s="66" t="s">
        <v>422</v>
      </c>
      <c r="CW23" s="66" t="s">
        <v>422</v>
      </c>
      <c r="CX23" s="66" t="s">
        <v>422</v>
      </c>
      <c r="CY23" s="66" t="s">
        <v>422</v>
      </c>
      <c r="CZ23" s="66" t="s">
        <v>422</v>
      </c>
      <c r="DA23" s="66" t="s">
        <v>422</v>
      </c>
      <c r="DB23" s="66" t="s">
        <v>422</v>
      </c>
      <c r="DC23" s="66" t="s">
        <v>422</v>
      </c>
      <c r="DD23" s="66" t="s">
        <v>422</v>
      </c>
      <c r="DE23" s="66" t="s">
        <v>422</v>
      </c>
      <c r="DF23" s="66" t="s">
        <v>422</v>
      </c>
      <c r="DG23" s="66" t="s">
        <v>422</v>
      </c>
      <c r="DH23" s="66" t="s">
        <v>422</v>
      </c>
      <c r="DI23" s="66" t="s">
        <v>422</v>
      </c>
      <c r="DJ23" s="66" t="s">
        <v>422</v>
      </c>
      <c r="DK23" s="66" t="s">
        <v>422</v>
      </c>
      <c r="DL23" s="66" t="s">
        <v>422</v>
      </c>
      <c r="DM23" s="66" t="s">
        <v>422</v>
      </c>
      <c r="DN23" s="66" t="s">
        <v>422</v>
      </c>
      <c r="DO23" s="66" t="s">
        <v>422</v>
      </c>
      <c r="DP23" s="66" t="s">
        <v>422</v>
      </c>
      <c r="DQ23" s="66" t="s">
        <v>422</v>
      </c>
      <c r="DR23" s="66" t="s">
        <v>422</v>
      </c>
      <c r="DS23" s="66" t="s">
        <v>422</v>
      </c>
      <c r="DT23" s="66" t="s">
        <v>422</v>
      </c>
      <c r="DU23" s="66" t="s">
        <v>422</v>
      </c>
      <c r="DV23" s="66" t="s">
        <v>422</v>
      </c>
      <c r="DW23" s="66" t="s">
        <v>422</v>
      </c>
      <c r="DX23" s="66" t="s">
        <v>422</v>
      </c>
      <c r="DY23" s="66" t="s">
        <v>422</v>
      </c>
      <c r="DZ23" s="66" t="s">
        <v>422</v>
      </c>
      <c r="EA23" s="66" t="s">
        <v>422</v>
      </c>
      <c r="EB23" s="66" t="s">
        <v>422</v>
      </c>
      <c r="EC23" s="66" t="s">
        <v>422</v>
      </c>
      <c r="ED23" s="66" t="s">
        <v>422</v>
      </c>
      <c r="EE23" s="66" t="s">
        <v>422</v>
      </c>
      <c r="EF23" s="66" t="s">
        <v>422</v>
      </c>
      <c r="EG23" s="66" t="s">
        <v>422</v>
      </c>
      <c r="EH23" s="66" t="s">
        <v>422</v>
      </c>
      <c r="EI23" s="66" t="s">
        <v>422</v>
      </c>
      <c r="EJ23" s="66" t="s">
        <v>422</v>
      </c>
      <c r="EK23" s="66" t="s">
        <v>422</v>
      </c>
      <c r="EL23" s="66" t="s">
        <v>422</v>
      </c>
      <c r="EM23" s="66" t="s">
        <v>422</v>
      </c>
      <c r="EN23" s="66" t="s">
        <v>422</v>
      </c>
      <c r="EO23" s="66" t="s">
        <v>422</v>
      </c>
      <c r="EP23" s="66" t="s">
        <v>422</v>
      </c>
      <c r="EQ23" s="66" t="s">
        <v>422</v>
      </c>
      <c r="ER23" s="66" t="s">
        <v>422</v>
      </c>
      <c r="ES23" s="66" t="s">
        <v>422</v>
      </c>
      <c r="ET23" s="66" t="s">
        <v>422</v>
      </c>
      <c r="EU23" s="66" t="s">
        <v>422</v>
      </c>
      <c r="EV23" s="66" t="s">
        <v>422</v>
      </c>
      <c r="EW23" s="66" t="s">
        <v>422</v>
      </c>
      <c r="EX23" s="66" t="s">
        <v>422</v>
      </c>
      <c r="EY23" s="66" t="s">
        <v>422</v>
      </c>
      <c r="EZ23" s="66" t="s">
        <v>422</v>
      </c>
      <c r="FA23" s="66" t="s">
        <v>422</v>
      </c>
      <c r="FB23" s="66" t="s">
        <v>422</v>
      </c>
      <c r="FC23" s="66" t="s">
        <v>422</v>
      </c>
      <c r="FD23" s="66" t="s">
        <v>422</v>
      </c>
      <c r="FE23" s="66" t="s">
        <v>422</v>
      </c>
      <c r="FF23" s="66" t="s">
        <v>422</v>
      </c>
      <c r="FG23" s="66" t="s">
        <v>422</v>
      </c>
      <c r="FH23" s="66" t="s">
        <v>422</v>
      </c>
      <c r="FI23" s="66" t="s">
        <v>422</v>
      </c>
      <c r="FJ23" s="66" t="s">
        <v>422</v>
      </c>
      <c r="FK23" s="66" t="s">
        <v>422</v>
      </c>
      <c r="FL23" s="66" t="s">
        <v>422</v>
      </c>
      <c r="FM23" s="66" t="s">
        <v>422</v>
      </c>
      <c r="FN23" s="66" t="s">
        <v>422</v>
      </c>
      <c r="FO23" s="66" t="s">
        <v>422</v>
      </c>
      <c r="FP23" s="66" t="s">
        <v>422</v>
      </c>
      <c r="FQ23" s="66" t="s">
        <v>422</v>
      </c>
      <c r="FR23" s="66" t="s">
        <v>422</v>
      </c>
      <c r="FS23" s="66" t="s">
        <v>422</v>
      </c>
    </row>
    <row r="24" spans="1:175" s="66" customFormat="1" x14ac:dyDescent="0.3">
      <c r="A24" s="171"/>
      <c r="B24" s="62" t="s">
        <v>134</v>
      </c>
      <c r="C24" s="63" t="s">
        <v>171</v>
      </c>
      <c r="D24" s="54" t="s">
        <v>404</v>
      </c>
      <c r="E24" s="9">
        <v>0</v>
      </c>
      <c r="F24" s="64">
        <v>0</v>
      </c>
      <c r="G24" s="64" t="s">
        <v>420</v>
      </c>
      <c r="H24">
        <v>0</v>
      </c>
      <c r="I24" s="65" t="str">
        <f t="shared" si="3"/>
        <v>Reactant8</v>
      </c>
      <c r="J24" s="66">
        <v>0</v>
      </c>
      <c r="K24" s="66">
        <v>0</v>
      </c>
      <c r="L24" s="66">
        <v>0</v>
      </c>
      <c r="M24" s="66">
        <v>0</v>
      </c>
      <c r="N24" s="66">
        <v>0</v>
      </c>
      <c r="O24" s="66">
        <v>0</v>
      </c>
      <c r="P24" s="66" t="s">
        <v>422</v>
      </c>
      <c r="Q24" s="66" t="s">
        <v>422</v>
      </c>
      <c r="R24" s="66" t="s">
        <v>422</v>
      </c>
      <c r="S24" s="66" t="s">
        <v>422</v>
      </c>
      <c r="T24" s="66" t="s">
        <v>422</v>
      </c>
      <c r="U24" s="66" t="s">
        <v>422</v>
      </c>
      <c r="V24" s="66" t="s">
        <v>422</v>
      </c>
      <c r="W24" s="66" t="s">
        <v>422</v>
      </c>
      <c r="X24" s="66" t="s">
        <v>422</v>
      </c>
      <c r="Y24" s="66" t="s">
        <v>422</v>
      </c>
      <c r="Z24" s="66" t="s">
        <v>422</v>
      </c>
      <c r="AA24" s="66" t="s">
        <v>422</v>
      </c>
      <c r="AB24" s="66" t="s">
        <v>422</v>
      </c>
      <c r="AC24" s="66" t="s">
        <v>422</v>
      </c>
      <c r="AD24" s="66" t="s">
        <v>422</v>
      </c>
      <c r="AE24" s="66" t="s">
        <v>422</v>
      </c>
      <c r="AF24" s="66" t="s">
        <v>422</v>
      </c>
      <c r="AG24" s="66" t="s">
        <v>422</v>
      </c>
      <c r="AH24" s="66" t="s">
        <v>422</v>
      </c>
      <c r="AI24" s="66" t="s">
        <v>422</v>
      </c>
      <c r="AJ24" s="66" t="s">
        <v>422</v>
      </c>
      <c r="AK24" s="66" t="s">
        <v>422</v>
      </c>
      <c r="AL24" s="66" t="s">
        <v>422</v>
      </c>
      <c r="AM24" s="66" t="s">
        <v>422</v>
      </c>
      <c r="AN24" s="66" t="s">
        <v>422</v>
      </c>
      <c r="AO24" s="66" t="s">
        <v>422</v>
      </c>
      <c r="AP24" s="66" t="s">
        <v>422</v>
      </c>
      <c r="AQ24" s="66" t="s">
        <v>422</v>
      </c>
      <c r="AR24" s="66" t="s">
        <v>422</v>
      </c>
      <c r="AS24" s="66" t="s">
        <v>422</v>
      </c>
      <c r="AT24" s="56" t="s">
        <v>422</v>
      </c>
      <c r="AU24" s="56" t="s">
        <v>422</v>
      </c>
      <c r="AV24" s="56" t="s">
        <v>422</v>
      </c>
      <c r="AW24" s="56" t="s">
        <v>422</v>
      </c>
      <c r="AX24" s="56" t="s">
        <v>422</v>
      </c>
      <c r="AY24" s="56" t="s">
        <v>422</v>
      </c>
      <c r="AZ24" s="56" t="s">
        <v>422</v>
      </c>
      <c r="BA24" s="56" t="s">
        <v>422</v>
      </c>
      <c r="BB24" s="56" t="s">
        <v>422</v>
      </c>
      <c r="BC24" s="56" t="s">
        <v>422</v>
      </c>
      <c r="BD24" s="56" t="s">
        <v>422</v>
      </c>
      <c r="BE24" s="56" t="s">
        <v>422</v>
      </c>
      <c r="BF24" s="56" t="s">
        <v>422</v>
      </c>
      <c r="BG24" s="56" t="s">
        <v>422</v>
      </c>
      <c r="BH24" s="56" t="s">
        <v>422</v>
      </c>
      <c r="BI24" s="56" t="s">
        <v>422</v>
      </c>
      <c r="BJ24" s="56" t="s">
        <v>422</v>
      </c>
      <c r="BK24" s="56" t="s">
        <v>422</v>
      </c>
      <c r="BL24" s="56" t="s">
        <v>422</v>
      </c>
      <c r="BM24" s="56" t="s">
        <v>422</v>
      </c>
      <c r="BN24" s="56" t="s">
        <v>422</v>
      </c>
      <c r="BO24" s="56" t="s">
        <v>422</v>
      </c>
      <c r="BP24" s="56" t="s">
        <v>422</v>
      </c>
      <c r="BQ24" s="56" t="s">
        <v>422</v>
      </c>
      <c r="BR24" s="56" t="s">
        <v>422</v>
      </c>
      <c r="BS24" s="56" t="s">
        <v>422</v>
      </c>
      <c r="BT24" s="56" t="s">
        <v>422</v>
      </c>
      <c r="BU24" s="56" t="s">
        <v>422</v>
      </c>
      <c r="BV24" s="56" t="s">
        <v>422</v>
      </c>
      <c r="BW24" s="56" t="s">
        <v>422</v>
      </c>
      <c r="BX24" s="55" t="s">
        <v>422</v>
      </c>
      <c r="BY24" s="55" t="s">
        <v>422</v>
      </c>
      <c r="BZ24" s="55" t="s">
        <v>422</v>
      </c>
      <c r="CA24" s="55" t="s">
        <v>422</v>
      </c>
      <c r="CB24" s="55" t="s">
        <v>422</v>
      </c>
      <c r="CC24" s="55" t="s">
        <v>422</v>
      </c>
      <c r="CD24" s="55" t="s">
        <v>422</v>
      </c>
      <c r="CE24" s="55" t="s">
        <v>422</v>
      </c>
      <c r="CF24" s="55" t="s">
        <v>422</v>
      </c>
      <c r="CG24" s="55" t="s">
        <v>422</v>
      </c>
      <c r="CH24" s="66" t="s">
        <v>422</v>
      </c>
      <c r="CI24" s="66" t="s">
        <v>422</v>
      </c>
      <c r="CJ24" s="66" t="s">
        <v>422</v>
      </c>
      <c r="CK24" s="66" t="s">
        <v>422</v>
      </c>
      <c r="CL24" s="66" t="s">
        <v>422</v>
      </c>
      <c r="CM24" s="66" t="s">
        <v>422</v>
      </c>
      <c r="CN24" s="66" t="s">
        <v>422</v>
      </c>
      <c r="CO24" s="66" t="s">
        <v>422</v>
      </c>
      <c r="CP24" s="66" t="s">
        <v>422</v>
      </c>
      <c r="CQ24" s="66" t="s">
        <v>422</v>
      </c>
      <c r="CR24" s="66" t="s">
        <v>422</v>
      </c>
      <c r="CS24" s="66" t="s">
        <v>422</v>
      </c>
      <c r="CT24" s="66" t="s">
        <v>422</v>
      </c>
      <c r="CU24" s="66" t="s">
        <v>422</v>
      </c>
      <c r="CV24" s="66" t="s">
        <v>422</v>
      </c>
      <c r="CW24" s="66" t="s">
        <v>422</v>
      </c>
      <c r="CX24" s="66" t="s">
        <v>422</v>
      </c>
      <c r="CY24" s="66" t="s">
        <v>422</v>
      </c>
      <c r="CZ24" s="66" t="s">
        <v>422</v>
      </c>
      <c r="DA24" s="66" t="s">
        <v>422</v>
      </c>
      <c r="DB24" s="66" t="s">
        <v>422</v>
      </c>
      <c r="DC24" s="66" t="s">
        <v>422</v>
      </c>
      <c r="DD24" s="66" t="s">
        <v>422</v>
      </c>
      <c r="DE24" s="66" t="s">
        <v>422</v>
      </c>
      <c r="DF24" s="66" t="s">
        <v>422</v>
      </c>
      <c r="DG24" s="66" t="s">
        <v>422</v>
      </c>
      <c r="DH24" s="66" t="s">
        <v>422</v>
      </c>
      <c r="DI24" s="66" t="s">
        <v>422</v>
      </c>
      <c r="DJ24" s="66" t="s">
        <v>422</v>
      </c>
      <c r="DK24" s="66" t="s">
        <v>422</v>
      </c>
      <c r="DL24" s="66" t="s">
        <v>422</v>
      </c>
      <c r="DM24" s="66" t="s">
        <v>422</v>
      </c>
      <c r="DN24" s="66" t="s">
        <v>422</v>
      </c>
      <c r="DO24" s="66" t="s">
        <v>422</v>
      </c>
      <c r="DP24" s="66" t="s">
        <v>422</v>
      </c>
      <c r="DQ24" s="66" t="s">
        <v>422</v>
      </c>
      <c r="DR24" s="66" t="s">
        <v>422</v>
      </c>
      <c r="DS24" s="66" t="s">
        <v>422</v>
      </c>
      <c r="DT24" s="66" t="s">
        <v>422</v>
      </c>
      <c r="DU24" s="66" t="s">
        <v>422</v>
      </c>
      <c r="DV24" s="66" t="s">
        <v>422</v>
      </c>
      <c r="DW24" s="66" t="s">
        <v>422</v>
      </c>
      <c r="DX24" s="66" t="s">
        <v>422</v>
      </c>
      <c r="DY24" s="66" t="s">
        <v>422</v>
      </c>
      <c r="DZ24" s="66" t="s">
        <v>422</v>
      </c>
      <c r="EA24" s="66" t="s">
        <v>422</v>
      </c>
      <c r="EB24" s="66" t="s">
        <v>422</v>
      </c>
      <c r="EC24" s="66" t="s">
        <v>422</v>
      </c>
      <c r="ED24" s="66" t="s">
        <v>422</v>
      </c>
      <c r="EE24" s="66" t="s">
        <v>422</v>
      </c>
      <c r="EF24" s="66" t="s">
        <v>422</v>
      </c>
      <c r="EG24" s="66" t="s">
        <v>422</v>
      </c>
      <c r="EH24" s="66" t="s">
        <v>422</v>
      </c>
      <c r="EI24" s="66" t="s">
        <v>422</v>
      </c>
      <c r="EJ24" s="66" t="s">
        <v>422</v>
      </c>
      <c r="EK24" s="66" t="s">
        <v>422</v>
      </c>
      <c r="EL24" s="66" t="s">
        <v>422</v>
      </c>
      <c r="EM24" s="66" t="s">
        <v>422</v>
      </c>
      <c r="EN24" s="66" t="s">
        <v>422</v>
      </c>
      <c r="EO24" s="66" t="s">
        <v>422</v>
      </c>
      <c r="EP24" s="66" t="s">
        <v>422</v>
      </c>
      <c r="EQ24" s="66" t="s">
        <v>422</v>
      </c>
      <c r="ER24" s="66" t="s">
        <v>422</v>
      </c>
      <c r="ES24" s="66" t="s">
        <v>422</v>
      </c>
      <c r="ET24" s="66" t="s">
        <v>422</v>
      </c>
      <c r="EU24" s="66" t="s">
        <v>422</v>
      </c>
      <c r="EV24" s="66" t="s">
        <v>422</v>
      </c>
      <c r="EW24" s="66" t="s">
        <v>422</v>
      </c>
      <c r="EX24" s="66" t="s">
        <v>422</v>
      </c>
      <c r="EY24" s="66" t="s">
        <v>422</v>
      </c>
      <c r="EZ24" s="66" t="s">
        <v>422</v>
      </c>
      <c r="FA24" s="66" t="s">
        <v>422</v>
      </c>
      <c r="FB24" s="66" t="s">
        <v>422</v>
      </c>
      <c r="FC24" s="66" t="s">
        <v>422</v>
      </c>
      <c r="FD24" s="66" t="s">
        <v>422</v>
      </c>
      <c r="FE24" s="66" t="s">
        <v>422</v>
      </c>
      <c r="FF24" s="66" t="s">
        <v>422</v>
      </c>
      <c r="FG24" s="66" t="s">
        <v>422</v>
      </c>
      <c r="FH24" s="66" t="s">
        <v>422</v>
      </c>
      <c r="FI24" s="66" t="s">
        <v>422</v>
      </c>
      <c r="FJ24" s="66" t="s">
        <v>422</v>
      </c>
      <c r="FK24" s="66" t="s">
        <v>422</v>
      </c>
      <c r="FL24" s="66" t="s">
        <v>422</v>
      </c>
      <c r="FM24" s="66" t="s">
        <v>422</v>
      </c>
      <c r="FN24" s="66" t="s">
        <v>422</v>
      </c>
      <c r="FO24" s="66" t="s">
        <v>422</v>
      </c>
      <c r="FP24" s="66" t="s">
        <v>422</v>
      </c>
      <c r="FQ24" s="66" t="s">
        <v>422</v>
      </c>
      <c r="FR24" s="66" t="s">
        <v>422</v>
      </c>
      <c r="FS24" s="66" t="s">
        <v>422</v>
      </c>
    </row>
    <row r="25" spans="1:175" x14ac:dyDescent="0.3">
      <c r="A25" s="171"/>
      <c r="B25" s="3" t="s">
        <v>135</v>
      </c>
      <c r="C25" s="4" t="s">
        <v>171</v>
      </c>
      <c r="D25" s="2" t="s">
        <v>94</v>
      </c>
      <c r="E25" s="9">
        <v>0</v>
      </c>
      <c r="F25" s="13">
        <v>0</v>
      </c>
      <c r="G25" s="13" t="s">
        <v>90</v>
      </c>
      <c r="H25" s="15">
        <v>0</v>
      </c>
      <c r="I25" s="24" t="str">
        <f>B41</f>
        <v>Reactant9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 s="16" t="s">
        <v>287</v>
      </c>
      <c r="Q25" s="16" t="s">
        <v>291</v>
      </c>
      <c r="R25" s="16" t="s">
        <v>287</v>
      </c>
      <c r="S25" s="16" t="s">
        <v>287</v>
      </c>
      <c r="T25" s="16" t="s">
        <v>287</v>
      </c>
      <c r="U25" s="16" t="s">
        <v>287</v>
      </c>
      <c r="V25" s="16" t="s">
        <v>287</v>
      </c>
      <c r="W25" s="16" t="s">
        <v>287</v>
      </c>
      <c r="X25" s="16" t="s">
        <v>287</v>
      </c>
      <c r="Y25" s="16" t="s">
        <v>287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 s="14" t="s">
        <v>287</v>
      </c>
      <c r="AU25" s="14" t="s">
        <v>287</v>
      </c>
      <c r="AV25" s="14" t="s">
        <v>287</v>
      </c>
      <c r="AW25" s="14" t="s">
        <v>287</v>
      </c>
      <c r="AX25" s="14" t="s">
        <v>287</v>
      </c>
      <c r="AY25" s="14" t="s">
        <v>287</v>
      </c>
      <c r="AZ25" s="14" t="s">
        <v>287</v>
      </c>
      <c r="BA25" s="14" t="s">
        <v>287</v>
      </c>
      <c r="BB25" s="14" t="s">
        <v>287</v>
      </c>
      <c r="BC25" s="14" t="s">
        <v>287</v>
      </c>
      <c r="BD25" s="14" t="s">
        <v>309</v>
      </c>
      <c r="BE25" s="14" t="s">
        <v>309</v>
      </c>
      <c r="BF25" s="14" t="s">
        <v>309</v>
      </c>
      <c r="BG25" s="14" t="s">
        <v>287</v>
      </c>
      <c r="BH25" s="14" t="s">
        <v>287</v>
      </c>
      <c r="BI25" s="14" t="s">
        <v>287</v>
      </c>
      <c r="BJ25" s="14" t="s">
        <v>310</v>
      </c>
      <c r="BK25" s="14" t="s">
        <v>310</v>
      </c>
      <c r="BL25" s="14" t="s">
        <v>310</v>
      </c>
      <c r="BM25" s="14" t="s">
        <v>310</v>
      </c>
      <c r="BN25" s="14" t="s">
        <v>309</v>
      </c>
      <c r="BO25" s="14" t="s">
        <v>309</v>
      </c>
      <c r="BP25" s="14" t="s">
        <v>309</v>
      </c>
      <c r="BQ25" s="14" t="s">
        <v>287</v>
      </c>
      <c r="BR25" s="14" t="s">
        <v>287</v>
      </c>
      <c r="BS25" s="14" t="s">
        <v>287</v>
      </c>
      <c r="BT25" s="14" t="s">
        <v>310</v>
      </c>
      <c r="BU25" s="14" t="s">
        <v>310</v>
      </c>
      <c r="BV25" s="14" t="s">
        <v>310</v>
      </c>
      <c r="BW25" s="14" t="s">
        <v>310</v>
      </c>
      <c r="BX25" t="s">
        <v>287</v>
      </c>
      <c r="BY25" t="s">
        <v>287</v>
      </c>
      <c r="BZ25" t="s">
        <v>287</v>
      </c>
      <c r="CA25" t="s">
        <v>287</v>
      </c>
      <c r="CB25" t="s">
        <v>287</v>
      </c>
      <c r="CC25" t="s">
        <v>287</v>
      </c>
      <c r="CD25" t="s">
        <v>287</v>
      </c>
      <c r="CE25" t="s">
        <v>287</v>
      </c>
      <c r="CF25" t="s">
        <v>287</v>
      </c>
      <c r="CG25" t="s">
        <v>287</v>
      </c>
      <c r="CH25" t="s">
        <v>364</v>
      </c>
      <c r="CI25" t="s">
        <v>364</v>
      </c>
      <c r="CJ25" t="s">
        <v>364</v>
      </c>
      <c r="CK25" t="s">
        <v>365</v>
      </c>
      <c r="CL25" t="s">
        <v>365</v>
      </c>
      <c r="CM25" t="s">
        <v>365</v>
      </c>
      <c r="CN25">
        <v>0</v>
      </c>
      <c r="CO25" t="s">
        <v>366</v>
      </c>
      <c r="CP25" t="s">
        <v>366</v>
      </c>
      <c r="CQ25" t="s">
        <v>366</v>
      </c>
      <c r="CR25" t="s">
        <v>363</v>
      </c>
      <c r="CS25" t="s">
        <v>363</v>
      </c>
      <c r="CT25" t="s">
        <v>363</v>
      </c>
      <c r="CU25" t="s">
        <v>363</v>
      </c>
      <c r="CV25" t="s">
        <v>363</v>
      </c>
      <c r="CW25" t="s">
        <v>363</v>
      </c>
      <c r="CX25" t="s">
        <v>363</v>
      </c>
      <c r="CY25" t="s">
        <v>363</v>
      </c>
      <c r="CZ25" t="s">
        <v>363</v>
      </c>
      <c r="DA25" t="s">
        <v>363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 s="51">
        <v>0</v>
      </c>
      <c r="FK25" s="51">
        <v>0</v>
      </c>
      <c r="FL25" s="51">
        <v>0</v>
      </c>
      <c r="FM25" s="51">
        <v>0</v>
      </c>
      <c r="FN25" s="51">
        <v>0</v>
      </c>
      <c r="FO25" s="51">
        <v>0</v>
      </c>
      <c r="FP25" s="51">
        <v>0</v>
      </c>
      <c r="FQ25" s="51">
        <v>0</v>
      </c>
      <c r="FR25" s="51">
        <v>0</v>
      </c>
      <c r="FS25" s="51">
        <v>0</v>
      </c>
    </row>
    <row r="26" spans="1:175" x14ac:dyDescent="0.3">
      <c r="A26" s="171"/>
      <c r="B26" s="3" t="s">
        <v>135</v>
      </c>
      <c r="C26" s="4" t="s">
        <v>171</v>
      </c>
      <c r="D26" s="2" t="s">
        <v>95</v>
      </c>
      <c r="E26" s="9">
        <v>0</v>
      </c>
      <c r="F26" s="13">
        <v>0</v>
      </c>
      <c r="G26" s="13" t="s">
        <v>91</v>
      </c>
      <c r="H26" s="15">
        <v>0</v>
      </c>
      <c r="I26" s="24" t="str">
        <f>B41</f>
        <v>Reactant9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 s="16" t="s">
        <v>287</v>
      </c>
      <c r="Q26" s="16" t="s">
        <v>288</v>
      </c>
      <c r="R26" s="16" t="s">
        <v>287</v>
      </c>
      <c r="S26" s="16" t="s">
        <v>287</v>
      </c>
      <c r="T26" s="16" t="s">
        <v>287</v>
      </c>
      <c r="U26" s="16" t="s">
        <v>287</v>
      </c>
      <c r="V26" s="16" t="s">
        <v>287</v>
      </c>
      <c r="W26" s="16" t="s">
        <v>287</v>
      </c>
      <c r="X26" s="16" t="s">
        <v>287</v>
      </c>
      <c r="Y26" s="16" t="s">
        <v>287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 s="14" t="s">
        <v>287</v>
      </c>
      <c r="AU26" s="14" t="s">
        <v>287</v>
      </c>
      <c r="AV26" s="14" t="s">
        <v>287</v>
      </c>
      <c r="AW26" s="14" t="s">
        <v>287</v>
      </c>
      <c r="AX26" s="14" t="s">
        <v>287</v>
      </c>
      <c r="AY26" s="14" t="s">
        <v>287</v>
      </c>
      <c r="AZ26" s="14" t="s">
        <v>287</v>
      </c>
      <c r="BA26" s="14" t="s">
        <v>287</v>
      </c>
      <c r="BB26" s="14" t="s">
        <v>287</v>
      </c>
      <c r="BC26" s="14" t="s">
        <v>287</v>
      </c>
      <c r="BD26" s="14" t="s">
        <v>309</v>
      </c>
      <c r="BE26" s="14" t="s">
        <v>309</v>
      </c>
      <c r="BF26" s="14" t="s">
        <v>309</v>
      </c>
      <c r="BG26" s="14" t="s">
        <v>287</v>
      </c>
      <c r="BH26" s="14" t="s">
        <v>287</v>
      </c>
      <c r="BI26" s="14" t="s">
        <v>287</v>
      </c>
      <c r="BJ26" s="14" t="s">
        <v>310</v>
      </c>
      <c r="BK26" s="14" t="s">
        <v>310</v>
      </c>
      <c r="BL26" s="14" t="s">
        <v>310</v>
      </c>
      <c r="BM26" s="14" t="s">
        <v>310</v>
      </c>
      <c r="BN26" s="14" t="s">
        <v>309</v>
      </c>
      <c r="BO26" s="14" t="s">
        <v>309</v>
      </c>
      <c r="BP26" s="14" t="s">
        <v>309</v>
      </c>
      <c r="BQ26" s="14" t="s">
        <v>287</v>
      </c>
      <c r="BR26" s="14" t="s">
        <v>287</v>
      </c>
      <c r="BS26" s="14" t="s">
        <v>287</v>
      </c>
      <c r="BT26" s="14" t="s">
        <v>310</v>
      </c>
      <c r="BU26" s="14" t="s">
        <v>310</v>
      </c>
      <c r="BV26" s="14" t="s">
        <v>310</v>
      </c>
      <c r="BW26" s="14" t="s">
        <v>310</v>
      </c>
      <c r="BX26" t="s">
        <v>287</v>
      </c>
      <c r="BY26" t="s">
        <v>287</v>
      </c>
      <c r="BZ26" t="s">
        <v>287</v>
      </c>
      <c r="CA26" t="s">
        <v>287</v>
      </c>
      <c r="CB26" t="s">
        <v>287</v>
      </c>
      <c r="CC26" t="s">
        <v>287</v>
      </c>
      <c r="CD26" t="s">
        <v>287</v>
      </c>
      <c r="CE26" t="s">
        <v>287</v>
      </c>
      <c r="CF26" t="s">
        <v>287</v>
      </c>
      <c r="CG26" t="s">
        <v>287</v>
      </c>
      <c r="CH26" t="s">
        <v>364</v>
      </c>
      <c r="CI26" t="s">
        <v>364</v>
      </c>
      <c r="CJ26" t="s">
        <v>364</v>
      </c>
      <c r="CK26" t="s">
        <v>365</v>
      </c>
      <c r="CL26" t="s">
        <v>365</v>
      </c>
      <c r="CM26" t="s">
        <v>365</v>
      </c>
      <c r="CN26">
        <v>0</v>
      </c>
      <c r="CO26" t="s">
        <v>366</v>
      </c>
      <c r="CP26" t="s">
        <v>366</v>
      </c>
      <c r="CQ26" t="s">
        <v>366</v>
      </c>
      <c r="CR26" t="s">
        <v>363</v>
      </c>
      <c r="CS26" t="s">
        <v>363</v>
      </c>
      <c r="CT26" t="s">
        <v>363</v>
      </c>
      <c r="CU26" t="s">
        <v>363</v>
      </c>
      <c r="CV26" t="s">
        <v>363</v>
      </c>
      <c r="CW26" t="s">
        <v>363</v>
      </c>
      <c r="CX26" t="s">
        <v>363</v>
      </c>
      <c r="CY26" t="s">
        <v>363</v>
      </c>
      <c r="CZ26" t="s">
        <v>363</v>
      </c>
      <c r="DA26" t="s">
        <v>363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 s="16">
        <v>0</v>
      </c>
      <c r="EG26" s="16">
        <v>0</v>
      </c>
      <c r="EH26" s="1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 s="16">
        <v>0</v>
      </c>
      <c r="EQ26" s="16">
        <v>0</v>
      </c>
      <c r="ER26" s="1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 s="51">
        <v>0</v>
      </c>
      <c r="FK26" s="51">
        <v>0</v>
      </c>
      <c r="FL26" s="51">
        <v>0</v>
      </c>
      <c r="FM26" s="51">
        <v>0</v>
      </c>
      <c r="FN26" s="51">
        <v>0</v>
      </c>
      <c r="FO26" s="51">
        <v>0</v>
      </c>
      <c r="FP26" s="51">
        <v>0</v>
      </c>
      <c r="FQ26" s="51">
        <v>0</v>
      </c>
      <c r="FR26" s="51">
        <v>0</v>
      </c>
      <c r="FS26" s="51">
        <v>0</v>
      </c>
    </row>
    <row r="27" spans="1:175" x14ac:dyDescent="0.3">
      <c r="A27" s="171"/>
      <c r="B27" s="3" t="s">
        <v>135</v>
      </c>
      <c r="C27" s="4" t="s">
        <v>171</v>
      </c>
      <c r="D27" s="2" t="s">
        <v>250</v>
      </c>
      <c r="E27" s="9">
        <v>0</v>
      </c>
      <c r="F27" s="13">
        <v>0</v>
      </c>
      <c r="G27" s="13" t="s">
        <v>251</v>
      </c>
      <c r="H27" s="15">
        <v>0</v>
      </c>
      <c r="I27" s="24" t="str">
        <f>B42</f>
        <v>Reactant10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 s="60" t="s">
        <v>388</v>
      </c>
      <c r="AU27" s="60" t="s">
        <v>388</v>
      </c>
      <c r="AV27" s="60" t="s">
        <v>388</v>
      </c>
      <c r="AW27" s="60" t="s">
        <v>388</v>
      </c>
      <c r="AX27" s="60" t="s">
        <v>388</v>
      </c>
      <c r="AY27" s="60" t="s">
        <v>388</v>
      </c>
      <c r="AZ27" s="60" t="s">
        <v>388</v>
      </c>
      <c r="BA27" s="60" t="s">
        <v>388</v>
      </c>
      <c r="BB27" s="60" t="s">
        <v>388</v>
      </c>
      <c r="BC27" s="60" t="s">
        <v>388</v>
      </c>
      <c r="BD27" s="60" t="s">
        <v>388</v>
      </c>
      <c r="BE27" s="60" t="s">
        <v>388</v>
      </c>
      <c r="BF27" s="60" t="s">
        <v>388</v>
      </c>
      <c r="BG27" s="60" t="s">
        <v>388</v>
      </c>
      <c r="BH27" s="60" t="s">
        <v>388</v>
      </c>
      <c r="BI27" s="60" t="s">
        <v>388</v>
      </c>
      <c r="BJ27" s="60" t="s">
        <v>388</v>
      </c>
      <c r="BK27" s="60" t="s">
        <v>388</v>
      </c>
      <c r="BL27" s="60" t="s">
        <v>388</v>
      </c>
      <c r="BM27" s="60" t="s">
        <v>388</v>
      </c>
      <c r="BN27" s="60" t="s">
        <v>388</v>
      </c>
      <c r="BO27" s="60" t="s">
        <v>388</v>
      </c>
      <c r="BP27" s="60" t="s">
        <v>388</v>
      </c>
      <c r="BQ27" s="60" t="s">
        <v>388</v>
      </c>
      <c r="BR27" s="60" t="s">
        <v>388</v>
      </c>
      <c r="BS27" s="60" t="s">
        <v>388</v>
      </c>
      <c r="BT27" s="60" t="s">
        <v>388</v>
      </c>
      <c r="BU27" s="60" t="s">
        <v>388</v>
      </c>
      <c r="BV27" s="60" t="s">
        <v>388</v>
      </c>
      <c r="BW27" s="60" t="s">
        <v>388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</row>
    <row r="28" spans="1:175" x14ac:dyDescent="0.3">
      <c r="A28" s="171"/>
      <c r="B28" s="25" t="s">
        <v>424</v>
      </c>
      <c r="C28" s="11" t="s">
        <v>276</v>
      </c>
      <c r="D28" s="2" t="s">
        <v>35</v>
      </c>
      <c r="E28" s="9">
        <v>0</v>
      </c>
      <c r="F28" s="13">
        <v>0</v>
      </c>
      <c r="G28" s="13" t="s">
        <v>227</v>
      </c>
      <c r="H28">
        <v>0</v>
      </c>
      <c r="I28" s="13" t="s">
        <v>12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 s="14">
        <v>0</v>
      </c>
      <c r="AU28" s="14">
        <v>0</v>
      </c>
      <c r="AV28" s="14">
        <v>0</v>
      </c>
      <c r="AW28" s="14">
        <v>0</v>
      </c>
      <c r="AX28" s="14">
        <v>0</v>
      </c>
      <c r="AY28" s="14">
        <v>0</v>
      </c>
      <c r="AZ28" s="14">
        <v>0</v>
      </c>
      <c r="BA28" s="14">
        <v>0</v>
      </c>
      <c r="BB28" s="14">
        <v>0</v>
      </c>
      <c r="BC28" s="14">
        <v>0</v>
      </c>
      <c r="BD28" s="14">
        <v>0</v>
      </c>
      <c r="BE28" s="14">
        <v>0</v>
      </c>
      <c r="BF28" s="14">
        <v>0</v>
      </c>
      <c r="BG28" s="14">
        <v>0</v>
      </c>
      <c r="BH28" s="14">
        <v>0</v>
      </c>
      <c r="BI28" s="14">
        <v>0</v>
      </c>
      <c r="BJ28" s="14">
        <v>0</v>
      </c>
      <c r="BK28" s="14">
        <v>0</v>
      </c>
      <c r="BL28" s="14">
        <v>0</v>
      </c>
      <c r="BM28" s="14">
        <v>0</v>
      </c>
      <c r="BN28" s="14">
        <v>0</v>
      </c>
      <c r="BO28" s="14">
        <v>0</v>
      </c>
      <c r="BP28" s="14">
        <v>0</v>
      </c>
      <c r="BQ28" s="14">
        <v>0</v>
      </c>
      <c r="BR28" s="14">
        <v>0</v>
      </c>
      <c r="BS28" s="14">
        <v>0</v>
      </c>
      <c r="BT28" s="14">
        <v>0</v>
      </c>
      <c r="BU28" s="14">
        <v>0</v>
      </c>
      <c r="BV28" s="14">
        <v>0</v>
      </c>
      <c r="BW28" s="14">
        <v>0</v>
      </c>
      <c r="BX28" t="s">
        <v>333</v>
      </c>
      <c r="BY28" t="s">
        <v>333</v>
      </c>
      <c r="BZ28" t="s">
        <v>333</v>
      </c>
      <c r="CA28" t="s">
        <v>333</v>
      </c>
      <c r="CB28" t="s">
        <v>333</v>
      </c>
      <c r="CC28" t="s">
        <v>333</v>
      </c>
      <c r="CD28" t="s">
        <v>334</v>
      </c>
      <c r="CE28" t="s">
        <v>334</v>
      </c>
      <c r="CF28" t="s">
        <v>334</v>
      </c>
      <c r="CG28" t="s">
        <v>334</v>
      </c>
      <c r="CH28" t="s">
        <v>367</v>
      </c>
      <c r="CI28" t="s">
        <v>367</v>
      </c>
      <c r="CJ28" t="s">
        <v>367</v>
      </c>
      <c r="CK28" t="s">
        <v>368</v>
      </c>
      <c r="CL28" t="s">
        <v>369</v>
      </c>
      <c r="CM28" t="s">
        <v>369</v>
      </c>
      <c r="CN28">
        <v>0</v>
      </c>
      <c r="CO28" t="s">
        <v>370</v>
      </c>
      <c r="CP28" t="s">
        <v>370</v>
      </c>
      <c r="CQ28" t="s">
        <v>370</v>
      </c>
      <c r="CR28" t="s">
        <v>371</v>
      </c>
      <c r="CS28" t="s">
        <v>371</v>
      </c>
      <c r="CT28" t="s">
        <v>371</v>
      </c>
      <c r="CU28" t="s">
        <v>371</v>
      </c>
      <c r="CV28" t="s">
        <v>371</v>
      </c>
      <c r="CW28" t="s">
        <v>371</v>
      </c>
      <c r="CX28" t="s">
        <v>371</v>
      </c>
      <c r="CY28" t="s">
        <v>371</v>
      </c>
      <c r="CZ28" t="s">
        <v>371</v>
      </c>
      <c r="DA28" t="s">
        <v>371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 s="15">
        <v>0</v>
      </c>
      <c r="EG28" s="15">
        <v>0</v>
      </c>
      <c r="EH28" s="15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 s="15">
        <v>0</v>
      </c>
      <c r="EQ28" s="15">
        <v>0</v>
      </c>
      <c r="ER28" s="15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</row>
    <row r="29" spans="1:175" x14ac:dyDescent="0.3">
      <c r="A29" s="171"/>
      <c r="B29" s="25" t="str">
        <f>B28</f>
        <v>Reactant11</v>
      </c>
      <c r="C29" s="11" t="s">
        <v>276</v>
      </c>
      <c r="D29" s="2" t="s">
        <v>224</v>
      </c>
      <c r="E29" s="9">
        <v>0</v>
      </c>
      <c r="F29" s="13">
        <v>0</v>
      </c>
      <c r="G29" s="13" t="s">
        <v>226</v>
      </c>
      <c r="H29">
        <v>0</v>
      </c>
      <c r="I29" s="13" t="s">
        <v>12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 s="14">
        <v>0</v>
      </c>
      <c r="AU29" s="14">
        <v>0</v>
      </c>
      <c r="AV29" s="14">
        <v>0</v>
      </c>
      <c r="AW29" s="14">
        <v>0</v>
      </c>
      <c r="AX29" s="14">
        <v>0</v>
      </c>
      <c r="AY29" s="14">
        <v>0</v>
      </c>
      <c r="AZ29" s="14">
        <v>0</v>
      </c>
      <c r="BA29" s="14">
        <v>0</v>
      </c>
      <c r="BB29" s="14">
        <v>0</v>
      </c>
      <c r="BC29" s="14">
        <v>0</v>
      </c>
      <c r="BD29" s="14">
        <v>0</v>
      </c>
      <c r="BE29" s="14">
        <v>0</v>
      </c>
      <c r="BF29" s="14">
        <v>0</v>
      </c>
      <c r="BG29" s="14">
        <v>0</v>
      </c>
      <c r="BH29" s="14">
        <v>0</v>
      </c>
      <c r="BI29" s="14">
        <v>0</v>
      </c>
      <c r="BJ29" s="14">
        <v>0</v>
      </c>
      <c r="BK29" s="14">
        <v>0</v>
      </c>
      <c r="BL29" s="14">
        <v>0</v>
      </c>
      <c r="BM29" s="14">
        <v>0</v>
      </c>
      <c r="BN29" s="14">
        <v>0</v>
      </c>
      <c r="BO29" s="14">
        <v>0</v>
      </c>
      <c r="BP29" s="14">
        <v>0</v>
      </c>
      <c r="BQ29" s="14">
        <v>0</v>
      </c>
      <c r="BR29" s="14">
        <v>0</v>
      </c>
      <c r="BS29" s="14">
        <v>0</v>
      </c>
      <c r="BT29" s="14">
        <v>0</v>
      </c>
      <c r="BU29" s="14">
        <v>0</v>
      </c>
      <c r="BV29" s="14">
        <v>0</v>
      </c>
      <c r="BW29" s="14">
        <v>0</v>
      </c>
      <c r="BX29" s="10" t="s">
        <v>333</v>
      </c>
      <c r="BY29" s="10" t="s">
        <v>333</v>
      </c>
      <c r="BZ29" s="10" t="s">
        <v>333</v>
      </c>
      <c r="CA29" s="10" t="s">
        <v>333</v>
      </c>
      <c r="CB29" t="s">
        <v>333</v>
      </c>
      <c r="CC29" s="10" t="s">
        <v>333</v>
      </c>
      <c r="CD29" t="s">
        <v>334</v>
      </c>
      <c r="CE29" t="s">
        <v>334</v>
      </c>
      <c r="CF29" t="s">
        <v>334</v>
      </c>
      <c r="CG29" t="s">
        <v>334</v>
      </c>
      <c r="CH29" t="s">
        <v>367</v>
      </c>
      <c r="CI29" t="s">
        <v>367</v>
      </c>
      <c r="CJ29" t="s">
        <v>367</v>
      </c>
      <c r="CK29" t="s">
        <v>368</v>
      </c>
      <c r="CL29" t="s">
        <v>368</v>
      </c>
      <c r="CM29" t="s">
        <v>368</v>
      </c>
      <c r="CN29">
        <v>0</v>
      </c>
      <c r="CO29" t="s">
        <v>370</v>
      </c>
      <c r="CP29" t="s">
        <v>370</v>
      </c>
      <c r="CQ29" t="s">
        <v>370</v>
      </c>
      <c r="CR29" t="s">
        <v>371</v>
      </c>
      <c r="CS29" t="s">
        <v>371</v>
      </c>
      <c r="CT29" t="s">
        <v>371</v>
      </c>
      <c r="CU29" t="s">
        <v>371</v>
      </c>
      <c r="CV29" t="s">
        <v>371</v>
      </c>
      <c r="CW29" t="s">
        <v>371</v>
      </c>
      <c r="CX29" t="s">
        <v>371</v>
      </c>
      <c r="CY29" t="s">
        <v>371</v>
      </c>
      <c r="CZ29" t="s">
        <v>371</v>
      </c>
      <c r="DA29" t="s">
        <v>371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 t="s">
        <v>372</v>
      </c>
      <c r="DW29" t="s">
        <v>373</v>
      </c>
      <c r="DX29" t="s">
        <v>374</v>
      </c>
      <c r="DY29" t="s">
        <v>372</v>
      </c>
      <c r="DZ29" t="s">
        <v>373</v>
      </c>
      <c r="EA29" t="s">
        <v>374</v>
      </c>
      <c r="EB29">
        <v>0</v>
      </c>
      <c r="EC29" t="s">
        <v>372</v>
      </c>
      <c r="ED29" t="s">
        <v>373</v>
      </c>
      <c r="EE29" t="s">
        <v>374</v>
      </c>
      <c r="EF29" s="15">
        <v>0</v>
      </c>
      <c r="EG29" s="15">
        <v>0</v>
      </c>
      <c r="EH29" s="15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 s="15">
        <v>0</v>
      </c>
      <c r="EQ29" s="15">
        <v>0</v>
      </c>
      <c r="ER29" s="15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</row>
    <row r="30" spans="1:175" x14ac:dyDescent="0.3">
      <c r="A30" s="171"/>
      <c r="B30" s="25" t="str">
        <f>B28</f>
        <v>Reactant11</v>
      </c>
      <c r="C30" s="11" t="s">
        <v>276</v>
      </c>
      <c r="D30" s="2" t="s">
        <v>225</v>
      </c>
      <c r="E30" s="9">
        <v>0</v>
      </c>
      <c r="F30" s="13">
        <v>0</v>
      </c>
      <c r="G30" s="13" t="s">
        <v>228</v>
      </c>
      <c r="H30">
        <v>0</v>
      </c>
      <c r="I30" s="13" t="s">
        <v>12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 s="14">
        <v>0</v>
      </c>
      <c r="AU30" s="14">
        <v>0</v>
      </c>
      <c r="AV30" s="14">
        <v>0</v>
      </c>
      <c r="AW30" s="14">
        <v>0</v>
      </c>
      <c r="AX30" s="14">
        <v>0</v>
      </c>
      <c r="AY30" s="14">
        <v>0</v>
      </c>
      <c r="AZ30" s="14">
        <v>0</v>
      </c>
      <c r="BA30" s="14">
        <v>0</v>
      </c>
      <c r="BB30" s="14">
        <v>0</v>
      </c>
      <c r="BC30" s="14">
        <v>0</v>
      </c>
      <c r="BD30" s="14">
        <v>0</v>
      </c>
      <c r="BE30" s="14">
        <v>0</v>
      </c>
      <c r="BF30" s="14">
        <v>0</v>
      </c>
      <c r="BG30" s="14">
        <v>0</v>
      </c>
      <c r="BH30" s="14">
        <v>0</v>
      </c>
      <c r="BI30" s="14">
        <v>0</v>
      </c>
      <c r="BJ30" s="14">
        <v>0</v>
      </c>
      <c r="BK30" s="14">
        <v>0</v>
      </c>
      <c r="BL30" s="14">
        <v>0</v>
      </c>
      <c r="BM30" s="14">
        <v>0</v>
      </c>
      <c r="BN30" s="14">
        <v>0</v>
      </c>
      <c r="BO30" s="14">
        <v>0</v>
      </c>
      <c r="BP30" s="14">
        <v>0</v>
      </c>
      <c r="BQ30" s="14">
        <v>0</v>
      </c>
      <c r="BR30" s="14">
        <v>0</v>
      </c>
      <c r="BS30" s="14">
        <v>0</v>
      </c>
      <c r="BT30" s="14">
        <v>0</v>
      </c>
      <c r="BU30" s="14">
        <v>0</v>
      </c>
      <c r="BV30" s="14">
        <v>0</v>
      </c>
      <c r="BW30" s="14">
        <v>0</v>
      </c>
      <c r="BX30" t="s">
        <v>333</v>
      </c>
      <c r="BY30" t="s">
        <v>333</v>
      </c>
      <c r="BZ30" t="s">
        <v>333</v>
      </c>
      <c r="CA30" t="s">
        <v>333</v>
      </c>
      <c r="CB30" t="s">
        <v>333</v>
      </c>
      <c r="CC30" t="s">
        <v>333</v>
      </c>
      <c r="CD30" t="s">
        <v>334</v>
      </c>
      <c r="CE30" t="s">
        <v>334</v>
      </c>
      <c r="CF30" t="s">
        <v>334</v>
      </c>
      <c r="CG30" t="s">
        <v>334</v>
      </c>
      <c r="CH30" t="s">
        <v>367</v>
      </c>
      <c r="CI30" t="s">
        <v>367</v>
      </c>
      <c r="CJ30" t="s">
        <v>367</v>
      </c>
      <c r="CK30" t="s">
        <v>368</v>
      </c>
      <c r="CL30" t="s">
        <v>368</v>
      </c>
      <c r="CM30" t="s">
        <v>368</v>
      </c>
      <c r="CN30">
        <v>0</v>
      </c>
      <c r="CO30" t="s">
        <v>370</v>
      </c>
      <c r="CP30" t="s">
        <v>370</v>
      </c>
      <c r="CQ30" t="s">
        <v>370</v>
      </c>
      <c r="CR30" t="s">
        <v>371</v>
      </c>
      <c r="CS30" t="s">
        <v>371</v>
      </c>
      <c r="CT30" t="s">
        <v>371</v>
      </c>
      <c r="CU30" t="s">
        <v>371</v>
      </c>
      <c r="CV30" t="s">
        <v>371</v>
      </c>
      <c r="CW30" t="s">
        <v>371</v>
      </c>
      <c r="CX30" t="s">
        <v>371</v>
      </c>
      <c r="CY30" t="s">
        <v>371</v>
      </c>
      <c r="CZ30" t="s">
        <v>371</v>
      </c>
      <c r="DA30" t="s">
        <v>371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 t="s">
        <v>372</v>
      </c>
      <c r="DW30" t="s">
        <v>373</v>
      </c>
      <c r="DX30" t="s">
        <v>374</v>
      </c>
      <c r="DY30" t="s">
        <v>372</v>
      </c>
      <c r="DZ30" t="s">
        <v>373</v>
      </c>
      <c r="EA30" t="s">
        <v>374</v>
      </c>
      <c r="EB30">
        <v>0</v>
      </c>
      <c r="EC30" t="s">
        <v>372</v>
      </c>
      <c r="ED30" t="s">
        <v>373</v>
      </c>
      <c r="EE30" t="s">
        <v>374</v>
      </c>
      <c r="EF30" s="15">
        <v>0</v>
      </c>
      <c r="EG30" s="15">
        <v>0</v>
      </c>
      <c r="EH30" s="15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 s="15">
        <v>0</v>
      </c>
      <c r="EQ30" s="15">
        <v>0</v>
      </c>
      <c r="ER30" s="15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</row>
    <row r="31" spans="1:175" x14ac:dyDescent="0.3">
      <c r="A31" s="171"/>
      <c r="B31" s="3" t="s">
        <v>140</v>
      </c>
      <c r="C31" s="4" t="s">
        <v>13</v>
      </c>
      <c r="D31" s="2" t="s">
        <v>232</v>
      </c>
      <c r="E31" s="9">
        <v>0</v>
      </c>
      <c r="F31" s="13">
        <v>0</v>
      </c>
      <c r="G31" s="13" t="s">
        <v>92</v>
      </c>
      <c r="H31">
        <v>0</v>
      </c>
      <c r="I31" s="24" t="str">
        <f>B28</f>
        <v>Reactant11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 t="s">
        <v>493</v>
      </c>
      <c r="Q31" t="s">
        <v>493</v>
      </c>
      <c r="R31" t="s">
        <v>493</v>
      </c>
      <c r="S31" t="s">
        <v>493</v>
      </c>
      <c r="T31" t="s">
        <v>493</v>
      </c>
      <c r="U31" t="s">
        <v>493</v>
      </c>
      <c r="V31" t="s">
        <v>493</v>
      </c>
      <c r="W31" t="s">
        <v>493</v>
      </c>
      <c r="X31" t="s">
        <v>493</v>
      </c>
      <c r="Y31" t="s">
        <v>493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 s="14">
        <v>0</v>
      </c>
      <c r="AU31" s="14">
        <v>0</v>
      </c>
      <c r="AV31" s="14">
        <v>0</v>
      </c>
      <c r="AW31" s="14">
        <v>0</v>
      </c>
      <c r="AX31" s="14">
        <v>0</v>
      </c>
      <c r="AY31" s="14">
        <v>0</v>
      </c>
      <c r="AZ31" s="14">
        <v>0</v>
      </c>
      <c r="BA31" s="14">
        <v>0</v>
      </c>
      <c r="BB31" s="14">
        <v>0</v>
      </c>
      <c r="BC31" s="14">
        <v>0</v>
      </c>
      <c r="BD31" s="14">
        <v>0</v>
      </c>
      <c r="BE31" s="14">
        <v>0</v>
      </c>
      <c r="BF31" s="14">
        <v>0</v>
      </c>
      <c r="BG31" s="14">
        <v>0</v>
      </c>
      <c r="BH31" s="14">
        <v>0</v>
      </c>
      <c r="BI31" s="14">
        <v>0</v>
      </c>
      <c r="BJ31" s="14">
        <v>0</v>
      </c>
      <c r="BK31" s="14">
        <v>0</v>
      </c>
      <c r="BL31" s="14">
        <v>0</v>
      </c>
      <c r="BM31" s="14">
        <v>0</v>
      </c>
      <c r="BN31" s="14">
        <v>0</v>
      </c>
      <c r="BO31" s="14">
        <v>0</v>
      </c>
      <c r="BP31" s="14">
        <v>0</v>
      </c>
      <c r="BQ31" s="14">
        <v>0</v>
      </c>
      <c r="BR31" s="14">
        <v>0</v>
      </c>
      <c r="BS31" s="14">
        <v>0</v>
      </c>
      <c r="BT31" s="14">
        <v>0</v>
      </c>
      <c r="BU31" s="14">
        <v>0</v>
      </c>
      <c r="BV31" s="14">
        <v>0</v>
      </c>
      <c r="BW31" s="14">
        <v>0</v>
      </c>
      <c r="BX31" t="s">
        <v>335</v>
      </c>
      <c r="BY31" t="s">
        <v>336</v>
      </c>
      <c r="BZ31" t="s">
        <v>287</v>
      </c>
      <c r="CA31" t="s">
        <v>335</v>
      </c>
      <c r="CB31" t="s">
        <v>287</v>
      </c>
      <c r="CC31" t="s">
        <v>335</v>
      </c>
      <c r="CD31" t="s">
        <v>287</v>
      </c>
      <c r="CE31" t="s">
        <v>287</v>
      </c>
      <c r="CF31" t="s">
        <v>287</v>
      </c>
      <c r="CG31" t="s">
        <v>337</v>
      </c>
      <c r="CH31">
        <v>0</v>
      </c>
      <c r="CI31" t="s">
        <v>375</v>
      </c>
      <c r="CJ31">
        <v>0</v>
      </c>
      <c r="CK31" t="s">
        <v>375</v>
      </c>
      <c r="CL31" t="s">
        <v>375</v>
      </c>
      <c r="CM31" t="s">
        <v>375</v>
      </c>
      <c r="CN31">
        <v>0</v>
      </c>
      <c r="CO31" t="s">
        <v>375</v>
      </c>
      <c r="CP31" t="s">
        <v>375</v>
      </c>
      <c r="CQ31" t="s">
        <v>375</v>
      </c>
      <c r="CR31" t="s">
        <v>376</v>
      </c>
      <c r="CS31" t="s">
        <v>376</v>
      </c>
      <c r="CT31" t="s">
        <v>376</v>
      </c>
      <c r="CU31" t="s">
        <v>376</v>
      </c>
      <c r="CV31" t="s">
        <v>376</v>
      </c>
      <c r="CW31" t="s">
        <v>376</v>
      </c>
      <c r="CX31" t="s">
        <v>376</v>
      </c>
      <c r="CY31" t="s">
        <v>376</v>
      </c>
      <c r="CZ31" t="s">
        <v>376</v>
      </c>
      <c r="DA31" t="s">
        <v>376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 s="51">
        <v>0</v>
      </c>
      <c r="FK31" s="51">
        <v>0</v>
      </c>
      <c r="FL31" s="51">
        <v>0</v>
      </c>
      <c r="FM31" s="51">
        <v>0</v>
      </c>
      <c r="FN31" s="51">
        <v>0</v>
      </c>
      <c r="FO31" s="51">
        <v>0</v>
      </c>
      <c r="FP31" s="51">
        <v>0</v>
      </c>
      <c r="FQ31" s="51">
        <v>0</v>
      </c>
      <c r="FR31" s="51">
        <v>0</v>
      </c>
      <c r="FS31" s="51">
        <v>0</v>
      </c>
    </row>
    <row r="32" spans="1:175" x14ac:dyDescent="0.3">
      <c r="A32" s="171"/>
      <c r="B32" s="3" t="s">
        <v>140</v>
      </c>
      <c r="C32" s="4" t="s">
        <v>13</v>
      </c>
      <c r="D32" s="2" t="s">
        <v>242</v>
      </c>
      <c r="E32" s="9">
        <v>0</v>
      </c>
      <c r="F32" s="13">
        <v>0</v>
      </c>
      <c r="G32" s="13" t="s">
        <v>245</v>
      </c>
      <c r="H32">
        <v>0</v>
      </c>
      <c r="I32" s="24" t="str">
        <f>B28</f>
        <v>Reactant11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 t="s">
        <v>493</v>
      </c>
      <c r="Q32" t="s">
        <v>493</v>
      </c>
      <c r="R32" t="s">
        <v>493</v>
      </c>
      <c r="S32" t="s">
        <v>493</v>
      </c>
      <c r="T32" t="s">
        <v>493</v>
      </c>
      <c r="U32" t="s">
        <v>493</v>
      </c>
      <c r="V32" t="s">
        <v>493</v>
      </c>
      <c r="W32" t="s">
        <v>493</v>
      </c>
      <c r="X32" t="s">
        <v>493</v>
      </c>
      <c r="Y32" t="s">
        <v>493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 s="14">
        <v>0</v>
      </c>
      <c r="AU32" s="14">
        <v>0</v>
      </c>
      <c r="AV32" s="14">
        <v>0</v>
      </c>
      <c r="AW32" s="14">
        <v>0</v>
      </c>
      <c r="AX32" s="14">
        <v>0</v>
      </c>
      <c r="AY32" s="14">
        <v>0</v>
      </c>
      <c r="AZ32" s="14">
        <v>0</v>
      </c>
      <c r="BA32" s="14">
        <v>0</v>
      </c>
      <c r="BB32" s="14">
        <v>0</v>
      </c>
      <c r="BC32" s="14">
        <v>0</v>
      </c>
      <c r="BD32" s="14">
        <v>0</v>
      </c>
      <c r="BE32" s="14">
        <v>0</v>
      </c>
      <c r="BF32" s="14">
        <v>0</v>
      </c>
      <c r="BG32" s="14">
        <v>0</v>
      </c>
      <c r="BH32" s="14">
        <v>0</v>
      </c>
      <c r="BI32" s="14">
        <v>0</v>
      </c>
      <c r="BJ32" s="14">
        <v>0</v>
      </c>
      <c r="BK32" s="14">
        <v>0</v>
      </c>
      <c r="BL32" s="14">
        <v>0</v>
      </c>
      <c r="BM32" s="14">
        <v>0</v>
      </c>
      <c r="BN32" s="14">
        <v>0</v>
      </c>
      <c r="BO32" s="14">
        <v>0</v>
      </c>
      <c r="BP32" s="14">
        <v>0</v>
      </c>
      <c r="BQ32" s="14">
        <v>0</v>
      </c>
      <c r="BR32" s="14">
        <v>0</v>
      </c>
      <c r="BS32" s="14">
        <v>0</v>
      </c>
      <c r="BT32" s="14">
        <v>0</v>
      </c>
      <c r="BU32" s="14">
        <v>0</v>
      </c>
      <c r="BV32" s="14">
        <v>0</v>
      </c>
      <c r="BW32" s="14">
        <v>0</v>
      </c>
      <c r="BX32" s="1" t="s">
        <v>423</v>
      </c>
      <c r="BY32" s="1" t="s">
        <v>423</v>
      </c>
      <c r="BZ32" s="1" t="s">
        <v>423</v>
      </c>
      <c r="CA32" s="1" t="s">
        <v>423</v>
      </c>
      <c r="CB32" s="1" t="s">
        <v>423</v>
      </c>
      <c r="CC32" s="1" t="s">
        <v>423</v>
      </c>
      <c r="CD32" s="1" t="s">
        <v>423</v>
      </c>
      <c r="CE32" s="1" t="s">
        <v>423</v>
      </c>
      <c r="CF32" s="1" t="s">
        <v>423</v>
      </c>
      <c r="CG32" s="1" t="s">
        <v>423</v>
      </c>
      <c r="CH32" s="1">
        <v>0</v>
      </c>
      <c r="CI32" s="1" t="s">
        <v>375</v>
      </c>
      <c r="CJ32" s="1">
        <v>0</v>
      </c>
      <c r="CK32" t="s">
        <v>377</v>
      </c>
      <c r="CL32" t="s">
        <v>377</v>
      </c>
      <c r="CM32" t="s">
        <v>377</v>
      </c>
      <c r="CN32">
        <v>0</v>
      </c>
      <c r="CO32" t="s">
        <v>375</v>
      </c>
      <c r="CP32" t="s">
        <v>375</v>
      </c>
      <c r="CQ32" t="s">
        <v>375</v>
      </c>
      <c r="CR32" s="1" t="s">
        <v>378</v>
      </c>
      <c r="CS32" s="1" t="s">
        <v>378</v>
      </c>
      <c r="CT32" s="1" t="s">
        <v>378</v>
      </c>
      <c r="CU32" s="1" t="s">
        <v>378</v>
      </c>
      <c r="CV32" s="1" t="s">
        <v>378</v>
      </c>
      <c r="CW32" s="1" t="s">
        <v>378</v>
      </c>
      <c r="CX32" s="1" t="s">
        <v>378</v>
      </c>
      <c r="CY32" s="1" t="s">
        <v>378</v>
      </c>
      <c r="CZ32" s="1" t="s">
        <v>378</v>
      </c>
      <c r="DA32" s="1" t="s">
        <v>378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 s="16">
        <v>0</v>
      </c>
      <c r="EG32" s="16">
        <v>0</v>
      </c>
      <c r="EH32" s="16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 s="16">
        <v>0</v>
      </c>
      <c r="EQ32" s="16">
        <v>0</v>
      </c>
      <c r="ER32" s="16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 s="51">
        <v>0</v>
      </c>
      <c r="FK32" s="51">
        <v>0</v>
      </c>
      <c r="FL32" s="51">
        <v>0</v>
      </c>
      <c r="FM32" s="51">
        <v>0</v>
      </c>
      <c r="FN32" s="51">
        <v>0</v>
      </c>
      <c r="FO32" s="51">
        <v>0</v>
      </c>
      <c r="FP32" s="51">
        <v>0</v>
      </c>
      <c r="FQ32" s="51">
        <v>0</v>
      </c>
      <c r="FR32" s="51">
        <v>0</v>
      </c>
      <c r="FS32" s="51">
        <v>0</v>
      </c>
    </row>
    <row r="33" spans="1:175" x14ac:dyDescent="0.3">
      <c r="A33" s="171"/>
      <c r="B33" s="3" t="s">
        <v>140</v>
      </c>
      <c r="C33" s="4" t="s">
        <v>13</v>
      </c>
      <c r="D33" s="2" t="s">
        <v>241</v>
      </c>
      <c r="E33" s="9">
        <v>0</v>
      </c>
      <c r="F33" s="13">
        <v>0</v>
      </c>
      <c r="G33" s="13" t="s">
        <v>246</v>
      </c>
      <c r="H33">
        <v>0</v>
      </c>
      <c r="I33" s="24" t="str">
        <f>B28</f>
        <v>Reactant11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 t="s">
        <v>493</v>
      </c>
      <c r="Q33" t="s">
        <v>493</v>
      </c>
      <c r="R33" t="s">
        <v>493</v>
      </c>
      <c r="S33" t="s">
        <v>493</v>
      </c>
      <c r="T33" t="s">
        <v>493</v>
      </c>
      <c r="U33" t="s">
        <v>493</v>
      </c>
      <c r="V33" t="s">
        <v>493</v>
      </c>
      <c r="W33" t="s">
        <v>493</v>
      </c>
      <c r="X33" t="s">
        <v>493</v>
      </c>
      <c r="Y33" t="s">
        <v>493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 s="14">
        <v>0</v>
      </c>
      <c r="AU33" s="14">
        <v>0</v>
      </c>
      <c r="AV33" s="14">
        <v>0</v>
      </c>
      <c r="AW33" s="14">
        <v>0</v>
      </c>
      <c r="AX33" s="14">
        <v>0</v>
      </c>
      <c r="AY33" s="14">
        <v>0</v>
      </c>
      <c r="AZ33" s="14">
        <v>0</v>
      </c>
      <c r="BA33" s="14">
        <v>0</v>
      </c>
      <c r="BB33" s="14">
        <v>0</v>
      </c>
      <c r="BC33" s="14">
        <v>0</v>
      </c>
      <c r="BD33" s="14">
        <v>0</v>
      </c>
      <c r="BE33" s="14">
        <v>0</v>
      </c>
      <c r="BF33" s="14">
        <v>0</v>
      </c>
      <c r="BG33" s="14">
        <v>0</v>
      </c>
      <c r="BH33" s="14">
        <v>0</v>
      </c>
      <c r="BI33" s="14">
        <v>0</v>
      </c>
      <c r="BJ33" s="14">
        <v>0</v>
      </c>
      <c r="BK33" s="14">
        <v>0</v>
      </c>
      <c r="BL33" s="14">
        <v>0</v>
      </c>
      <c r="BM33" s="14">
        <v>0</v>
      </c>
      <c r="BN33" s="14">
        <v>0</v>
      </c>
      <c r="BO33" s="14">
        <v>0</v>
      </c>
      <c r="BP33" s="14">
        <v>0</v>
      </c>
      <c r="BQ33" s="14">
        <v>0</v>
      </c>
      <c r="BR33" s="14">
        <v>0</v>
      </c>
      <c r="BS33" s="14">
        <v>0</v>
      </c>
      <c r="BT33" s="14">
        <v>0</v>
      </c>
      <c r="BU33" s="14">
        <v>0</v>
      </c>
      <c r="BV33" s="14">
        <v>0</v>
      </c>
      <c r="BW33" s="14">
        <v>0</v>
      </c>
      <c r="BX33" s="1" t="s">
        <v>287</v>
      </c>
      <c r="BY33" s="1" t="s">
        <v>287</v>
      </c>
      <c r="BZ33" s="1" t="s">
        <v>287</v>
      </c>
      <c r="CA33" s="24" t="s">
        <v>287</v>
      </c>
      <c r="CB33" s="24" t="s">
        <v>287</v>
      </c>
      <c r="CC33" s="24" t="s">
        <v>287</v>
      </c>
      <c r="CD33" s="1" t="s">
        <v>287</v>
      </c>
      <c r="CE33" t="s">
        <v>287</v>
      </c>
      <c r="CF33" t="s">
        <v>287</v>
      </c>
      <c r="CG33" t="s">
        <v>287</v>
      </c>
      <c r="CH33" s="1">
        <v>0</v>
      </c>
      <c r="CI33" s="1" t="s">
        <v>375</v>
      </c>
      <c r="CJ33" s="1">
        <v>0</v>
      </c>
      <c r="CK33" t="s">
        <v>377</v>
      </c>
      <c r="CL33" t="s">
        <v>377</v>
      </c>
      <c r="CM33" t="s">
        <v>377</v>
      </c>
      <c r="CN33">
        <v>0</v>
      </c>
      <c r="CO33" t="s">
        <v>375</v>
      </c>
      <c r="CP33" t="s">
        <v>375</v>
      </c>
      <c r="CQ33" t="s">
        <v>375</v>
      </c>
      <c r="CR33" s="1" t="s">
        <v>378</v>
      </c>
      <c r="CS33" s="1" t="s">
        <v>378</v>
      </c>
      <c r="CT33" s="1" t="s">
        <v>378</v>
      </c>
      <c r="CU33" s="1" t="s">
        <v>378</v>
      </c>
      <c r="CV33" s="1" t="s">
        <v>378</v>
      </c>
      <c r="CW33" s="1" t="s">
        <v>378</v>
      </c>
      <c r="CX33" s="1" t="s">
        <v>378</v>
      </c>
      <c r="CY33" s="1" t="s">
        <v>378</v>
      </c>
      <c r="CZ33" s="1" t="s">
        <v>378</v>
      </c>
      <c r="DA33" s="1" t="s">
        <v>378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 s="16">
        <v>0</v>
      </c>
      <c r="EG33" s="16">
        <v>0</v>
      </c>
      <c r="EH33" s="16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 s="16">
        <v>0</v>
      </c>
      <c r="EQ33" s="16">
        <v>0</v>
      </c>
      <c r="ER33" s="16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 s="51">
        <v>0</v>
      </c>
      <c r="FK33" s="51">
        <v>0</v>
      </c>
      <c r="FL33" s="51">
        <v>0</v>
      </c>
      <c r="FM33" s="51">
        <v>0</v>
      </c>
      <c r="FN33" s="51">
        <v>0</v>
      </c>
      <c r="FO33" s="51">
        <v>0</v>
      </c>
      <c r="FP33" s="51">
        <v>0</v>
      </c>
      <c r="FQ33" s="51">
        <v>0</v>
      </c>
      <c r="FR33" s="51">
        <v>0</v>
      </c>
      <c r="FS33" s="51">
        <v>0</v>
      </c>
    </row>
    <row r="34" spans="1:175" x14ac:dyDescent="0.3">
      <c r="A34" s="171"/>
      <c r="B34" s="3" t="s">
        <v>140</v>
      </c>
      <c r="C34" s="4" t="s">
        <v>13</v>
      </c>
      <c r="D34" s="2" t="s">
        <v>243</v>
      </c>
      <c r="E34" s="9">
        <v>0</v>
      </c>
      <c r="F34" s="13">
        <v>0</v>
      </c>
      <c r="G34" s="13" t="s">
        <v>247</v>
      </c>
      <c r="H34">
        <v>0</v>
      </c>
      <c r="I34" s="24" t="str">
        <f>B28</f>
        <v>Reactant11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 t="s">
        <v>493</v>
      </c>
      <c r="Q34" t="s">
        <v>493</v>
      </c>
      <c r="R34" t="s">
        <v>493</v>
      </c>
      <c r="S34" t="s">
        <v>493</v>
      </c>
      <c r="T34" t="s">
        <v>493</v>
      </c>
      <c r="U34" t="s">
        <v>493</v>
      </c>
      <c r="V34" t="s">
        <v>493</v>
      </c>
      <c r="W34" t="s">
        <v>493</v>
      </c>
      <c r="X34" t="s">
        <v>493</v>
      </c>
      <c r="Y34" t="s">
        <v>493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 s="14">
        <v>0</v>
      </c>
      <c r="AU34" s="14">
        <v>0</v>
      </c>
      <c r="AV34" s="14">
        <v>0</v>
      </c>
      <c r="AW34" s="14">
        <v>0</v>
      </c>
      <c r="AX34" s="14">
        <v>0</v>
      </c>
      <c r="AY34" s="14">
        <v>0</v>
      </c>
      <c r="AZ34" s="14">
        <v>0</v>
      </c>
      <c r="BA34" s="14">
        <v>0</v>
      </c>
      <c r="BB34" s="14">
        <v>0</v>
      </c>
      <c r="BC34" s="14">
        <v>0</v>
      </c>
      <c r="BD34" s="14">
        <v>0</v>
      </c>
      <c r="BE34" s="14">
        <v>0</v>
      </c>
      <c r="BF34" s="14">
        <v>0</v>
      </c>
      <c r="BG34" s="14">
        <v>0</v>
      </c>
      <c r="BH34" s="14">
        <v>0</v>
      </c>
      <c r="BI34" s="14">
        <v>0</v>
      </c>
      <c r="BJ34" s="14">
        <v>0</v>
      </c>
      <c r="BK34" s="14">
        <v>0</v>
      </c>
      <c r="BL34" s="14">
        <v>0</v>
      </c>
      <c r="BM34" s="14">
        <v>0</v>
      </c>
      <c r="BN34" s="14">
        <v>0</v>
      </c>
      <c r="BO34" s="14">
        <v>0</v>
      </c>
      <c r="BP34" s="14">
        <v>0</v>
      </c>
      <c r="BQ34" s="14">
        <v>0</v>
      </c>
      <c r="BR34" s="14">
        <v>0</v>
      </c>
      <c r="BS34" s="14">
        <v>0</v>
      </c>
      <c r="BT34" s="14">
        <v>0</v>
      </c>
      <c r="BU34" s="14">
        <v>0</v>
      </c>
      <c r="BV34" s="14">
        <v>0</v>
      </c>
      <c r="BW34" s="14">
        <v>0</v>
      </c>
      <c r="BX34" s="1">
        <v>0</v>
      </c>
      <c r="BY34" s="1">
        <v>0</v>
      </c>
      <c r="BZ34" s="1">
        <v>0</v>
      </c>
      <c r="CA34" s="1">
        <v>0</v>
      </c>
      <c r="CB34" s="1">
        <v>0</v>
      </c>
      <c r="CC34" s="1">
        <v>0</v>
      </c>
      <c r="CD34" s="1">
        <v>0</v>
      </c>
      <c r="CE34" s="1">
        <v>0</v>
      </c>
      <c r="CF34" s="1">
        <v>0</v>
      </c>
      <c r="CG34" s="1">
        <v>0</v>
      </c>
      <c r="CH34" s="1">
        <v>0</v>
      </c>
      <c r="CI34" s="1">
        <v>0</v>
      </c>
      <c r="CJ34" s="1">
        <v>0</v>
      </c>
      <c r="CK34" s="1">
        <v>0</v>
      </c>
      <c r="CL34" s="1">
        <v>0</v>
      </c>
      <c r="CM34" s="1">
        <v>0</v>
      </c>
      <c r="CN34" s="1">
        <v>0</v>
      </c>
      <c r="CO34" s="1">
        <v>0</v>
      </c>
      <c r="CP34" s="1">
        <v>0</v>
      </c>
      <c r="CQ34" s="1">
        <v>0</v>
      </c>
      <c r="CR34" s="1">
        <v>0</v>
      </c>
      <c r="CS34" s="1">
        <v>0</v>
      </c>
      <c r="CT34" s="1">
        <v>0</v>
      </c>
      <c r="CU34" s="1">
        <v>0</v>
      </c>
      <c r="CV34" s="1">
        <v>0</v>
      </c>
      <c r="CW34" s="1">
        <v>0</v>
      </c>
      <c r="CX34" s="1">
        <v>0</v>
      </c>
      <c r="CY34" s="1">
        <v>0</v>
      </c>
      <c r="CZ34" s="1">
        <v>0</v>
      </c>
      <c r="DA34" s="1">
        <v>0</v>
      </c>
      <c r="DB34" s="1">
        <v>0</v>
      </c>
      <c r="DC34" s="1">
        <v>0</v>
      </c>
      <c r="DD34" s="1">
        <v>0</v>
      </c>
      <c r="DE34">
        <v>0</v>
      </c>
      <c r="DF34" s="1">
        <v>0</v>
      </c>
      <c r="DG34">
        <v>0</v>
      </c>
      <c r="DH34" s="1">
        <v>0</v>
      </c>
      <c r="DI34">
        <v>0</v>
      </c>
      <c r="DJ34" s="1">
        <v>0</v>
      </c>
      <c r="DK34">
        <v>0</v>
      </c>
      <c r="DL34" s="1">
        <v>0</v>
      </c>
      <c r="DM34" s="1">
        <v>0</v>
      </c>
      <c r="DN34" s="1">
        <v>0</v>
      </c>
      <c r="DO34">
        <v>0</v>
      </c>
      <c r="DP34" s="1">
        <v>0</v>
      </c>
      <c r="DQ34">
        <v>0</v>
      </c>
      <c r="DR34" s="1">
        <v>0</v>
      </c>
      <c r="DS34">
        <v>0</v>
      </c>
      <c r="DT34" s="1">
        <v>0</v>
      </c>
      <c r="DU34">
        <v>0</v>
      </c>
      <c r="DV34" s="1">
        <v>0</v>
      </c>
      <c r="DW34" s="1">
        <v>0</v>
      </c>
      <c r="DX34" s="1">
        <v>0</v>
      </c>
      <c r="DY34">
        <v>0</v>
      </c>
      <c r="DZ34" s="1">
        <v>0</v>
      </c>
      <c r="EA34">
        <v>0</v>
      </c>
      <c r="EB34" s="1">
        <v>0</v>
      </c>
      <c r="EC34">
        <v>0</v>
      </c>
      <c r="ED34" s="1">
        <v>0</v>
      </c>
      <c r="EE34">
        <v>0</v>
      </c>
      <c r="EF34" s="1">
        <v>0</v>
      </c>
      <c r="EG34" s="1">
        <v>0</v>
      </c>
      <c r="EH34" s="1">
        <v>0</v>
      </c>
      <c r="EI34">
        <v>0</v>
      </c>
      <c r="EJ34" s="1">
        <v>0</v>
      </c>
      <c r="EK34">
        <v>0</v>
      </c>
      <c r="EL34" s="1">
        <v>0</v>
      </c>
      <c r="EM34">
        <v>0</v>
      </c>
      <c r="EN34" s="1">
        <v>0</v>
      </c>
      <c r="EO34">
        <v>0</v>
      </c>
      <c r="EP34" s="1">
        <v>0</v>
      </c>
      <c r="EQ34" s="1">
        <v>0</v>
      </c>
      <c r="ER34" s="1">
        <v>0</v>
      </c>
      <c r="ES34">
        <v>0</v>
      </c>
      <c r="ET34" s="1">
        <v>0</v>
      </c>
      <c r="EU34">
        <v>0</v>
      </c>
      <c r="EV34" s="1">
        <v>0</v>
      </c>
      <c r="EW34">
        <v>0</v>
      </c>
      <c r="EX34" s="1">
        <v>0</v>
      </c>
      <c r="EY34">
        <v>0</v>
      </c>
      <c r="EZ34" s="1">
        <v>0</v>
      </c>
      <c r="FA34" s="1">
        <v>0</v>
      </c>
      <c r="FB34" s="1">
        <v>0</v>
      </c>
      <c r="FC34" s="1">
        <v>0</v>
      </c>
      <c r="FD34" s="1">
        <v>0</v>
      </c>
      <c r="FE34" s="1">
        <v>0</v>
      </c>
      <c r="FF34" s="1">
        <v>0</v>
      </c>
      <c r="FG34" s="1">
        <v>0</v>
      </c>
      <c r="FH34" s="1">
        <v>0</v>
      </c>
      <c r="FI34" s="1">
        <v>0</v>
      </c>
      <c r="FJ34" s="1">
        <v>0</v>
      </c>
      <c r="FK34" s="1">
        <v>0</v>
      </c>
      <c r="FL34" s="1">
        <v>0</v>
      </c>
      <c r="FM34" s="1">
        <v>0</v>
      </c>
      <c r="FN34" s="1">
        <v>0</v>
      </c>
      <c r="FO34" s="1">
        <v>0</v>
      </c>
      <c r="FP34" s="1">
        <v>0</v>
      </c>
      <c r="FQ34" s="1">
        <v>0</v>
      </c>
      <c r="FR34" s="1">
        <v>0</v>
      </c>
      <c r="FS34" s="1">
        <v>0</v>
      </c>
    </row>
    <row r="35" spans="1:175" x14ac:dyDescent="0.3">
      <c r="A35" s="171"/>
      <c r="B35" s="3" t="s">
        <v>140</v>
      </c>
      <c r="C35" s="4" t="s">
        <v>13</v>
      </c>
      <c r="D35" s="2" t="s">
        <v>244</v>
      </c>
      <c r="E35" s="9">
        <v>0</v>
      </c>
      <c r="F35" s="13">
        <v>0</v>
      </c>
      <c r="G35" s="13" t="s">
        <v>248</v>
      </c>
      <c r="H35">
        <v>0</v>
      </c>
      <c r="I35" s="24" t="str">
        <f>B28</f>
        <v>Reactant11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 t="s">
        <v>493</v>
      </c>
      <c r="Q35" t="s">
        <v>493</v>
      </c>
      <c r="R35" t="s">
        <v>493</v>
      </c>
      <c r="S35" t="s">
        <v>493</v>
      </c>
      <c r="T35" t="s">
        <v>493</v>
      </c>
      <c r="U35" t="s">
        <v>493</v>
      </c>
      <c r="V35" t="s">
        <v>493</v>
      </c>
      <c r="W35" t="s">
        <v>493</v>
      </c>
      <c r="X35" t="s">
        <v>493</v>
      </c>
      <c r="Y35" t="s">
        <v>493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 s="14">
        <v>0</v>
      </c>
      <c r="AU35" s="14">
        <v>0</v>
      </c>
      <c r="AV35" s="14">
        <v>0</v>
      </c>
      <c r="AW35" s="14">
        <v>0</v>
      </c>
      <c r="AX35" s="14">
        <v>0</v>
      </c>
      <c r="AY35" s="14">
        <v>0</v>
      </c>
      <c r="AZ35" s="14">
        <v>0</v>
      </c>
      <c r="BA35" s="14">
        <v>0</v>
      </c>
      <c r="BB35" s="14">
        <v>0</v>
      </c>
      <c r="BC35" s="14">
        <v>0</v>
      </c>
      <c r="BD35" s="14">
        <v>0</v>
      </c>
      <c r="BE35" s="14">
        <v>0</v>
      </c>
      <c r="BF35" s="14">
        <v>0</v>
      </c>
      <c r="BG35" s="14">
        <v>0</v>
      </c>
      <c r="BH35" s="14">
        <v>0</v>
      </c>
      <c r="BI35" s="14">
        <v>0</v>
      </c>
      <c r="BJ35" s="14">
        <v>0</v>
      </c>
      <c r="BK35" s="14">
        <v>0</v>
      </c>
      <c r="BL35" s="14">
        <v>0</v>
      </c>
      <c r="BM35" s="14">
        <v>0</v>
      </c>
      <c r="BN35" s="14">
        <v>0</v>
      </c>
      <c r="BO35" s="14">
        <v>0</v>
      </c>
      <c r="BP35" s="14">
        <v>0</v>
      </c>
      <c r="BQ35" s="14">
        <v>0</v>
      </c>
      <c r="BR35" s="14">
        <v>0</v>
      </c>
      <c r="BS35" s="14">
        <v>0</v>
      </c>
      <c r="BT35" s="14">
        <v>0</v>
      </c>
      <c r="BU35" s="14">
        <v>0</v>
      </c>
      <c r="BV35" s="14">
        <v>0</v>
      </c>
      <c r="BW35" s="14">
        <v>0</v>
      </c>
      <c r="BX35" s="1">
        <v>0</v>
      </c>
      <c r="BY35" s="1">
        <v>0</v>
      </c>
      <c r="BZ35" s="1">
        <v>0</v>
      </c>
      <c r="CA35" s="1">
        <v>0</v>
      </c>
      <c r="CB35" s="1">
        <v>0</v>
      </c>
      <c r="CC35" s="1">
        <v>0</v>
      </c>
      <c r="CD35" s="1">
        <v>0</v>
      </c>
      <c r="CE35" s="1">
        <v>0</v>
      </c>
      <c r="CF35" s="1">
        <v>0</v>
      </c>
      <c r="CG35" s="1">
        <v>0</v>
      </c>
      <c r="CH35" s="1">
        <v>0</v>
      </c>
      <c r="CI35" s="1">
        <v>0</v>
      </c>
      <c r="CJ35" s="1">
        <v>0</v>
      </c>
      <c r="CK35" s="1">
        <v>0</v>
      </c>
      <c r="CL35" s="1">
        <v>0</v>
      </c>
      <c r="CM35" s="1">
        <v>0</v>
      </c>
      <c r="CN35" s="1">
        <v>0</v>
      </c>
      <c r="CO35" s="1">
        <v>0</v>
      </c>
      <c r="CP35" s="1">
        <v>0</v>
      </c>
      <c r="CQ35" s="1">
        <v>0</v>
      </c>
      <c r="CR35" s="1">
        <v>0</v>
      </c>
      <c r="CS35" s="1">
        <v>0</v>
      </c>
      <c r="CT35" s="1">
        <v>0</v>
      </c>
      <c r="CU35" s="1">
        <v>0</v>
      </c>
      <c r="CV35" s="1">
        <v>0</v>
      </c>
      <c r="CW35" s="1">
        <v>0</v>
      </c>
      <c r="CX35" s="1">
        <v>0</v>
      </c>
      <c r="CY35" s="1">
        <v>0</v>
      </c>
      <c r="CZ35" s="1">
        <v>0</v>
      </c>
      <c r="DA35" s="1">
        <v>0</v>
      </c>
      <c r="DB35" s="1">
        <v>0</v>
      </c>
      <c r="DC35" s="1">
        <v>0</v>
      </c>
      <c r="DD35" s="1">
        <v>0</v>
      </c>
      <c r="DE35">
        <v>0</v>
      </c>
      <c r="DF35" s="1">
        <v>0</v>
      </c>
      <c r="DG35">
        <v>0</v>
      </c>
      <c r="DH35" s="1">
        <v>0</v>
      </c>
      <c r="DI35">
        <v>0</v>
      </c>
      <c r="DJ35" s="1">
        <v>0</v>
      </c>
      <c r="DK35">
        <v>0</v>
      </c>
      <c r="DL35" s="1">
        <v>0</v>
      </c>
      <c r="DM35" s="1">
        <v>0</v>
      </c>
      <c r="DN35" s="1">
        <v>0</v>
      </c>
      <c r="DO35">
        <v>0</v>
      </c>
      <c r="DP35" s="1">
        <v>0</v>
      </c>
      <c r="DQ35">
        <v>0</v>
      </c>
      <c r="DR35" s="1">
        <v>0</v>
      </c>
      <c r="DS35">
        <v>0</v>
      </c>
      <c r="DT35" s="1">
        <v>0</v>
      </c>
      <c r="DU35">
        <v>0</v>
      </c>
      <c r="DV35" s="1">
        <v>0</v>
      </c>
      <c r="DW35" s="1">
        <v>0</v>
      </c>
      <c r="DX35" s="1">
        <v>0</v>
      </c>
      <c r="DY35">
        <v>0</v>
      </c>
      <c r="DZ35" s="1">
        <v>0</v>
      </c>
      <c r="EA35">
        <v>0</v>
      </c>
      <c r="EB35" s="1">
        <v>0</v>
      </c>
      <c r="EC35">
        <v>0</v>
      </c>
      <c r="ED35" s="1">
        <v>0</v>
      </c>
      <c r="EE35">
        <v>0</v>
      </c>
      <c r="EF35" s="1">
        <v>0</v>
      </c>
      <c r="EG35" s="1">
        <v>0</v>
      </c>
      <c r="EH35" s="1">
        <v>0</v>
      </c>
      <c r="EI35">
        <v>0</v>
      </c>
      <c r="EJ35" s="1">
        <v>0</v>
      </c>
      <c r="EK35">
        <v>0</v>
      </c>
      <c r="EL35" s="1">
        <v>0</v>
      </c>
      <c r="EM35">
        <v>0</v>
      </c>
      <c r="EN35" s="1">
        <v>0</v>
      </c>
      <c r="EO35">
        <v>0</v>
      </c>
      <c r="EP35" s="1">
        <v>0</v>
      </c>
      <c r="EQ35" s="1">
        <v>0</v>
      </c>
      <c r="ER35" s="1">
        <v>0</v>
      </c>
      <c r="ES35">
        <v>0</v>
      </c>
      <c r="ET35" s="1">
        <v>0</v>
      </c>
      <c r="EU35">
        <v>0</v>
      </c>
      <c r="EV35" s="1">
        <v>0</v>
      </c>
      <c r="EW35">
        <v>0</v>
      </c>
      <c r="EX35" s="1">
        <v>0</v>
      </c>
      <c r="EY35">
        <v>0</v>
      </c>
      <c r="EZ35" s="1">
        <v>0</v>
      </c>
      <c r="FA35" s="1">
        <v>0</v>
      </c>
      <c r="FB35" s="1">
        <v>0</v>
      </c>
      <c r="FC35" s="1">
        <v>0</v>
      </c>
      <c r="FD35" s="1">
        <v>0</v>
      </c>
      <c r="FE35" s="1">
        <v>0</v>
      </c>
      <c r="FF35" s="1">
        <v>0</v>
      </c>
      <c r="FG35" s="1">
        <v>0</v>
      </c>
      <c r="FH35" s="1">
        <v>0</v>
      </c>
      <c r="FI35" s="1">
        <v>0</v>
      </c>
      <c r="FJ35" s="1">
        <v>0</v>
      </c>
      <c r="FK35" s="1">
        <v>0</v>
      </c>
      <c r="FL35" s="1">
        <v>0</v>
      </c>
      <c r="FM35" s="1">
        <v>0</v>
      </c>
      <c r="FN35" s="1">
        <v>0</v>
      </c>
      <c r="FO35" s="1">
        <v>0</v>
      </c>
      <c r="FP35" s="1">
        <v>0</v>
      </c>
      <c r="FQ35" s="1">
        <v>0</v>
      </c>
      <c r="FR35" s="1">
        <v>0</v>
      </c>
      <c r="FS35" s="1">
        <v>0</v>
      </c>
    </row>
    <row r="36" spans="1:175" x14ac:dyDescent="0.3">
      <c r="A36" s="171"/>
      <c r="B36" s="25" t="s">
        <v>136</v>
      </c>
      <c r="C36" s="11" t="s">
        <v>276</v>
      </c>
      <c r="D36" s="2" t="s">
        <v>75</v>
      </c>
      <c r="E36" s="9">
        <v>0</v>
      </c>
      <c r="F36" s="13">
        <v>0</v>
      </c>
      <c r="G36" s="13" t="s">
        <v>76</v>
      </c>
      <c r="H36" s="10">
        <v>0</v>
      </c>
      <c r="I36" t="s">
        <v>12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 s="10">
        <v>0</v>
      </c>
      <c r="Q36" s="10">
        <v>0</v>
      </c>
      <c r="R36" s="10">
        <v>0</v>
      </c>
      <c r="S36" s="10">
        <v>0</v>
      </c>
      <c r="T36" s="10">
        <v>0</v>
      </c>
      <c r="U36" s="10">
        <v>0</v>
      </c>
      <c r="V36" s="10">
        <v>0</v>
      </c>
      <c r="W36" s="10">
        <v>0</v>
      </c>
      <c r="X36" s="10">
        <v>0</v>
      </c>
      <c r="Y36" s="10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 s="14">
        <v>0</v>
      </c>
      <c r="AU36" s="14">
        <v>0</v>
      </c>
      <c r="AV36" s="14">
        <v>0</v>
      </c>
      <c r="AW36" s="14">
        <v>0</v>
      </c>
      <c r="AX36" s="14">
        <v>0</v>
      </c>
      <c r="AY36" s="14">
        <v>0</v>
      </c>
      <c r="AZ36" s="14">
        <v>0</v>
      </c>
      <c r="BA36" s="14">
        <v>0</v>
      </c>
      <c r="BB36" s="14">
        <v>0</v>
      </c>
      <c r="BC36" s="14">
        <v>0</v>
      </c>
      <c r="BD36" s="14">
        <v>0</v>
      </c>
      <c r="BE36" s="14">
        <v>0</v>
      </c>
      <c r="BF36" s="14">
        <v>0</v>
      </c>
      <c r="BG36" s="14">
        <v>0</v>
      </c>
      <c r="BH36" s="14">
        <v>0</v>
      </c>
      <c r="BI36" s="14">
        <v>0</v>
      </c>
      <c r="BJ36" s="14">
        <v>0</v>
      </c>
      <c r="BK36" s="14">
        <v>0</v>
      </c>
      <c r="BL36" s="14">
        <v>0</v>
      </c>
      <c r="BM36" s="14">
        <v>0</v>
      </c>
      <c r="BN36" s="14">
        <v>0</v>
      </c>
      <c r="BO36" s="14">
        <v>0</v>
      </c>
      <c r="BP36" s="14">
        <v>0</v>
      </c>
      <c r="BQ36" s="14">
        <v>0</v>
      </c>
      <c r="BR36" s="14">
        <v>0</v>
      </c>
      <c r="BS36" s="14">
        <v>0</v>
      </c>
      <c r="BT36" s="14">
        <v>0</v>
      </c>
      <c r="BU36" s="14">
        <v>0</v>
      </c>
      <c r="BV36" s="14">
        <v>0</v>
      </c>
      <c r="BW36" s="14">
        <v>0</v>
      </c>
      <c r="BX36" s="10">
        <v>0</v>
      </c>
      <c r="BY36" s="10">
        <v>0</v>
      </c>
      <c r="BZ36" s="10">
        <v>0</v>
      </c>
      <c r="CA36" s="10">
        <v>0</v>
      </c>
      <c r="CB36" s="10">
        <v>0</v>
      </c>
      <c r="CC36" s="10">
        <v>0</v>
      </c>
      <c r="CD36" s="10">
        <v>0</v>
      </c>
      <c r="CE36" s="10">
        <v>0</v>
      </c>
      <c r="CF36" s="10">
        <v>0</v>
      </c>
      <c r="CG36" s="10">
        <v>0</v>
      </c>
      <c r="CH36" s="10">
        <v>0</v>
      </c>
      <c r="CI36" s="10">
        <v>0</v>
      </c>
      <c r="CJ36" s="10">
        <v>0</v>
      </c>
      <c r="CK36">
        <v>0</v>
      </c>
      <c r="CL36" s="10">
        <v>0</v>
      </c>
      <c r="CM36">
        <v>0</v>
      </c>
      <c r="CN36" s="10">
        <v>0</v>
      </c>
      <c r="CO36">
        <v>0</v>
      </c>
      <c r="CP36" s="10">
        <v>0</v>
      </c>
      <c r="CQ36">
        <v>0</v>
      </c>
      <c r="CR36" s="10">
        <v>0</v>
      </c>
      <c r="CS36" s="10">
        <v>0</v>
      </c>
      <c r="CT36" s="10">
        <v>0</v>
      </c>
      <c r="CU36">
        <v>0</v>
      </c>
      <c r="CV36" s="10">
        <v>0</v>
      </c>
      <c r="CW36">
        <v>0</v>
      </c>
      <c r="CX36" s="10">
        <v>0</v>
      </c>
      <c r="CY36">
        <v>0</v>
      </c>
      <c r="CZ36" s="10">
        <v>0</v>
      </c>
      <c r="DA36">
        <v>0</v>
      </c>
      <c r="DB36" s="10">
        <v>0</v>
      </c>
      <c r="DC36" s="10">
        <v>0</v>
      </c>
      <c r="DD36" s="10">
        <v>0</v>
      </c>
      <c r="DE36">
        <v>0</v>
      </c>
      <c r="DF36" s="10">
        <v>0</v>
      </c>
      <c r="DG36">
        <v>0</v>
      </c>
      <c r="DH36" s="10">
        <v>0</v>
      </c>
      <c r="DI36">
        <v>0</v>
      </c>
      <c r="DJ36" s="10">
        <v>0</v>
      </c>
      <c r="DK36">
        <v>0</v>
      </c>
      <c r="DL36" s="10">
        <v>0</v>
      </c>
      <c r="DM36" s="10">
        <v>0</v>
      </c>
      <c r="DN36" s="10">
        <v>0</v>
      </c>
      <c r="DO36">
        <v>0</v>
      </c>
      <c r="DP36" s="10">
        <v>0</v>
      </c>
      <c r="DQ36">
        <v>0</v>
      </c>
      <c r="DR36" s="10">
        <v>0</v>
      </c>
      <c r="DS36">
        <v>0</v>
      </c>
      <c r="DT36" s="10">
        <v>0</v>
      </c>
      <c r="DU36">
        <v>0</v>
      </c>
      <c r="DV36" s="10">
        <v>0</v>
      </c>
      <c r="DW36" s="10">
        <v>0</v>
      </c>
      <c r="DX36" s="10">
        <v>0</v>
      </c>
      <c r="DY36">
        <v>0</v>
      </c>
      <c r="DZ36" s="10">
        <v>0</v>
      </c>
      <c r="EA36">
        <v>0</v>
      </c>
      <c r="EB36" s="10">
        <v>0</v>
      </c>
      <c r="EC36">
        <v>0</v>
      </c>
      <c r="ED36" s="10">
        <v>0</v>
      </c>
      <c r="EE36">
        <v>0</v>
      </c>
      <c r="EF36" s="10">
        <v>0</v>
      </c>
      <c r="EG36" s="10">
        <v>0</v>
      </c>
      <c r="EH36" s="10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 s="10">
        <v>0</v>
      </c>
      <c r="EQ36" s="10">
        <v>0</v>
      </c>
      <c r="ER36" s="10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 s="10">
        <v>0</v>
      </c>
      <c r="FK36" s="10">
        <v>0</v>
      </c>
      <c r="FL36" s="10">
        <v>0</v>
      </c>
      <c r="FM36">
        <v>0</v>
      </c>
      <c r="FN36" s="10">
        <v>0</v>
      </c>
      <c r="FO36">
        <v>0</v>
      </c>
      <c r="FP36" s="10">
        <v>0</v>
      </c>
      <c r="FQ36">
        <v>0</v>
      </c>
      <c r="FR36" s="10">
        <v>0</v>
      </c>
      <c r="FS36">
        <v>0</v>
      </c>
    </row>
    <row r="37" spans="1:175" x14ac:dyDescent="0.3">
      <c r="A37" s="171"/>
      <c r="B37" s="25" t="s">
        <v>137</v>
      </c>
      <c r="C37" s="11" t="s">
        <v>276</v>
      </c>
      <c r="D37" s="2" t="s">
        <v>407</v>
      </c>
      <c r="E37" s="9">
        <v>0</v>
      </c>
      <c r="F37" s="13">
        <v>0</v>
      </c>
      <c r="G37" s="13" t="s">
        <v>411</v>
      </c>
      <c r="H37" s="10">
        <v>0</v>
      </c>
      <c r="I37" t="s">
        <v>12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 s="10">
        <v>0</v>
      </c>
      <c r="Q37" s="10">
        <v>0</v>
      </c>
      <c r="R37" s="10">
        <v>0</v>
      </c>
      <c r="S37" s="10">
        <v>0</v>
      </c>
      <c r="T37" s="10">
        <v>0</v>
      </c>
      <c r="U37" s="10">
        <v>0</v>
      </c>
      <c r="V37" s="10">
        <v>0</v>
      </c>
      <c r="W37" s="10">
        <v>0</v>
      </c>
      <c r="X37" s="10">
        <v>0</v>
      </c>
      <c r="Y37" s="10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 s="14">
        <v>0</v>
      </c>
      <c r="AU37" s="14">
        <v>0</v>
      </c>
      <c r="AV37" s="14">
        <v>0</v>
      </c>
      <c r="AW37" s="14">
        <v>0</v>
      </c>
      <c r="AX37" s="14">
        <v>0</v>
      </c>
      <c r="AY37" s="14">
        <v>0</v>
      </c>
      <c r="AZ37" s="14">
        <v>0</v>
      </c>
      <c r="BA37" s="14">
        <v>0</v>
      </c>
      <c r="BB37" s="14">
        <v>0</v>
      </c>
      <c r="BC37" s="14">
        <v>0</v>
      </c>
      <c r="BD37" s="14">
        <v>0</v>
      </c>
      <c r="BE37" s="14">
        <v>0</v>
      </c>
      <c r="BF37" s="14">
        <v>0</v>
      </c>
      <c r="BG37" s="14">
        <v>0</v>
      </c>
      <c r="BH37" s="14">
        <v>0</v>
      </c>
      <c r="BI37" s="14">
        <v>0</v>
      </c>
      <c r="BJ37" s="14">
        <v>0</v>
      </c>
      <c r="BK37" s="14">
        <v>0</v>
      </c>
      <c r="BL37" s="14">
        <v>0</v>
      </c>
      <c r="BM37" s="14">
        <v>0</v>
      </c>
      <c r="BN37" s="14">
        <v>0</v>
      </c>
      <c r="BO37" s="14">
        <v>0</v>
      </c>
      <c r="BP37" s="14">
        <v>0</v>
      </c>
      <c r="BQ37" s="14">
        <v>0</v>
      </c>
      <c r="BR37" s="14">
        <v>0</v>
      </c>
      <c r="BS37" s="14">
        <v>0</v>
      </c>
      <c r="BT37" s="14">
        <v>0</v>
      </c>
      <c r="BU37" s="14">
        <v>0</v>
      </c>
      <c r="BV37" s="14">
        <v>0</v>
      </c>
      <c r="BW37" s="14">
        <v>0</v>
      </c>
      <c r="BX37" s="10">
        <v>0</v>
      </c>
      <c r="BY37" s="10">
        <v>0</v>
      </c>
      <c r="BZ37" s="10">
        <v>0</v>
      </c>
      <c r="CA37" s="10">
        <v>0</v>
      </c>
      <c r="CB37" s="10">
        <v>0</v>
      </c>
      <c r="CC37" s="10">
        <v>0</v>
      </c>
      <c r="CD37" s="10">
        <v>0</v>
      </c>
      <c r="CE37" s="10">
        <v>0</v>
      </c>
      <c r="CF37" s="10">
        <v>0</v>
      </c>
      <c r="CG37" s="10">
        <v>0</v>
      </c>
      <c r="CH37" s="10">
        <v>0</v>
      </c>
      <c r="CI37" s="10">
        <v>0</v>
      </c>
      <c r="CJ37" s="10">
        <v>0</v>
      </c>
      <c r="CK37">
        <v>0</v>
      </c>
      <c r="CL37" s="10">
        <v>0</v>
      </c>
      <c r="CM37">
        <v>0</v>
      </c>
      <c r="CN37" s="10">
        <v>0</v>
      </c>
      <c r="CO37">
        <v>0</v>
      </c>
      <c r="CP37" s="10">
        <v>0</v>
      </c>
      <c r="CQ37">
        <v>0</v>
      </c>
      <c r="CR37" s="10">
        <v>0</v>
      </c>
      <c r="CS37" s="10">
        <v>0</v>
      </c>
      <c r="CT37" s="10">
        <v>0</v>
      </c>
      <c r="CU37">
        <v>0</v>
      </c>
      <c r="CV37" s="10">
        <v>0</v>
      </c>
      <c r="CW37">
        <v>0</v>
      </c>
      <c r="CX37" s="10">
        <v>0</v>
      </c>
      <c r="CY37">
        <v>0</v>
      </c>
      <c r="CZ37" s="10">
        <v>0</v>
      </c>
      <c r="DA37">
        <v>0</v>
      </c>
      <c r="DB37" s="10">
        <v>0</v>
      </c>
      <c r="DC37" s="10">
        <v>0</v>
      </c>
      <c r="DD37" s="10">
        <v>0</v>
      </c>
      <c r="DE37">
        <v>0</v>
      </c>
      <c r="DF37" s="10">
        <v>0</v>
      </c>
      <c r="DG37">
        <v>0</v>
      </c>
      <c r="DH37" s="10">
        <v>0</v>
      </c>
      <c r="DI37">
        <v>0</v>
      </c>
      <c r="DJ37" s="10">
        <v>0</v>
      </c>
      <c r="DK37">
        <v>0</v>
      </c>
      <c r="DL37" s="10">
        <v>0</v>
      </c>
      <c r="DM37" s="10">
        <v>0</v>
      </c>
      <c r="DN37" s="10">
        <v>0</v>
      </c>
      <c r="DO37">
        <v>0</v>
      </c>
      <c r="DP37" s="10">
        <v>0</v>
      </c>
      <c r="DQ37">
        <v>0</v>
      </c>
      <c r="DR37" s="10">
        <v>0</v>
      </c>
      <c r="DS37">
        <v>0</v>
      </c>
      <c r="DT37" s="10">
        <v>0</v>
      </c>
      <c r="DU37">
        <v>0</v>
      </c>
      <c r="DV37" s="10">
        <v>0</v>
      </c>
      <c r="DW37" s="10">
        <v>0</v>
      </c>
      <c r="DX37" s="10">
        <v>0</v>
      </c>
      <c r="DY37">
        <v>0</v>
      </c>
      <c r="DZ37" s="10">
        <v>0</v>
      </c>
      <c r="EA37">
        <v>0</v>
      </c>
      <c r="EB37" s="10">
        <v>0</v>
      </c>
      <c r="EC37">
        <v>0</v>
      </c>
      <c r="ED37" s="10">
        <v>0</v>
      </c>
      <c r="EE37">
        <v>0</v>
      </c>
      <c r="EF37" s="10">
        <v>0</v>
      </c>
      <c r="EG37" s="10">
        <v>0</v>
      </c>
      <c r="EH37" s="10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 s="10">
        <v>0</v>
      </c>
      <c r="EQ37" s="10">
        <v>0</v>
      </c>
      <c r="ER37" s="10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 s="10">
        <v>0</v>
      </c>
      <c r="FK37" s="10">
        <v>0</v>
      </c>
      <c r="FL37" s="10">
        <v>0</v>
      </c>
      <c r="FM37">
        <v>0</v>
      </c>
      <c r="FN37" s="10">
        <v>0</v>
      </c>
      <c r="FO37">
        <v>0</v>
      </c>
      <c r="FP37" s="10">
        <v>0</v>
      </c>
      <c r="FQ37">
        <v>0</v>
      </c>
      <c r="FR37" s="10">
        <v>0</v>
      </c>
      <c r="FS37">
        <v>0</v>
      </c>
    </row>
    <row r="38" spans="1:175" x14ac:dyDescent="0.3">
      <c r="A38" s="171"/>
      <c r="B38" s="25" t="s">
        <v>138</v>
      </c>
      <c r="C38" s="11" t="s">
        <v>276</v>
      </c>
      <c r="D38" s="2" t="s">
        <v>408</v>
      </c>
      <c r="E38" s="9">
        <v>0</v>
      </c>
      <c r="F38" s="13">
        <v>0</v>
      </c>
      <c r="G38" s="13" t="s">
        <v>412</v>
      </c>
      <c r="H38" s="10">
        <v>0</v>
      </c>
      <c r="I38" t="s">
        <v>12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 s="10">
        <v>0</v>
      </c>
      <c r="Q38" s="10">
        <v>0</v>
      </c>
      <c r="R38" s="10">
        <v>0</v>
      </c>
      <c r="S38" s="10">
        <v>0</v>
      </c>
      <c r="T38" s="10">
        <v>0</v>
      </c>
      <c r="U38" s="10">
        <v>0</v>
      </c>
      <c r="V38" s="10">
        <v>0</v>
      </c>
      <c r="W38" s="10">
        <v>0</v>
      </c>
      <c r="X38" s="10">
        <v>0</v>
      </c>
      <c r="Y38" s="10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 s="14">
        <v>0</v>
      </c>
      <c r="AU38" s="14">
        <v>0</v>
      </c>
      <c r="AV38" s="14">
        <v>0</v>
      </c>
      <c r="AW38" s="14">
        <v>0</v>
      </c>
      <c r="AX38" s="14">
        <v>0</v>
      </c>
      <c r="AY38" s="14">
        <v>0</v>
      </c>
      <c r="AZ38" s="14">
        <v>0</v>
      </c>
      <c r="BA38" s="14">
        <v>0</v>
      </c>
      <c r="BB38" s="14">
        <v>0</v>
      </c>
      <c r="BC38" s="14">
        <v>0</v>
      </c>
      <c r="BD38" s="14">
        <v>0</v>
      </c>
      <c r="BE38" s="14">
        <v>0</v>
      </c>
      <c r="BF38" s="14">
        <v>0</v>
      </c>
      <c r="BG38" s="14">
        <v>0</v>
      </c>
      <c r="BH38" s="14">
        <v>0</v>
      </c>
      <c r="BI38" s="14">
        <v>0</v>
      </c>
      <c r="BJ38" s="14">
        <v>0</v>
      </c>
      <c r="BK38" s="14">
        <v>0</v>
      </c>
      <c r="BL38" s="14">
        <v>0</v>
      </c>
      <c r="BM38" s="14">
        <v>0</v>
      </c>
      <c r="BN38" s="14">
        <v>0</v>
      </c>
      <c r="BO38" s="14">
        <v>0</v>
      </c>
      <c r="BP38" s="14">
        <v>0</v>
      </c>
      <c r="BQ38" s="14">
        <v>0</v>
      </c>
      <c r="BR38" s="14">
        <v>0</v>
      </c>
      <c r="BS38" s="14">
        <v>0</v>
      </c>
      <c r="BT38" s="14">
        <v>0</v>
      </c>
      <c r="BU38" s="14">
        <v>0</v>
      </c>
      <c r="BV38" s="14">
        <v>0</v>
      </c>
      <c r="BW38" s="14">
        <v>0</v>
      </c>
      <c r="BX38" s="10">
        <v>0</v>
      </c>
      <c r="BY38" s="10">
        <v>0</v>
      </c>
      <c r="BZ38" s="10">
        <v>0</v>
      </c>
      <c r="CA38" s="10">
        <v>0</v>
      </c>
      <c r="CB38" s="10">
        <v>0</v>
      </c>
      <c r="CC38" s="10">
        <v>0</v>
      </c>
      <c r="CD38" s="10">
        <v>0</v>
      </c>
      <c r="CE38" s="10">
        <v>0</v>
      </c>
      <c r="CF38" s="10">
        <v>0</v>
      </c>
      <c r="CG38" s="10">
        <v>0</v>
      </c>
      <c r="CH38" s="10">
        <v>0</v>
      </c>
      <c r="CI38" s="10">
        <v>0</v>
      </c>
      <c r="CJ38" s="10">
        <v>0</v>
      </c>
      <c r="CK38">
        <v>0</v>
      </c>
      <c r="CL38" s="10">
        <v>0</v>
      </c>
      <c r="CM38">
        <v>0</v>
      </c>
      <c r="CN38" s="10">
        <v>0</v>
      </c>
      <c r="CO38">
        <v>0</v>
      </c>
      <c r="CP38" s="10">
        <v>0</v>
      </c>
      <c r="CQ38">
        <v>0</v>
      </c>
      <c r="CR38" s="10">
        <v>0</v>
      </c>
      <c r="CS38" s="10">
        <v>0</v>
      </c>
      <c r="CT38" s="10">
        <v>0</v>
      </c>
      <c r="CU38">
        <v>0</v>
      </c>
      <c r="CV38" s="10">
        <v>0</v>
      </c>
      <c r="CW38">
        <v>0</v>
      </c>
      <c r="CX38" s="10">
        <v>0</v>
      </c>
      <c r="CY38">
        <v>0</v>
      </c>
      <c r="CZ38" s="10">
        <v>0</v>
      </c>
      <c r="DA38">
        <v>0</v>
      </c>
      <c r="DB38" s="10">
        <v>0</v>
      </c>
      <c r="DC38" s="10">
        <v>0</v>
      </c>
      <c r="DD38" s="10">
        <v>0</v>
      </c>
      <c r="DE38">
        <v>0</v>
      </c>
      <c r="DF38" s="10">
        <v>0</v>
      </c>
      <c r="DG38">
        <v>0</v>
      </c>
      <c r="DH38" s="10">
        <v>0</v>
      </c>
      <c r="DI38">
        <v>0</v>
      </c>
      <c r="DJ38" s="10">
        <v>0</v>
      </c>
      <c r="DK38">
        <v>0</v>
      </c>
      <c r="DL38" s="10">
        <v>0</v>
      </c>
      <c r="DM38" s="10">
        <v>0</v>
      </c>
      <c r="DN38" s="10">
        <v>0</v>
      </c>
      <c r="DO38">
        <v>0</v>
      </c>
      <c r="DP38" s="10">
        <v>0</v>
      </c>
      <c r="DQ38">
        <v>0</v>
      </c>
      <c r="DR38" s="10">
        <v>0</v>
      </c>
      <c r="DS38">
        <v>0</v>
      </c>
      <c r="DT38" s="10">
        <v>0</v>
      </c>
      <c r="DU38">
        <v>0</v>
      </c>
      <c r="DV38" s="10">
        <v>0</v>
      </c>
      <c r="DW38" s="10">
        <v>0</v>
      </c>
      <c r="DX38" s="10">
        <v>0</v>
      </c>
      <c r="DY38">
        <v>0</v>
      </c>
      <c r="DZ38" s="10">
        <v>0</v>
      </c>
      <c r="EA38">
        <v>0</v>
      </c>
      <c r="EB38" s="10">
        <v>0</v>
      </c>
      <c r="EC38">
        <v>0</v>
      </c>
      <c r="ED38" s="10">
        <v>0</v>
      </c>
      <c r="EE38">
        <v>0</v>
      </c>
      <c r="EF38" s="10">
        <v>0</v>
      </c>
      <c r="EG38" s="10">
        <v>0</v>
      </c>
      <c r="EH38" s="10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 s="10">
        <v>0</v>
      </c>
      <c r="EQ38" s="10">
        <v>0</v>
      </c>
      <c r="ER38" s="10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 s="10">
        <v>0</v>
      </c>
      <c r="FK38" s="10">
        <v>0</v>
      </c>
      <c r="FL38" s="10">
        <v>0</v>
      </c>
      <c r="FM38">
        <v>0</v>
      </c>
      <c r="FN38" s="10">
        <v>0</v>
      </c>
      <c r="FO38">
        <v>0</v>
      </c>
      <c r="FP38" s="10">
        <v>0</v>
      </c>
      <c r="FQ38">
        <v>0</v>
      </c>
      <c r="FR38" s="10">
        <v>0</v>
      </c>
      <c r="FS38">
        <v>0</v>
      </c>
    </row>
    <row r="39" spans="1:175" x14ac:dyDescent="0.3">
      <c r="A39" s="171"/>
      <c r="B39" s="25" t="s">
        <v>139</v>
      </c>
      <c r="C39" s="11" t="s">
        <v>276</v>
      </c>
      <c r="D39" s="2" t="s">
        <v>409</v>
      </c>
      <c r="E39" s="9">
        <v>0</v>
      </c>
      <c r="F39" s="13">
        <v>0</v>
      </c>
      <c r="G39" s="13" t="s">
        <v>413</v>
      </c>
      <c r="H39" s="10">
        <v>0</v>
      </c>
      <c r="I39" t="s">
        <v>12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 s="10">
        <v>0</v>
      </c>
      <c r="Q39" s="10">
        <v>0</v>
      </c>
      <c r="R39" s="10">
        <v>0</v>
      </c>
      <c r="S39" s="10">
        <v>0</v>
      </c>
      <c r="T39" s="10">
        <v>0</v>
      </c>
      <c r="U39" s="10">
        <v>0</v>
      </c>
      <c r="V39" s="10">
        <v>0</v>
      </c>
      <c r="W39" s="10">
        <v>0</v>
      </c>
      <c r="X39" s="10">
        <v>0</v>
      </c>
      <c r="Y39" s="10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 s="14">
        <v>0</v>
      </c>
      <c r="AU39" s="14">
        <v>0</v>
      </c>
      <c r="AV39" s="14">
        <v>0</v>
      </c>
      <c r="AW39" s="14">
        <v>0</v>
      </c>
      <c r="AX39" s="14">
        <v>0</v>
      </c>
      <c r="AY39" s="14">
        <v>0</v>
      </c>
      <c r="AZ39" s="14">
        <v>0</v>
      </c>
      <c r="BA39" s="14">
        <v>0</v>
      </c>
      <c r="BB39" s="14">
        <v>0</v>
      </c>
      <c r="BC39" s="14">
        <v>0</v>
      </c>
      <c r="BD39" s="14">
        <v>0</v>
      </c>
      <c r="BE39" s="14">
        <v>0</v>
      </c>
      <c r="BF39" s="14">
        <v>0</v>
      </c>
      <c r="BG39" s="14">
        <v>0</v>
      </c>
      <c r="BH39" s="14">
        <v>0</v>
      </c>
      <c r="BI39" s="14">
        <v>0</v>
      </c>
      <c r="BJ39" s="14">
        <v>0</v>
      </c>
      <c r="BK39" s="14">
        <v>0</v>
      </c>
      <c r="BL39" s="14">
        <v>0</v>
      </c>
      <c r="BM39" s="14">
        <v>0</v>
      </c>
      <c r="BN39" s="14">
        <v>0</v>
      </c>
      <c r="BO39" s="14">
        <v>0</v>
      </c>
      <c r="BP39" s="14">
        <v>0</v>
      </c>
      <c r="BQ39" s="14">
        <v>0</v>
      </c>
      <c r="BR39" s="14">
        <v>0</v>
      </c>
      <c r="BS39" s="14">
        <v>0</v>
      </c>
      <c r="BT39" s="14">
        <v>0</v>
      </c>
      <c r="BU39" s="14">
        <v>0</v>
      </c>
      <c r="BV39" s="14">
        <v>0</v>
      </c>
      <c r="BW39" s="14">
        <v>0</v>
      </c>
      <c r="BX39" s="10">
        <v>0</v>
      </c>
      <c r="BY39" s="10">
        <v>0</v>
      </c>
      <c r="BZ39" s="10">
        <v>0</v>
      </c>
      <c r="CA39" s="10">
        <v>0</v>
      </c>
      <c r="CB39" s="10">
        <v>0</v>
      </c>
      <c r="CC39" s="10">
        <v>0</v>
      </c>
      <c r="CD39" s="10">
        <v>0</v>
      </c>
      <c r="CE39" s="10">
        <v>0</v>
      </c>
      <c r="CF39" s="10">
        <v>0</v>
      </c>
      <c r="CG39" s="10">
        <v>0</v>
      </c>
      <c r="CH39" s="10">
        <v>0</v>
      </c>
      <c r="CI39" s="10">
        <v>0</v>
      </c>
      <c r="CJ39" s="10">
        <v>0</v>
      </c>
      <c r="CK39">
        <v>0</v>
      </c>
      <c r="CL39" s="10">
        <v>0</v>
      </c>
      <c r="CM39">
        <v>0</v>
      </c>
      <c r="CN39" s="10">
        <v>0</v>
      </c>
      <c r="CO39">
        <v>0</v>
      </c>
      <c r="CP39" s="10">
        <v>0</v>
      </c>
      <c r="CQ39">
        <v>0</v>
      </c>
      <c r="CR39" s="10">
        <v>0</v>
      </c>
      <c r="CS39" s="10">
        <v>0</v>
      </c>
      <c r="CT39" s="10">
        <v>0</v>
      </c>
      <c r="CU39">
        <v>0</v>
      </c>
      <c r="CV39" s="10">
        <v>0</v>
      </c>
      <c r="CW39">
        <v>0</v>
      </c>
      <c r="CX39" s="10">
        <v>0</v>
      </c>
      <c r="CY39">
        <v>0</v>
      </c>
      <c r="CZ39" s="10">
        <v>0</v>
      </c>
      <c r="DA39">
        <v>0</v>
      </c>
      <c r="DB39" s="10">
        <v>0</v>
      </c>
      <c r="DC39" s="10">
        <v>0</v>
      </c>
      <c r="DD39" s="10">
        <v>0</v>
      </c>
      <c r="DE39">
        <v>0</v>
      </c>
      <c r="DF39" s="10">
        <v>0</v>
      </c>
      <c r="DG39">
        <v>0</v>
      </c>
      <c r="DH39" s="10">
        <v>0</v>
      </c>
      <c r="DI39">
        <v>0</v>
      </c>
      <c r="DJ39" s="10">
        <v>0</v>
      </c>
      <c r="DK39">
        <v>0</v>
      </c>
      <c r="DL39" s="10">
        <v>0</v>
      </c>
      <c r="DM39" s="10">
        <v>0</v>
      </c>
      <c r="DN39" s="10">
        <v>0</v>
      </c>
      <c r="DO39">
        <v>0</v>
      </c>
      <c r="DP39" s="10">
        <v>0</v>
      </c>
      <c r="DQ39">
        <v>0</v>
      </c>
      <c r="DR39" s="10">
        <v>0</v>
      </c>
      <c r="DS39">
        <v>0</v>
      </c>
      <c r="DT39" s="10">
        <v>0</v>
      </c>
      <c r="DU39">
        <v>0</v>
      </c>
      <c r="DV39" s="10">
        <v>0</v>
      </c>
      <c r="DW39" s="10">
        <v>0</v>
      </c>
      <c r="DX39" s="10">
        <v>0</v>
      </c>
      <c r="DY39">
        <v>0</v>
      </c>
      <c r="DZ39" s="10">
        <v>0</v>
      </c>
      <c r="EA39">
        <v>0</v>
      </c>
      <c r="EB39" s="10">
        <v>0</v>
      </c>
      <c r="EC39">
        <v>0</v>
      </c>
      <c r="ED39" s="10">
        <v>0</v>
      </c>
      <c r="EE39">
        <v>0</v>
      </c>
      <c r="EF39" s="10">
        <v>0</v>
      </c>
      <c r="EG39" s="10">
        <v>0</v>
      </c>
      <c r="EH39" s="10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 s="10">
        <v>0</v>
      </c>
      <c r="EQ39" s="10">
        <v>0</v>
      </c>
      <c r="ER39" s="10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 s="10">
        <v>0</v>
      </c>
      <c r="FK39" s="10">
        <v>0</v>
      </c>
      <c r="FL39" s="10">
        <v>0</v>
      </c>
      <c r="FM39">
        <v>0</v>
      </c>
      <c r="FN39" s="10">
        <v>0</v>
      </c>
      <c r="FO39">
        <v>0</v>
      </c>
      <c r="FP39" s="10">
        <v>0</v>
      </c>
      <c r="FQ39">
        <v>0</v>
      </c>
      <c r="FR39" s="10">
        <v>0</v>
      </c>
      <c r="FS39">
        <v>0</v>
      </c>
    </row>
    <row r="40" spans="1:175" x14ac:dyDescent="0.3">
      <c r="A40" s="171"/>
      <c r="B40" s="25" t="s">
        <v>249</v>
      </c>
      <c r="C40" s="11" t="s">
        <v>276</v>
      </c>
      <c r="D40" s="2" t="s">
        <v>410</v>
      </c>
      <c r="E40" s="9">
        <v>0</v>
      </c>
      <c r="F40" s="13">
        <v>0</v>
      </c>
      <c r="G40" s="13" t="s">
        <v>414</v>
      </c>
      <c r="H40" s="10">
        <v>0</v>
      </c>
      <c r="I40" t="s">
        <v>12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 s="10">
        <v>0</v>
      </c>
      <c r="Q40" s="10">
        <v>0</v>
      </c>
      <c r="R40" s="10">
        <v>0</v>
      </c>
      <c r="S40" s="10">
        <v>0</v>
      </c>
      <c r="T40" s="10">
        <v>0</v>
      </c>
      <c r="U40" s="10">
        <v>0</v>
      </c>
      <c r="V40" s="10">
        <v>0</v>
      </c>
      <c r="W40" s="10">
        <v>0</v>
      </c>
      <c r="X40" s="10">
        <v>0</v>
      </c>
      <c r="Y40" s="1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 s="14">
        <v>0</v>
      </c>
      <c r="AU40" s="14">
        <v>0</v>
      </c>
      <c r="AV40" s="14">
        <v>0</v>
      </c>
      <c r="AW40" s="14">
        <v>0</v>
      </c>
      <c r="AX40" s="14">
        <v>0</v>
      </c>
      <c r="AY40" s="14">
        <v>0</v>
      </c>
      <c r="AZ40" s="14">
        <v>0</v>
      </c>
      <c r="BA40" s="14">
        <v>0</v>
      </c>
      <c r="BB40" s="14">
        <v>0</v>
      </c>
      <c r="BC40" s="14">
        <v>0</v>
      </c>
      <c r="BD40" s="14">
        <v>0</v>
      </c>
      <c r="BE40" s="14">
        <v>0</v>
      </c>
      <c r="BF40" s="14">
        <v>0</v>
      </c>
      <c r="BG40" s="14">
        <v>0</v>
      </c>
      <c r="BH40" s="14">
        <v>0</v>
      </c>
      <c r="BI40" s="14">
        <v>0</v>
      </c>
      <c r="BJ40" s="14">
        <v>0</v>
      </c>
      <c r="BK40" s="14">
        <v>0</v>
      </c>
      <c r="BL40" s="14">
        <v>0</v>
      </c>
      <c r="BM40" s="14">
        <v>0</v>
      </c>
      <c r="BN40" s="14">
        <v>0</v>
      </c>
      <c r="BO40" s="14">
        <v>0</v>
      </c>
      <c r="BP40" s="14">
        <v>0</v>
      </c>
      <c r="BQ40" s="14">
        <v>0</v>
      </c>
      <c r="BR40" s="14">
        <v>0</v>
      </c>
      <c r="BS40" s="14">
        <v>0</v>
      </c>
      <c r="BT40" s="14">
        <v>0</v>
      </c>
      <c r="BU40" s="14">
        <v>0</v>
      </c>
      <c r="BV40" s="14">
        <v>0</v>
      </c>
      <c r="BW40" s="14">
        <v>0</v>
      </c>
      <c r="BX40" s="10">
        <v>0</v>
      </c>
      <c r="BY40" s="10">
        <v>0</v>
      </c>
      <c r="BZ40" s="10">
        <v>0</v>
      </c>
      <c r="CA40" s="10">
        <v>0</v>
      </c>
      <c r="CB40" s="10">
        <v>0</v>
      </c>
      <c r="CC40" s="10">
        <v>0</v>
      </c>
      <c r="CD40" s="10">
        <v>0</v>
      </c>
      <c r="CE40" s="10">
        <v>0</v>
      </c>
      <c r="CF40" s="10">
        <v>0</v>
      </c>
      <c r="CG40" s="10">
        <v>0</v>
      </c>
      <c r="CH40" s="10">
        <v>0</v>
      </c>
      <c r="CI40" s="10">
        <v>0</v>
      </c>
      <c r="CJ40" s="10">
        <v>0</v>
      </c>
      <c r="CK40">
        <v>0</v>
      </c>
      <c r="CL40" s="10">
        <v>0</v>
      </c>
      <c r="CM40">
        <v>0</v>
      </c>
      <c r="CN40" s="10">
        <v>0</v>
      </c>
      <c r="CO40">
        <v>0</v>
      </c>
      <c r="CP40" s="10">
        <v>0</v>
      </c>
      <c r="CQ40">
        <v>0</v>
      </c>
      <c r="CR40" s="10">
        <v>0</v>
      </c>
      <c r="CS40" s="10">
        <v>0</v>
      </c>
      <c r="CT40" s="10">
        <v>0</v>
      </c>
      <c r="CU40">
        <v>0</v>
      </c>
      <c r="CV40" s="10">
        <v>0</v>
      </c>
      <c r="CW40">
        <v>0</v>
      </c>
      <c r="CX40" s="10">
        <v>0</v>
      </c>
      <c r="CY40">
        <v>0</v>
      </c>
      <c r="CZ40" s="10">
        <v>0</v>
      </c>
      <c r="DA40">
        <v>0</v>
      </c>
      <c r="DB40" s="10">
        <v>0</v>
      </c>
      <c r="DC40" s="10">
        <v>0</v>
      </c>
      <c r="DD40" s="10">
        <v>0</v>
      </c>
      <c r="DE40">
        <v>0</v>
      </c>
      <c r="DF40" s="10">
        <v>0</v>
      </c>
      <c r="DG40">
        <v>0</v>
      </c>
      <c r="DH40" s="10">
        <v>0</v>
      </c>
      <c r="DI40">
        <v>0</v>
      </c>
      <c r="DJ40" s="10">
        <v>0</v>
      </c>
      <c r="DK40">
        <v>0</v>
      </c>
      <c r="DL40" s="10">
        <v>0</v>
      </c>
      <c r="DM40" s="10">
        <v>0</v>
      </c>
      <c r="DN40" s="10">
        <v>0</v>
      </c>
      <c r="DO40">
        <v>0</v>
      </c>
      <c r="DP40" s="10">
        <v>0</v>
      </c>
      <c r="DQ40">
        <v>0</v>
      </c>
      <c r="DR40" s="10">
        <v>0</v>
      </c>
      <c r="DS40">
        <v>0</v>
      </c>
      <c r="DT40" s="10">
        <v>0</v>
      </c>
      <c r="DU40">
        <v>0</v>
      </c>
      <c r="DV40" s="10">
        <v>0</v>
      </c>
      <c r="DW40" s="10">
        <v>0</v>
      </c>
      <c r="DX40" s="10">
        <v>0</v>
      </c>
      <c r="DY40">
        <v>0</v>
      </c>
      <c r="DZ40" s="10">
        <v>0</v>
      </c>
      <c r="EA40">
        <v>0</v>
      </c>
      <c r="EB40" s="10">
        <v>0</v>
      </c>
      <c r="EC40">
        <v>0</v>
      </c>
      <c r="ED40" s="10">
        <v>0</v>
      </c>
      <c r="EE40">
        <v>0</v>
      </c>
      <c r="EF40" s="10">
        <v>0</v>
      </c>
      <c r="EG40" s="10">
        <v>0</v>
      </c>
      <c r="EH40" s="1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 s="10">
        <v>0</v>
      </c>
      <c r="EQ40" s="10">
        <v>0</v>
      </c>
      <c r="ER40" s="1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 s="10">
        <v>0</v>
      </c>
      <c r="FK40" s="10">
        <v>0</v>
      </c>
      <c r="FL40" s="10">
        <v>0</v>
      </c>
      <c r="FM40">
        <v>0</v>
      </c>
      <c r="FN40" s="10">
        <v>0</v>
      </c>
      <c r="FO40">
        <v>0</v>
      </c>
      <c r="FP40" s="10">
        <v>0</v>
      </c>
      <c r="FQ40">
        <v>0</v>
      </c>
      <c r="FR40" s="10">
        <v>0</v>
      </c>
      <c r="FS40">
        <v>0</v>
      </c>
    </row>
    <row r="41" spans="1:175" x14ac:dyDescent="0.3">
      <c r="A41" s="171"/>
      <c r="B41" s="25" t="s">
        <v>415</v>
      </c>
      <c r="C41" s="11" t="s">
        <v>276</v>
      </c>
      <c r="D41" s="2" t="s">
        <v>36</v>
      </c>
      <c r="E41" s="9">
        <v>0</v>
      </c>
      <c r="F41" s="13">
        <v>0</v>
      </c>
      <c r="G41" s="13" t="s">
        <v>19</v>
      </c>
      <c r="H41" s="10">
        <v>0</v>
      </c>
      <c r="I41" t="s">
        <v>12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 s="10">
        <v>0</v>
      </c>
      <c r="Q41" s="10">
        <v>0</v>
      </c>
      <c r="R41" s="10">
        <v>0</v>
      </c>
      <c r="S41" s="10">
        <v>0</v>
      </c>
      <c r="T41" s="10">
        <v>0</v>
      </c>
      <c r="U41" s="10">
        <v>0</v>
      </c>
      <c r="V41" s="10">
        <v>0</v>
      </c>
      <c r="W41" s="10">
        <v>0</v>
      </c>
      <c r="X41" s="10">
        <v>0</v>
      </c>
      <c r="Y41" s="10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 s="14">
        <v>0</v>
      </c>
      <c r="AU41" s="14">
        <v>0</v>
      </c>
      <c r="AV41" s="14">
        <v>0</v>
      </c>
      <c r="AW41" s="14">
        <v>0</v>
      </c>
      <c r="AX41" s="14">
        <v>0</v>
      </c>
      <c r="AY41" s="14">
        <v>0</v>
      </c>
      <c r="AZ41" s="14">
        <v>0</v>
      </c>
      <c r="BA41" s="14">
        <v>0</v>
      </c>
      <c r="BB41" s="14">
        <v>0</v>
      </c>
      <c r="BC41" s="14">
        <v>0</v>
      </c>
      <c r="BD41" s="14">
        <v>0</v>
      </c>
      <c r="BE41" s="14">
        <v>0</v>
      </c>
      <c r="BF41" s="14">
        <v>0</v>
      </c>
      <c r="BG41" s="14">
        <v>0</v>
      </c>
      <c r="BH41" s="14">
        <v>0</v>
      </c>
      <c r="BI41" s="14">
        <v>0</v>
      </c>
      <c r="BJ41" s="14">
        <v>0</v>
      </c>
      <c r="BK41" s="14">
        <v>0</v>
      </c>
      <c r="BL41" s="14">
        <v>0</v>
      </c>
      <c r="BM41" s="14">
        <v>0</v>
      </c>
      <c r="BN41" s="14">
        <v>0</v>
      </c>
      <c r="BO41" s="14">
        <v>0</v>
      </c>
      <c r="BP41" s="14">
        <v>0</v>
      </c>
      <c r="BQ41" s="14">
        <v>0</v>
      </c>
      <c r="BR41" s="14">
        <v>0</v>
      </c>
      <c r="BS41" s="14">
        <v>0</v>
      </c>
      <c r="BT41" s="14">
        <v>0</v>
      </c>
      <c r="BU41" s="14">
        <v>0</v>
      </c>
      <c r="BV41" s="14">
        <v>0</v>
      </c>
      <c r="BW41" s="14">
        <v>0</v>
      </c>
      <c r="BX41" s="10">
        <v>0</v>
      </c>
      <c r="BY41" s="10">
        <v>0</v>
      </c>
      <c r="BZ41" s="10">
        <v>0</v>
      </c>
      <c r="CA41" s="10">
        <v>0</v>
      </c>
      <c r="CB41" s="10">
        <v>0</v>
      </c>
      <c r="CC41" s="10">
        <v>0</v>
      </c>
      <c r="CD41" s="10">
        <v>0</v>
      </c>
      <c r="CE41" s="10">
        <v>0</v>
      </c>
      <c r="CF41" s="10">
        <v>0</v>
      </c>
      <c r="CG41" s="10">
        <v>0</v>
      </c>
      <c r="CH41" s="10">
        <v>0</v>
      </c>
      <c r="CI41" s="10">
        <v>0</v>
      </c>
      <c r="CJ41" s="10">
        <v>0</v>
      </c>
      <c r="CK41">
        <v>0</v>
      </c>
      <c r="CL41" s="10">
        <v>0</v>
      </c>
      <c r="CM41">
        <v>0</v>
      </c>
      <c r="CN41" s="10">
        <v>0</v>
      </c>
      <c r="CO41">
        <v>0</v>
      </c>
      <c r="CP41" s="10">
        <v>0</v>
      </c>
      <c r="CQ41">
        <v>0</v>
      </c>
      <c r="CR41" s="10">
        <v>0</v>
      </c>
      <c r="CS41" s="10">
        <v>0</v>
      </c>
      <c r="CT41" s="10">
        <v>0</v>
      </c>
      <c r="CU41">
        <v>0</v>
      </c>
      <c r="CV41" s="10">
        <v>0</v>
      </c>
      <c r="CW41">
        <v>0</v>
      </c>
      <c r="CX41" s="10">
        <v>0</v>
      </c>
      <c r="CY41">
        <v>0</v>
      </c>
      <c r="CZ41" s="10">
        <v>0</v>
      </c>
      <c r="DA41">
        <v>0</v>
      </c>
      <c r="DB41" s="10">
        <v>0</v>
      </c>
      <c r="DC41" s="10">
        <v>0</v>
      </c>
      <c r="DD41" s="10">
        <v>0</v>
      </c>
      <c r="DE41">
        <v>0</v>
      </c>
      <c r="DF41" s="10">
        <v>0</v>
      </c>
      <c r="DG41">
        <v>0</v>
      </c>
      <c r="DH41" s="10">
        <v>0</v>
      </c>
      <c r="DI41">
        <v>0</v>
      </c>
      <c r="DJ41" s="10">
        <v>0</v>
      </c>
      <c r="DK41">
        <v>0</v>
      </c>
      <c r="DL41" s="10">
        <v>0</v>
      </c>
      <c r="DM41" s="10">
        <v>0</v>
      </c>
      <c r="DN41" s="10">
        <v>0</v>
      </c>
      <c r="DO41">
        <v>0</v>
      </c>
      <c r="DP41" s="10">
        <v>0</v>
      </c>
      <c r="DQ41">
        <v>0</v>
      </c>
      <c r="DR41" s="10">
        <v>0</v>
      </c>
      <c r="DS41">
        <v>0</v>
      </c>
      <c r="DT41" s="10">
        <v>0</v>
      </c>
      <c r="DU41">
        <v>0</v>
      </c>
      <c r="DV41" s="10">
        <v>0</v>
      </c>
      <c r="DW41" s="10">
        <v>0</v>
      </c>
      <c r="DX41" s="10">
        <v>0</v>
      </c>
      <c r="DY41">
        <v>0</v>
      </c>
      <c r="DZ41" s="10">
        <v>0</v>
      </c>
      <c r="EA41">
        <v>0</v>
      </c>
      <c r="EB41" s="10">
        <v>0</v>
      </c>
      <c r="EC41">
        <v>0</v>
      </c>
      <c r="ED41" s="10">
        <v>0</v>
      </c>
      <c r="EE41">
        <v>0</v>
      </c>
      <c r="EF41" s="10">
        <v>0</v>
      </c>
      <c r="EG41" s="10">
        <v>0</v>
      </c>
      <c r="EH41" s="10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 s="10">
        <v>0</v>
      </c>
      <c r="EQ41" s="10">
        <v>0</v>
      </c>
      <c r="ER41" s="10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 s="10">
        <v>0</v>
      </c>
      <c r="FK41" s="10">
        <v>0</v>
      </c>
      <c r="FL41" s="10">
        <v>0</v>
      </c>
      <c r="FM41">
        <v>0</v>
      </c>
      <c r="FN41" s="10">
        <v>0</v>
      </c>
      <c r="FO41">
        <v>0</v>
      </c>
      <c r="FP41" s="10">
        <v>0</v>
      </c>
      <c r="FQ41">
        <v>0</v>
      </c>
      <c r="FR41" s="10">
        <v>0</v>
      </c>
      <c r="FS41">
        <v>0</v>
      </c>
    </row>
    <row r="42" spans="1:175" x14ac:dyDescent="0.3">
      <c r="A42" s="171"/>
      <c r="B42" s="25" t="s">
        <v>416</v>
      </c>
      <c r="C42" s="11" t="s">
        <v>276</v>
      </c>
      <c r="D42" s="2" t="s">
        <v>252</v>
      </c>
      <c r="E42" s="9">
        <v>0</v>
      </c>
      <c r="F42" s="13">
        <v>0</v>
      </c>
      <c r="G42" s="13" t="s">
        <v>253</v>
      </c>
      <c r="H42" s="57">
        <v>0</v>
      </c>
      <c r="I42" t="s">
        <v>12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 s="57">
        <v>0</v>
      </c>
      <c r="Q42" s="57">
        <v>0</v>
      </c>
      <c r="R42" s="57">
        <v>0</v>
      </c>
      <c r="S42" s="57">
        <v>0</v>
      </c>
      <c r="T42" s="57">
        <v>0</v>
      </c>
      <c r="U42" s="57">
        <v>0</v>
      </c>
      <c r="V42" s="57">
        <v>0</v>
      </c>
      <c r="W42" s="57">
        <v>0</v>
      </c>
      <c r="X42" s="57">
        <v>0</v>
      </c>
      <c r="Y42" s="57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 s="60">
        <v>0</v>
      </c>
      <c r="AU42" s="60">
        <v>0</v>
      </c>
      <c r="AV42" s="60">
        <v>0</v>
      </c>
      <c r="AW42" s="60">
        <v>0</v>
      </c>
      <c r="AX42" s="60">
        <v>0</v>
      </c>
      <c r="AY42" s="60">
        <v>0</v>
      </c>
      <c r="AZ42" s="60">
        <v>0</v>
      </c>
      <c r="BA42" s="60">
        <v>0</v>
      </c>
      <c r="BB42" s="60">
        <v>0</v>
      </c>
      <c r="BC42" s="60">
        <v>0</v>
      </c>
      <c r="BD42" s="60">
        <v>0</v>
      </c>
      <c r="BE42" s="60">
        <v>0</v>
      </c>
      <c r="BF42" s="60">
        <v>0</v>
      </c>
      <c r="BG42" s="60">
        <v>0</v>
      </c>
      <c r="BH42" s="60">
        <v>0</v>
      </c>
      <c r="BI42" s="60">
        <v>0</v>
      </c>
      <c r="BJ42" s="60">
        <v>0</v>
      </c>
      <c r="BK42" s="60">
        <v>0</v>
      </c>
      <c r="BL42" s="60">
        <v>0</v>
      </c>
      <c r="BM42" s="60">
        <v>0</v>
      </c>
      <c r="BN42" s="60">
        <v>0</v>
      </c>
      <c r="BO42" s="60">
        <v>0</v>
      </c>
      <c r="BP42" s="60">
        <v>0</v>
      </c>
      <c r="BQ42" s="60">
        <v>0</v>
      </c>
      <c r="BR42" s="60">
        <v>0</v>
      </c>
      <c r="BS42" s="60">
        <v>0</v>
      </c>
      <c r="BT42" s="60">
        <v>0</v>
      </c>
      <c r="BU42" s="60">
        <v>0</v>
      </c>
      <c r="BV42" s="60">
        <v>0</v>
      </c>
      <c r="BW42" s="60">
        <v>0</v>
      </c>
      <c r="BX42" s="57">
        <v>0</v>
      </c>
      <c r="BY42" s="57">
        <v>0</v>
      </c>
      <c r="BZ42" s="57">
        <v>0</v>
      </c>
      <c r="CA42" s="57">
        <v>0</v>
      </c>
      <c r="CB42" s="57">
        <v>0</v>
      </c>
      <c r="CC42" s="57">
        <v>0</v>
      </c>
      <c r="CD42" s="57">
        <v>0</v>
      </c>
      <c r="CE42" s="57">
        <v>0</v>
      </c>
      <c r="CF42" s="57">
        <v>0</v>
      </c>
      <c r="CG42" s="57">
        <v>0</v>
      </c>
      <c r="CH42" s="57">
        <v>0</v>
      </c>
      <c r="CI42" s="57">
        <v>0</v>
      </c>
      <c r="CJ42" s="57">
        <v>0</v>
      </c>
      <c r="CK42">
        <v>0</v>
      </c>
      <c r="CL42" s="57">
        <v>0</v>
      </c>
      <c r="CM42">
        <v>0</v>
      </c>
      <c r="CN42" s="57">
        <v>0</v>
      </c>
      <c r="CO42">
        <v>0</v>
      </c>
      <c r="CP42" s="57">
        <v>0</v>
      </c>
      <c r="CQ42">
        <v>0</v>
      </c>
      <c r="CR42" s="57">
        <v>0</v>
      </c>
      <c r="CS42" s="57">
        <v>0</v>
      </c>
      <c r="CT42" s="57">
        <v>0</v>
      </c>
      <c r="CU42">
        <v>0</v>
      </c>
      <c r="CV42" s="57">
        <v>0</v>
      </c>
      <c r="CW42">
        <v>0</v>
      </c>
      <c r="CX42" s="57">
        <v>0</v>
      </c>
      <c r="CY42">
        <v>0</v>
      </c>
      <c r="CZ42" s="57">
        <v>0</v>
      </c>
      <c r="DA42">
        <v>0</v>
      </c>
      <c r="DB42" s="57">
        <v>0</v>
      </c>
      <c r="DC42" s="57">
        <v>0</v>
      </c>
      <c r="DD42" s="57">
        <v>0</v>
      </c>
      <c r="DE42">
        <v>0</v>
      </c>
      <c r="DF42" s="57">
        <v>0</v>
      </c>
      <c r="DG42">
        <v>0</v>
      </c>
      <c r="DH42" s="57">
        <v>0</v>
      </c>
      <c r="DI42">
        <v>0</v>
      </c>
      <c r="DJ42" s="57">
        <v>0</v>
      </c>
      <c r="DK42">
        <v>0</v>
      </c>
      <c r="DL42" s="57">
        <v>0</v>
      </c>
      <c r="DM42" s="57">
        <v>0</v>
      </c>
      <c r="DN42" s="57">
        <v>0</v>
      </c>
      <c r="DO42">
        <v>0</v>
      </c>
      <c r="DP42" s="57">
        <v>0</v>
      </c>
      <c r="DQ42">
        <v>0</v>
      </c>
      <c r="DR42" s="57">
        <v>0</v>
      </c>
      <c r="DS42">
        <v>0</v>
      </c>
      <c r="DT42" s="57">
        <v>0</v>
      </c>
      <c r="DU42">
        <v>0</v>
      </c>
      <c r="DV42" s="57">
        <v>0</v>
      </c>
      <c r="DW42" s="57">
        <v>0</v>
      </c>
      <c r="DX42" s="57">
        <v>0</v>
      </c>
      <c r="DY42">
        <v>0</v>
      </c>
      <c r="DZ42" s="57">
        <v>0</v>
      </c>
      <c r="EA42">
        <v>0</v>
      </c>
      <c r="EB42" s="57">
        <v>0</v>
      </c>
      <c r="EC42">
        <v>0</v>
      </c>
      <c r="ED42" s="57">
        <v>0</v>
      </c>
      <c r="EE42">
        <v>0</v>
      </c>
      <c r="EF42" s="57">
        <v>0</v>
      </c>
      <c r="EG42" s="57">
        <v>0</v>
      </c>
      <c r="EH42" s="57">
        <v>0</v>
      </c>
      <c r="EI42">
        <v>0</v>
      </c>
      <c r="EJ42" s="57">
        <v>0</v>
      </c>
      <c r="EK42">
        <v>0</v>
      </c>
      <c r="EL42" s="57">
        <v>0</v>
      </c>
      <c r="EM42">
        <v>0</v>
      </c>
      <c r="EN42" s="57">
        <v>0</v>
      </c>
      <c r="EO42">
        <v>0</v>
      </c>
      <c r="EP42" s="57">
        <v>0</v>
      </c>
      <c r="EQ42" s="57">
        <v>0</v>
      </c>
      <c r="ER42" s="57">
        <v>0</v>
      </c>
      <c r="ES42">
        <v>0</v>
      </c>
      <c r="ET42" s="57">
        <v>0</v>
      </c>
      <c r="EU42">
        <v>0</v>
      </c>
      <c r="EV42" s="57">
        <v>0</v>
      </c>
      <c r="EW42">
        <v>0</v>
      </c>
      <c r="EX42" s="57">
        <v>0</v>
      </c>
      <c r="EY42">
        <v>0</v>
      </c>
      <c r="EZ42" s="57">
        <v>0</v>
      </c>
      <c r="FA42" s="57">
        <v>0</v>
      </c>
      <c r="FB42" s="57">
        <v>0</v>
      </c>
      <c r="FC42">
        <v>0</v>
      </c>
      <c r="FD42" s="57">
        <v>0</v>
      </c>
      <c r="FE42">
        <v>0</v>
      </c>
      <c r="FF42" s="57">
        <v>0</v>
      </c>
      <c r="FG42">
        <v>0</v>
      </c>
      <c r="FH42" s="57">
        <v>0</v>
      </c>
      <c r="FI42">
        <v>0</v>
      </c>
      <c r="FJ42" s="57">
        <v>0</v>
      </c>
      <c r="FK42" s="57">
        <v>0</v>
      </c>
      <c r="FL42" s="57">
        <v>0</v>
      </c>
      <c r="FM42">
        <v>0</v>
      </c>
      <c r="FN42" s="57">
        <v>0</v>
      </c>
      <c r="FO42">
        <v>0</v>
      </c>
      <c r="FP42" s="57">
        <v>0</v>
      </c>
      <c r="FQ42">
        <v>0</v>
      </c>
      <c r="FR42" s="57">
        <v>0</v>
      </c>
      <c r="FS42">
        <v>0</v>
      </c>
    </row>
    <row r="43" spans="1:175" x14ac:dyDescent="0.3">
      <c r="A43" s="171"/>
      <c r="B43" s="3" t="s">
        <v>29</v>
      </c>
      <c r="C43" s="4" t="s">
        <v>31</v>
      </c>
      <c r="D43" s="2" t="s">
        <v>37</v>
      </c>
      <c r="E43" s="9">
        <v>0</v>
      </c>
      <c r="F43" s="13">
        <v>0</v>
      </c>
      <c r="G43" s="13" t="s">
        <v>20</v>
      </c>
      <c r="H43" s="10">
        <v>0</v>
      </c>
      <c r="I43" t="s">
        <v>12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 s="10">
        <v>0</v>
      </c>
      <c r="Q43" s="10">
        <v>0</v>
      </c>
      <c r="R43" s="10">
        <v>0</v>
      </c>
      <c r="S43" s="10">
        <v>0</v>
      </c>
      <c r="T43" s="10">
        <v>0</v>
      </c>
      <c r="U43" s="10">
        <v>0</v>
      </c>
      <c r="V43" s="10">
        <v>0</v>
      </c>
      <c r="W43" s="10">
        <v>0</v>
      </c>
      <c r="X43" s="10">
        <v>0</v>
      </c>
      <c r="Y43" s="10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 s="14">
        <v>0</v>
      </c>
      <c r="AU43" s="14">
        <v>0</v>
      </c>
      <c r="AV43" s="14">
        <v>0</v>
      </c>
      <c r="AW43" s="14">
        <v>0</v>
      </c>
      <c r="AX43" s="14">
        <v>0</v>
      </c>
      <c r="AY43" s="14">
        <v>0</v>
      </c>
      <c r="AZ43" s="14">
        <v>0</v>
      </c>
      <c r="BA43" s="14">
        <v>0</v>
      </c>
      <c r="BB43" s="14">
        <v>0</v>
      </c>
      <c r="BC43" s="14">
        <v>0</v>
      </c>
      <c r="BD43" s="14">
        <v>0</v>
      </c>
      <c r="BE43" s="14">
        <v>0</v>
      </c>
      <c r="BF43" s="14">
        <v>0</v>
      </c>
      <c r="BG43" s="14">
        <v>0</v>
      </c>
      <c r="BH43" s="14">
        <v>0</v>
      </c>
      <c r="BI43" s="14">
        <v>0</v>
      </c>
      <c r="BJ43" s="14">
        <v>0</v>
      </c>
      <c r="BK43" s="14">
        <v>0</v>
      </c>
      <c r="BL43" s="14">
        <v>0</v>
      </c>
      <c r="BM43" s="14">
        <v>0</v>
      </c>
      <c r="BN43" s="14">
        <v>0</v>
      </c>
      <c r="BO43" s="14">
        <v>0</v>
      </c>
      <c r="BP43" s="14">
        <v>0</v>
      </c>
      <c r="BQ43" s="14">
        <v>0</v>
      </c>
      <c r="BR43" s="14">
        <v>0</v>
      </c>
      <c r="BS43" s="14">
        <v>0</v>
      </c>
      <c r="BT43" s="14">
        <v>0</v>
      </c>
      <c r="BU43" s="14">
        <v>0</v>
      </c>
      <c r="BV43" s="14">
        <v>0</v>
      </c>
      <c r="BW43" s="14">
        <v>0</v>
      </c>
      <c r="BX43" s="10">
        <v>0</v>
      </c>
      <c r="BY43" s="10">
        <v>0</v>
      </c>
      <c r="BZ43" s="10">
        <v>0</v>
      </c>
      <c r="CA43" s="10">
        <v>0</v>
      </c>
      <c r="CB43" s="10">
        <v>0</v>
      </c>
      <c r="CC43" s="10">
        <v>0</v>
      </c>
      <c r="CD43" s="10">
        <v>0</v>
      </c>
      <c r="CE43" s="10">
        <v>0</v>
      </c>
      <c r="CF43" s="10">
        <v>0</v>
      </c>
      <c r="CG43" s="10">
        <v>0</v>
      </c>
      <c r="CH43" s="10">
        <v>0</v>
      </c>
      <c r="CI43" s="10">
        <v>0</v>
      </c>
      <c r="CJ43" s="10">
        <v>0</v>
      </c>
      <c r="CK43">
        <v>0</v>
      </c>
      <c r="CL43" s="10">
        <v>0</v>
      </c>
      <c r="CM43">
        <v>0</v>
      </c>
      <c r="CN43" s="10">
        <v>0</v>
      </c>
      <c r="CO43">
        <v>0</v>
      </c>
      <c r="CP43" s="10">
        <v>0</v>
      </c>
      <c r="CQ43">
        <v>0</v>
      </c>
      <c r="CR43" s="10">
        <v>0</v>
      </c>
      <c r="CS43" s="10">
        <v>0</v>
      </c>
      <c r="CT43" s="10">
        <v>0</v>
      </c>
      <c r="CU43">
        <v>0</v>
      </c>
      <c r="CV43" s="10">
        <v>0</v>
      </c>
      <c r="CW43">
        <v>0</v>
      </c>
      <c r="CX43" s="10">
        <v>0</v>
      </c>
      <c r="CY43">
        <v>0</v>
      </c>
      <c r="CZ43" s="10">
        <v>0</v>
      </c>
      <c r="DA43">
        <v>0</v>
      </c>
      <c r="DB43" s="10">
        <v>0</v>
      </c>
      <c r="DC43" s="10">
        <v>0</v>
      </c>
      <c r="DD43" s="10">
        <v>0</v>
      </c>
      <c r="DE43">
        <v>0</v>
      </c>
      <c r="DF43" s="10">
        <v>0</v>
      </c>
      <c r="DG43">
        <v>0</v>
      </c>
      <c r="DH43" s="10">
        <v>0</v>
      </c>
      <c r="DI43">
        <v>0</v>
      </c>
      <c r="DJ43" s="10">
        <v>0</v>
      </c>
      <c r="DK43">
        <v>0</v>
      </c>
      <c r="DL43" s="10">
        <v>0</v>
      </c>
      <c r="DM43" s="10">
        <v>0</v>
      </c>
      <c r="DN43" s="10">
        <v>0</v>
      </c>
      <c r="DO43">
        <v>0</v>
      </c>
      <c r="DP43" s="10">
        <v>0</v>
      </c>
      <c r="DQ43">
        <v>0</v>
      </c>
      <c r="DR43" s="10">
        <v>0</v>
      </c>
      <c r="DS43">
        <v>0</v>
      </c>
      <c r="DT43" s="10">
        <v>0</v>
      </c>
      <c r="DU43">
        <v>0</v>
      </c>
      <c r="DV43" s="10">
        <v>0</v>
      </c>
      <c r="DW43" s="10">
        <v>0</v>
      </c>
      <c r="DX43" s="10">
        <v>0</v>
      </c>
      <c r="DY43">
        <v>0</v>
      </c>
      <c r="DZ43" s="10">
        <v>0</v>
      </c>
      <c r="EA43">
        <v>0</v>
      </c>
      <c r="EB43" s="10">
        <v>0</v>
      </c>
      <c r="EC43">
        <v>0</v>
      </c>
      <c r="ED43" s="10">
        <v>0</v>
      </c>
      <c r="EE43">
        <v>0</v>
      </c>
      <c r="EF43" s="10">
        <v>0</v>
      </c>
      <c r="EG43" s="10">
        <v>0</v>
      </c>
      <c r="EH43" s="10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 s="10">
        <v>0</v>
      </c>
      <c r="EQ43" s="10">
        <v>0</v>
      </c>
      <c r="ER43" s="10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 s="10">
        <v>0</v>
      </c>
      <c r="FK43" s="10">
        <v>0</v>
      </c>
      <c r="FL43" s="10">
        <v>0</v>
      </c>
      <c r="FM43">
        <v>0</v>
      </c>
      <c r="FN43" s="10">
        <v>0</v>
      </c>
      <c r="FO43">
        <v>0</v>
      </c>
      <c r="FP43" s="10">
        <v>0</v>
      </c>
      <c r="FQ43">
        <v>0</v>
      </c>
      <c r="FR43" s="10">
        <v>0</v>
      </c>
      <c r="FS43">
        <v>0</v>
      </c>
    </row>
    <row r="44" spans="1:175" x14ac:dyDescent="0.3">
      <c r="A44" s="171"/>
      <c r="B44" s="3" t="s">
        <v>30</v>
      </c>
      <c r="C44" s="4" t="s">
        <v>32</v>
      </c>
      <c r="D44" s="2" t="s">
        <v>38</v>
      </c>
      <c r="E44" s="9">
        <v>0</v>
      </c>
      <c r="F44" s="13">
        <v>0</v>
      </c>
      <c r="G44" s="13" t="s">
        <v>21</v>
      </c>
      <c r="H44" s="10">
        <v>0</v>
      </c>
      <c r="I44" t="s">
        <v>12</v>
      </c>
      <c r="J44" s="10">
        <v>0</v>
      </c>
      <c r="K44">
        <v>0</v>
      </c>
      <c r="L44">
        <v>0</v>
      </c>
      <c r="M44" s="10">
        <v>0</v>
      </c>
      <c r="N44">
        <v>0</v>
      </c>
      <c r="O44">
        <v>0</v>
      </c>
      <c r="P44" s="10">
        <v>0</v>
      </c>
      <c r="Q44" s="10">
        <v>0</v>
      </c>
      <c r="R44" s="10">
        <v>0</v>
      </c>
      <c r="S44" s="10">
        <v>0</v>
      </c>
      <c r="T44" s="10">
        <v>0</v>
      </c>
      <c r="U44" s="10">
        <v>0</v>
      </c>
      <c r="V44" s="10">
        <v>0</v>
      </c>
      <c r="W44" s="10">
        <v>0</v>
      </c>
      <c r="X44" s="10">
        <v>0</v>
      </c>
      <c r="Y44" s="10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 s="14">
        <v>0</v>
      </c>
      <c r="AU44" s="14">
        <v>0</v>
      </c>
      <c r="AV44" s="14">
        <v>0</v>
      </c>
      <c r="AW44" s="14">
        <v>0</v>
      </c>
      <c r="AX44" s="14">
        <v>0</v>
      </c>
      <c r="AY44" s="14">
        <v>0</v>
      </c>
      <c r="AZ44" s="14">
        <v>0</v>
      </c>
      <c r="BA44" s="14">
        <v>0</v>
      </c>
      <c r="BB44" s="14">
        <v>0</v>
      </c>
      <c r="BC44" s="14">
        <v>0</v>
      </c>
      <c r="BD44" s="14">
        <v>0</v>
      </c>
      <c r="BE44" s="14">
        <v>0</v>
      </c>
      <c r="BF44" s="14">
        <v>0</v>
      </c>
      <c r="BG44" s="14">
        <v>0</v>
      </c>
      <c r="BH44" s="14">
        <v>0</v>
      </c>
      <c r="BI44" s="14">
        <v>0</v>
      </c>
      <c r="BJ44" s="14">
        <v>0</v>
      </c>
      <c r="BK44" s="14">
        <v>0</v>
      </c>
      <c r="BL44" s="14">
        <v>0</v>
      </c>
      <c r="BM44" s="14">
        <v>0</v>
      </c>
      <c r="BN44" s="14">
        <v>0</v>
      </c>
      <c r="BO44" s="14">
        <v>0</v>
      </c>
      <c r="BP44" s="14">
        <v>0</v>
      </c>
      <c r="BQ44" s="14">
        <v>0</v>
      </c>
      <c r="BR44" s="14">
        <v>0</v>
      </c>
      <c r="BS44" s="14">
        <v>0</v>
      </c>
      <c r="BT44" s="14">
        <v>0</v>
      </c>
      <c r="BU44" s="14">
        <v>0</v>
      </c>
      <c r="BV44" s="14">
        <v>0</v>
      </c>
      <c r="BW44" s="14">
        <v>0</v>
      </c>
      <c r="BX44" s="10">
        <v>0</v>
      </c>
      <c r="BY44" s="10">
        <v>0</v>
      </c>
      <c r="BZ44" s="10">
        <v>0</v>
      </c>
      <c r="CA44" s="10">
        <v>0</v>
      </c>
      <c r="CB44" s="10">
        <v>0</v>
      </c>
      <c r="CC44" s="10">
        <v>0</v>
      </c>
      <c r="CD44" s="10">
        <v>0</v>
      </c>
      <c r="CE44" s="10">
        <v>0</v>
      </c>
      <c r="CF44" s="10">
        <v>0</v>
      </c>
      <c r="CG44" s="10">
        <v>0</v>
      </c>
      <c r="CH44" s="10">
        <v>0</v>
      </c>
      <c r="CI44" s="10">
        <v>0</v>
      </c>
      <c r="CJ44" s="10">
        <v>0</v>
      </c>
      <c r="CK44">
        <v>0</v>
      </c>
      <c r="CL44" s="10">
        <v>0</v>
      </c>
      <c r="CM44">
        <v>0</v>
      </c>
      <c r="CN44" s="10">
        <v>0</v>
      </c>
      <c r="CO44">
        <v>0</v>
      </c>
      <c r="CP44" s="10">
        <v>0</v>
      </c>
      <c r="CQ44">
        <v>0</v>
      </c>
      <c r="CR44" s="10">
        <v>0</v>
      </c>
      <c r="CS44" s="10">
        <v>0</v>
      </c>
      <c r="CT44" s="10">
        <v>0</v>
      </c>
      <c r="CU44">
        <v>0</v>
      </c>
      <c r="CV44" s="10">
        <v>0</v>
      </c>
      <c r="CW44">
        <v>0</v>
      </c>
      <c r="CX44" s="10">
        <v>0</v>
      </c>
      <c r="CY44">
        <v>0</v>
      </c>
      <c r="CZ44" s="10">
        <v>0</v>
      </c>
      <c r="DA44">
        <v>0</v>
      </c>
      <c r="DB44" s="10">
        <v>0</v>
      </c>
      <c r="DC44" s="10">
        <v>0</v>
      </c>
      <c r="DD44" s="10">
        <v>0</v>
      </c>
      <c r="DE44">
        <v>0</v>
      </c>
      <c r="DF44" s="10">
        <v>0</v>
      </c>
      <c r="DG44">
        <v>0</v>
      </c>
      <c r="DH44" s="10">
        <v>0</v>
      </c>
      <c r="DI44">
        <v>0</v>
      </c>
      <c r="DJ44" s="10">
        <v>0</v>
      </c>
      <c r="DK44">
        <v>0</v>
      </c>
      <c r="DL44" s="28">
        <v>0</v>
      </c>
      <c r="DM44" s="28">
        <v>0</v>
      </c>
      <c r="DN44" s="10">
        <v>0</v>
      </c>
      <c r="DO44" s="28">
        <v>0</v>
      </c>
      <c r="DP44" s="28">
        <v>0</v>
      </c>
      <c r="DQ44" s="10">
        <v>0</v>
      </c>
      <c r="DR44" s="10">
        <v>0</v>
      </c>
      <c r="DS44" s="28">
        <v>0</v>
      </c>
      <c r="DT44" s="28">
        <v>0</v>
      </c>
      <c r="DU44" s="10">
        <v>0</v>
      </c>
      <c r="DV44" s="10">
        <v>0</v>
      </c>
      <c r="DW44" s="10">
        <v>0</v>
      </c>
      <c r="DX44" s="10">
        <v>0</v>
      </c>
      <c r="DY44">
        <v>0</v>
      </c>
      <c r="DZ44" s="10">
        <v>0</v>
      </c>
      <c r="EA44">
        <v>0</v>
      </c>
      <c r="EB44" s="10">
        <v>0</v>
      </c>
      <c r="EC44">
        <v>0</v>
      </c>
      <c r="ED44" s="10">
        <v>0</v>
      </c>
      <c r="EE44">
        <v>0</v>
      </c>
      <c r="EF44" s="10">
        <v>0</v>
      </c>
      <c r="EG44" s="10">
        <v>0</v>
      </c>
      <c r="EH44" s="10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 s="10">
        <v>0</v>
      </c>
      <c r="EQ44" s="10">
        <v>0</v>
      </c>
      <c r="ER44" s="10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 s="10">
        <v>0</v>
      </c>
      <c r="FK44" s="10">
        <v>0</v>
      </c>
      <c r="FL44" s="10">
        <v>0</v>
      </c>
      <c r="FM44">
        <v>0</v>
      </c>
      <c r="FN44" s="10">
        <v>0</v>
      </c>
      <c r="FO44">
        <v>0</v>
      </c>
      <c r="FP44" s="10">
        <v>0</v>
      </c>
      <c r="FQ44">
        <v>0</v>
      </c>
      <c r="FR44" s="10">
        <v>0</v>
      </c>
      <c r="FS44">
        <v>0</v>
      </c>
    </row>
    <row r="45" spans="1:175" x14ac:dyDescent="0.3">
      <c r="A45" s="171"/>
      <c r="B45" t="s">
        <v>276</v>
      </c>
      <c r="C45" s="4" t="s">
        <v>434</v>
      </c>
      <c r="D45" s="2" t="s">
        <v>425</v>
      </c>
      <c r="E45" s="9">
        <v>0</v>
      </c>
      <c r="F45" s="13">
        <v>0</v>
      </c>
      <c r="G45" s="13" t="s">
        <v>426</v>
      </c>
      <c r="H45" s="10">
        <v>0</v>
      </c>
      <c r="I45" t="s">
        <v>12</v>
      </c>
      <c r="J45" s="10">
        <v>0</v>
      </c>
      <c r="K45" s="10">
        <v>0</v>
      </c>
      <c r="L45" s="10">
        <v>0</v>
      </c>
      <c r="M45" s="10">
        <v>0</v>
      </c>
      <c r="N45" s="10">
        <v>0</v>
      </c>
      <c r="O45">
        <v>0</v>
      </c>
      <c r="P45" s="10">
        <v>0</v>
      </c>
      <c r="Q45" s="10">
        <v>0</v>
      </c>
      <c r="R45" s="10">
        <v>0</v>
      </c>
      <c r="S45" s="10">
        <v>0</v>
      </c>
      <c r="T45" s="10">
        <v>0</v>
      </c>
      <c r="U45" s="10">
        <v>0</v>
      </c>
      <c r="V45" s="10">
        <v>0</v>
      </c>
      <c r="W45" s="10">
        <v>0</v>
      </c>
      <c r="X45" s="10">
        <v>0</v>
      </c>
      <c r="Y45" s="10">
        <v>0</v>
      </c>
      <c r="Z45" s="10">
        <v>0</v>
      </c>
      <c r="AA45" s="10">
        <v>0</v>
      </c>
      <c r="AB45" s="10">
        <v>0</v>
      </c>
      <c r="AC45" s="10">
        <v>0</v>
      </c>
      <c r="AD45" s="10">
        <v>0</v>
      </c>
      <c r="AE45" s="10">
        <v>0</v>
      </c>
      <c r="AF45" s="10">
        <v>0</v>
      </c>
      <c r="AG45" s="10">
        <v>0</v>
      </c>
      <c r="AH45" s="10">
        <v>0</v>
      </c>
      <c r="AI45" s="10">
        <v>0</v>
      </c>
      <c r="AJ45" s="10">
        <v>0</v>
      </c>
      <c r="AK45" s="10">
        <v>0</v>
      </c>
      <c r="AL45" s="10">
        <v>0</v>
      </c>
      <c r="AM45" s="10">
        <v>0</v>
      </c>
      <c r="AN45" s="10">
        <v>0</v>
      </c>
      <c r="AO45" s="10">
        <v>0</v>
      </c>
      <c r="AP45" s="10">
        <v>0</v>
      </c>
      <c r="AQ45" s="10">
        <v>0</v>
      </c>
      <c r="AR45" s="10">
        <v>0</v>
      </c>
      <c r="AS45" s="10">
        <v>0</v>
      </c>
      <c r="AT45" s="14">
        <v>0</v>
      </c>
      <c r="AU45" s="14">
        <v>0</v>
      </c>
      <c r="AV45" s="14">
        <v>0</v>
      </c>
      <c r="AW45" s="14">
        <v>0</v>
      </c>
      <c r="AX45" s="14">
        <v>0</v>
      </c>
      <c r="AY45" s="14">
        <v>0</v>
      </c>
      <c r="AZ45" s="14">
        <v>0</v>
      </c>
      <c r="BA45" s="14">
        <v>0</v>
      </c>
      <c r="BB45" s="14">
        <v>0</v>
      </c>
      <c r="BC45" s="14">
        <v>0</v>
      </c>
      <c r="BD45" s="14">
        <v>0</v>
      </c>
      <c r="BE45" s="14">
        <v>0</v>
      </c>
      <c r="BF45" s="14">
        <v>0</v>
      </c>
      <c r="BG45" s="14">
        <v>0</v>
      </c>
      <c r="BH45" s="14">
        <v>0</v>
      </c>
      <c r="BI45" s="14">
        <v>0</v>
      </c>
      <c r="BJ45" s="14">
        <v>0</v>
      </c>
      <c r="BK45" s="14">
        <v>0</v>
      </c>
      <c r="BL45" s="14">
        <v>0</v>
      </c>
      <c r="BM45" s="14">
        <v>0</v>
      </c>
      <c r="BN45" s="14">
        <v>0</v>
      </c>
      <c r="BO45" s="14">
        <v>0</v>
      </c>
      <c r="BP45" s="14">
        <v>0</v>
      </c>
      <c r="BQ45" s="14">
        <v>0</v>
      </c>
      <c r="BR45" s="14">
        <v>0</v>
      </c>
      <c r="BS45" s="14">
        <v>0</v>
      </c>
      <c r="BT45" s="14">
        <v>0</v>
      </c>
      <c r="BU45" s="14">
        <v>0</v>
      </c>
      <c r="BV45" s="14">
        <v>0</v>
      </c>
      <c r="BW45" s="14">
        <v>0</v>
      </c>
      <c r="BX45" s="10">
        <v>0</v>
      </c>
      <c r="BY45" s="10">
        <v>0</v>
      </c>
      <c r="BZ45" s="10">
        <v>0</v>
      </c>
      <c r="CA45" s="10">
        <v>0</v>
      </c>
      <c r="CB45" s="10">
        <v>0</v>
      </c>
      <c r="CC45" s="10">
        <v>0</v>
      </c>
      <c r="CD45" s="10">
        <v>0</v>
      </c>
      <c r="CE45" s="10">
        <v>0</v>
      </c>
      <c r="CF45" s="10">
        <v>0</v>
      </c>
      <c r="CG45" s="10">
        <v>0</v>
      </c>
      <c r="CH45" s="10">
        <v>0</v>
      </c>
      <c r="CI45" s="10">
        <v>0</v>
      </c>
      <c r="CJ45" s="10">
        <v>0</v>
      </c>
      <c r="CK45">
        <v>0</v>
      </c>
      <c r="CL45" s="10">
        <v>0</v>
      </c>
      <c r="CM45">
        <v>0</v>
      </c>
      <c r="CN45" s="10">
        <v>0</v>
      </c>
      <c r="CO45">
        <v>0</v>
      </c>
      <c r="CP45" s="10">
        <v>0</v>
      </c>
      <c r="CQ45">
        <v>0</v>
      </c>
      <c r="CR45" s="10">
        <v>0</v>
      </c>
      <c r="CS45" s="10">
        <v>0</v>
      </c>
      <c r="CT45" s="10">
        <v>0</v>
      </c>
      <c r="CU45">
        <v>0</v>
      </c>
      <c r="CV45" s="10">
        <v>0</v>
      </c>
      <c r="CW45">
        <v>0</v>
      </c>
      <c r="CX45" s="10">
        <v>0</v>
      </c>
      <c r="CY45">
        <v>0</v>
      </c>
      <c r="CZ45" s="10">
        <v>0</v>
      </c>
      <c r="DA45">
        <v>0</v>
      </c>
      <c r="DB45" s="10">
        <v>0</v>
      </c>
      <c r="DC45" s="10">
        <v>0</v>
      </c>
      <c r="DD45" s="10">
        <v>0</v>
      </c>
      <c r="DE45">
        <v>0</v>
      </c>
      <c r="DF45" s="10">
        <v>0</v>
      </c>
      <c r="DG45">
        <v>0</v>
      </c>
      <c r="DH45" s="10">
        <v>0</v>
      </c>
      <c r="DI45">
        <v>0</v>
      </c>
      <c r="DJ45" s="10">
        <v>0</v>
      </c>
      <c r="DK45">
        <v>0</v>
      </c>
      <c r="DL45" s="28">
        <v>0</v>
      </c>
      <c r="DM45" s="28">
        <v>0</v>
      </c>
      <c r="DN45" s="28">
        <v>0</v>
      </c>
      <c r="DO45" s="28">
        <v>0</v>
      </c>
      <c r="DP45" s="28">
        <v>0</v>
      </c>
      <c r="DQ45" s="28">
        <v>0</v>
      </c>
      <c r="DR45" s="28">
        <v>0</v>
      </c>
      <c r="DS45" s="28">
        <v>0</v>
      </c>
      <c r="DT45" s="28">
        <v>0</v>
      </c>
      <c r="DU45" s="28">
        <v>0</v>
      </c>
      <c r="DV45" s="10">
        <v>0</v>
      </c>
      <c r="DW45" s="10">
        <v>0</v>
      </c>
      <c r="DX45" s="10">
        <v>0</v>
      </c>
      <c r="DY45">
        <v>0</v>
      </c>
      <c r="DZ45" s="10">
        <v>0</v>
      </c>
      <c r="EA45">
        <v>0</v>
      </c>
      <c r="EB45" s="10">
        <v>0</v>
      </c>
      <c r="EC45">
        <v>0</v>
      </c>
      <c r="ED45" s="10">
        <v>0</v>
      </c>
      <c r="EE45">
        <v>0</v>
      </c>
      <c r="EF45" s="10">
        <v>0</v>
      </c>
      <c r="EG45" s="10">
        <v>0</v>
      </c>
      <c r="EH45" s="10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 s="10">
        <v>0</v>
      </c>
      <c r="EQ45" s="10">
        <v>0</v>
      </c>
      <c r="ER45" s="10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 s="10">
        <v>0</v>
      </c>
      <c r="FK45" s="10">
        <v>0</v>
      </c>
      <c r="FL45" s="10">
        <v>0</v>
      </c>
      <c r="FM45">
        <v>0</v>
      </c>
      <c r="FN45" s="10">
        <v>0</v>
      </c>
      <c r="FO45">
        <v>0</v>
      </c>
      <c r="FP45" s="10">
        <v>0</v>
      </c>
      <c r="FQ45">
        <v>0</v>
      </c>
      <c r="FR45" s="10">
        <v>0</v>
      </c>
      <c r="FS45">
        <v>0</v>
      </c>
    </row>
    <row r="46" spans="1:175" x14ac:dyDescent="0.3">
      <c r="A46" s="171"/>
      <c r="B46" s="3" t="s">
        <v>135</v>
      </c>
      <c r="C46" s="4" t="s">
        <v>130</v>
      </c>
      <c r="D46" s="2" t="s">
        <v>39</v>
      </c>
      <c r="E46" s="9">
        <v>0</v>
      </c>
      <c r="F46" s="13">
        <v>0</v>
      </c>
      <c r="G46" s="13" t="s">
        <v>14</v>
      </c>
      <c r="H46">
        <v>0</v>
      </c>
      <c r="I46" s="24" t="str">
        <f>B31</f>
        <v>Product/Reactant3</v>
      </c>
      <c r="J46">
        <v>0</v>
      </c>
      <c r="K46">
        <v>0</v>
      </c>
      <c r="L46" s="10">
        <v>0</v>
      </c>
      <c r="M46">
        <v>0</v>
      </c>
      <c r="N46">
        <v>0</v>
      </c>
      <c r="O46">
        <v>0</v>
      </c>
      <c r="P46" t="s">
        <v>311</v>
      </c>
      <c r="Q46" t="s">
        <v>311</v>
      </c>
      <c r="R46" t="s">
        <v>311</v>
      </c>
      <c r="S46" t="s">
        <v>311</v>
      </c>
      <c r="T46" t="s">
        <v>311</v>
      </c>
      <c r="U46" t="s">
        <v>311</v>
      </c>
      <c r="V46" t="s">
        <v>311</v>
      </c>
      <c r="W46" t="s">
        <v>311</v>
      </c>
      <c r="X46" t="s">
        <v>311</v>
      </c>
      <c r="Y46" t="s">
        <v>311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 s="14">
        <v>0</v>
      </c>
      <c r="AU46" s="14">
        <v>0</v>
      </c>
      <c r="AV46" s="14">
        <v>0</v>
      </c>
      <c r="AW46" s="14">
        <v>0</v>
      </c>
      <c r="AX46" s="14">
        <v>0</v>
      </c>
      <c r="AY46" s="14">
        <v>0</v>
      </c>
      <c r="AZ46" s="14">
        <v>0</v>
      </c>
      <c r="BA46" s="14">
        <v>0</v>
      </c>
      <c r="BB46" s="14">
        <v>0</v>
      </c>
      <c r="BC46" s="14">
        <v>0</v>
      </c>
      <c r="BD46" s="14">
        <v>0</v>
      </c>
      <c r="BE46" s="14">
        <v>0</v>
      </c>
      <c r="BF46" s="14">
        <v>0</v>
      </c>
      <c r="BG46" s="14">
        <v>0</v>
      </c>
      <c r="BH46" s="14">
        <v>0</v>
      </c>
      <c r="BI46" s="14">
        <v>0</v>
      </c>
      <c r="BJ46" s="14">
        <v>0</v>
      </c>
      <c r="BK46" s="14">
        <v>0</v>
      </c>
      <c r="BL46" s="14">
        <v>0</v>
      </c>
      <c r="BM46" s="14">
        <v>0</v>
      </c>
      <c r="BN46" s="14">
        <v>0</v>
      </c>
      <c r="BO46" s="14">
        <v>0</v>
      </c>
      <c r="BP46" s="14">
        <v>0</v>
      </c>
      <c r="BQ46" s="14">
        <v>0</v>
      </c>
      <c r="BR46" s="14">
        <v>0</v>
      </c>
      <c r="BS46" s="14">
        <v>0</v>
      </c>
      <c r="BT46" s="14">
        <v>0</v>
      </c>
      <c r="BU46" s="14">
        <v>0</v>
      </c>
      <c r="BV46" s="14">
        <v>0</v>
      </c>
      <c r="BW46" s="14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 s="10">
        <v>0</v>
      </c>
      <c r="EG46" s="10">
        <v>0</v>
      </c>
      <c r="EH46" s="10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 s="10">
        <v>0</v>
      </c>
      <c r="EQ46" s="10">
        <v>0</v>
      </c>
      <c r="ER46" s="10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</row>
    <row r="47" spans="1:175" x14ac:dyDescent="0.3">
      <c r="A47" s="171"/>
      <c r="B47" s="3" t="s">
        <v>15</v>
      </c>
      <c r="C47" s="11" t="s">
        <v>276</v>
      </c>
      <c r="D47" s="2" t="s">
        <v>40</v>
      </c>
      <c r="E47" s="9">
        <v>0</v>
      </c>
      <c r="F47" s="13">
        <v>0</v>
      </c>
      <c r="G47" s="13" t="s">
        <v>22</v>
      </c>
      <c r="H47">
        <v>0</v>
      </c>
      <c r="I47" t="s">
        <v>12</v>
      </c>
      <c r="J47">
        <v>0</v>
      </c>
      <c r="K47">
        <v>0</v>
      </c>
      <c r="L47" s="10">
        <v>0</v>
      </c>
      <c r="M47" s="10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 s="14">
        <v>0</v>
      </c>
      <c r="AU47" s="14">
        <v>0</v>
      </c>
      <c r="AV47" s="14">
        <v>0</v>
      </c>
      <c r="AW47" s="14">
        <v>0</v>
      </c>
      <c r="AX47" s="14">
        <v>0</v>
      </c>
      <c r="AY47" s="14">
        <v>0</v>
      </c>
      <c r="AZ47" s="14">
        <v>0</v>
      </c>
      <c r="BA47" s="14">
        <v>0</v>
      </c>
      <c r="BB47" s="14">
        <v>0</v>
      </c>
      <c r="BC47" s="14">
        <v>0</v>
      </c>
      <c r="BD47" s="14">
        <v>0</v>
      </c>
      <c r="BE47" s="14">
        <v>0</v>
      </c>
      <c r="BF47" s="14">
        <v>0</v>
      </c>
      <c r="BG47" s="14">
        <v>0</v>
      </c>
      <c r="BH47" s="14">
        <v>0</v>
      </c>
      <c r="BI47" s="14">
        <v>0</v>
      </c>
      <c r="BJ47" s="14">
        <v>0</v>
      </c>
      <c r="BK47" s="14">
        <v>0</v>
      </c>
      <c r="BL47" s="14">
        <v>0</v>
      </c>
      <c r="BM47" s="14">
        <v>0</v>
      </c>
      <c r="BN47" s="14">
        <v>0</v>
      </c>
      <c r="BO47" s="14">
        <v>0</v>
      </c>
      <c r="BP47" s="14">
        <v>0</v>
      </c>
      <c r="BQ47" s="14">
        <v>0</v>
      </c>
      <c r="BR47" s="14">
        <v>0</v>
      </c>
      <c r="BS47" s="14">
        <v>0</v>
      </c>
      <c r="BT47" s="14">
        <v>0</v>
      </c>
      <c r="BU47" s="14">
        <v>0</v>
      </c>
      <c r="BV47" s="14">
        <v>0</v>
      </c>
      <c r="BW47" s="14">
        <v>0</v>
      </c>
      <c r="BX47" t="s">
        <v>379</v>
      </c>
      <c r="BY47" t="s">
        <v>379</v>
      </c>
      <c r="BZ47" t="s">
        <v>379</v>
      </c>
      <c r="CA47" t="s">
        <v>379</v>
      </c>
      <c r="CB47" t="s">
        <v>379</v>
      </c>
      <c r="CC47" t="s">
        <v>379</v>
      </c>
      <c r="CD47" t="s">
        <v>379</v>
      </c>
      <c r="CE47" t="s">
        <v>379</v>
      </c>
      <c r="CF47" t="s">
        <v>379</v>
      </c>
      <c r="CG47" t="s">
        <v>379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</row>
    <row r="48" spans="1:175" x14ac:dyDescent="0.3">
      <c r="A48" s="171"/>
      <c r="B48" s="3" t="s">
        <v>16</v>
      </c>
      <c r="C48" s="11" t="s">
        <v>276</v>
      </c>
      <c r="D48" s="2" t="s">
        <v>41</v>
      </c>
      <c r="E48" s="9">
        <v>0</v>
      </c>
      <c r="F48" s="13">
        <v>0</v>
      </c>
      <c r="G48" s="13" t="s">
        <v>23</v>
      </c>
      <c r="H48">
        <v>0</v>
      </c>
      <c r="I48" t="s">
        <v>12</v>
      </c>
      <c r="J48">
        <v>0</v>
      </c>
      <c r="K48">
        <v>0</v>
      </c>
      <c r="L48" s="10">
        <v>0</v>
      </c>
      <c r="M48">
        <v>0</v>
      </c>
      <c r="N48">
        <v>0</v>
      </c>
      <c r="O48">
        <v>0</v>
      </c>
      <c r="P48" s="10">
        <v>0</v>
      </c>
      <c r="Q48" s="10">
        <v>0</v>
      </c>
      <c r="R48" s="10">
        <v>0</v>
      </c>
      <c r="S48" s="10">
        <v>0</v>
      </c>
      <c r="T48" s="10">
        <v>0</v>
      </c>
      <c r="U48" s="10">
        <v>0</v>
      </c>
      <c r="V48" s="10">
        <v>0</v>
      </c>
      <c r="W48" s="10">
        <v>0</v>
      </c>
      <c r="X48" s="10">
        <v>0</v>
      </c>
      <c r="Y48" s="10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 s="14">
        <v>0</v>
      </c>
      <c r="AU48" s="14">
        <v>0</v>
      </c>
      <c r="AV48" s="14">
        <v>0</v>
      </c>
      <c r="AW48" s="14">
        <v>0</v>
      </c>
      <c r="AX48" s="14">
        <v>0</v>
      </c>
      <c r="AY48" s="14">
        <v>0</v>
      </c>
      <c r="AZ48" s="14">
        <v>0</v>
      </c>
      <c r="BA48" s="14">
        <v>0</v>
      </c>
      <c r="BB48" s="14">
        <v>0</v>
      </c>
      <c r="BC48" s="14">
        <v>0</v>
      </c>
      <c r="BD48" s="14">
        <v>0</v>
      </c>
      <c r="BE48" s="14">
        <v>0</v>
      </c>
      <c r="BF48" s="14">
        <v>0</v>
      </c>
      <c r="BG48" s="14">
        <v>0</v>
      </c>
      <c r="BH48" s="14">
        <v>0</v>
      </c>
      <c r="BI48" s="14">
        <v>0</v>
      </c>
      <c r="BJ48" s="14">
        <v>0</v>
      </c>
      <c r="BK48" s="14">
        <v>0</v>
      </c>
      <c r="BL48" s="14">
        <v>0</v>
      </c>
      <c r="BM48" s="14">
        <v>0</v>
      </c>
      <c r="BN48" s="14">
        <v>0</v>
      </c>
      <c r="BO48" s="14">
        <v>0</v>
      </c>
      <c r="BP48" s="14">
        <v>0</v>
      </c>
      <c r="BQ48" s="14">
        <v>0</v>
      </c>
      <c r="BR48" s="14">
        <v>0</v>
      </c>
      <c r="BS48" s="14">
        <v>0</v>
      </c>
      <c r="BT48" s="14">
        <v>0</v>
      </c>
      <c r="BU48" s="14">
        <v>0</v>
      </c>
      <c r="BV48" s="14">
        <v>0</v>
      </c>
      <c r="BW48" s="14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</row>
    <row r="49" spans="1:175" x14ac:dyDescent="0.3">
      <c r="A49" s="171"/>
      <c r="B49" s="3" t="s">
        <v>17</v>
      </c>
      <c r="C49" s="11" t="s">
        <v>276</v>
      </c>
      <c r="D49" s="6" t="s">
        <v>42</v>
      </c>
      <c r="E49" s="9">
        <v>0</v>
      </c>
      <c r="F49" s="13">
        <v>0</v>
      </c>
      <c r="G49" s="13" t="s">
        <v>157</v>
      </c>
      <c r="H49">
        <v>0</v>
      </c>
      <c r="I49" t="s">
        <v>12</v>
      </c>
      <c r="J49">
        <v>0</v>
      </c>
      <c r="K49">
        <v>0</v>
      </c>
      <c r="L49" s="10">
        <v>0</v>
      </c>
      <c r="M49">
        <v>0</v>
      </c>
      <c r="N49">
        <v>0</v>
      </c>
      <c r="O49">
        <v>0</v>
      </c>
      <c r="P49" s="10">
        <v>0</v>
      </c>
      <c r="Q49" s="10">
        <v>0</v>
      </c>
      <c r="R49" s="10">
        <v>0</v>
      </c>
      <c r="S49" s="10">
        <v>0</v>
      </c>
      <c r="T49" s="10">
        <v>0</v>
      </c>
      <c r="U49" s="10">
        <v>0</v>
      </c>
      <c r="V49" s="10">
        <v>0</v>
      </c>
      <c r="W49" s="10">
        <v>0</v>
      </c>
      <c r="X49" s="10">
        <v>0</v>
      </c>
      <c r="Y49" s="10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 s="14" t="s">
        <v>312</v>
      </c>
      <c r="AU49" s="14" t="s">
        <v>312</v>
      </c>
      <c r="AV49" s="14" t="s">
        <v>312</v>
      </c>
      <c r="AW49" s="14" t="s">
        <v>312</v>
      </c>
      <c r="AX49" s="14" t="s">
        <v>312</v>
      </c>
      <c r="AY49" s="14" t="s">
        <v>312</v>
      </c>
      <c r="AZ49" s="14" t="s">
        <v>312</v>
      </c>
      <c r="BA49" s="14" t="s">
        <v>312</v>
      </c>
      <c r="BB49" s="14" t="s">
        <v>312</v>
      </c>
      <c r="BC49" s="14" t="s">
        <v>312</v>
      </c>
      <c r="BD49" s="14">
        <v>0</v>
      </c>
      <c r="BE49" s="14">
        <v>0</v>
      </c>
      <c r="BF49" s="14">
        <v>0</v>
      </c>
      <c r="BG49" s="14">
        <v>0</v>
      </c>
      <c r="BH49" s="14">
        <v>0</v>
      </c>
      <c r="BI49" s="14">
        <v>0</v>
      </c>
      <c r="BJ49" s="14">
        <v>0</v>
      </c>
      <c r="BK49" s="14">
        <v>0</v>
      </c>
      <c r="BL49" s="14">
        <v>0</v>
      </c>
      <c r="BM49" s="14">
        <v>0</v>
      </c>
      <c r="BN49" s="14">
        <v>0</v>
      </c>
      <c r="BO49" s="14">
        <v>0</v>
      </c>
      <c r="BP49" s="14">
        <v>0</v>
      </c>
      <c r="BQ49" s="14">
        <v>0</v>
      </c>
      <c r="BR49" s="14">
        <v>0</v>
      </c>
      <c r="BS49" s="14">
        <v>0</v>
      </c>
      <c r="BT49" s="14">
        <v>0</v>
      </c>
      <c r="BU49" s="14">
        <v>0</v>
      </c>
      <c r="BV49" s="14">
        <v>0</v>
      </c>
      <c r="BW49" s="14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 t="s">
        <v>380</v>
      </c>
      <c r="CI49" t="s">
        <v>380</v>
      </c>
      <c r="CJ49" t="s">
        <v>380</v>
      </c>
      <c r="CK49" t="s">
        <v>380</v>
      </c>
      <c r="CL49" t="s">
        <v>380</v>
      </c>
      <c r="CM49" t="s">
        <v>380</v>
      </c>
      <c r="CN49">
        <v>0</v>
      </c>
      <c r="CO49" t="s">
        <v>381</v>
      </c>
      <c r="CP49" t="s">
        <v>381</v>
      </c>
      <c r="CQ49" t="s">
        <v>381</v>
      </c>
      <c r="CR49" t="s">
        <v>382</v>
      </c>
      <c r="CS49" t="s">
        <v>383</v>
      </c>
      <c r="CT49" t="s">
        <v>383</v>
      </c>
      <c r="CU49" t="s">
        <v>383</v>
      </c>
      <c r="CV49" t="s">
        <v>383</v>
      </c>
      <c r="CW49" t="s">
        <v>383</v>
      </c>
      <c r="CX49" t="s">
        <v>383</v>
      </c>
      <c r="CY49" t="s">
        <v>383</v>
      </c>
      <c r="CZ49" t="s">
        <v>383</v>
      </c>
      <c r="DA49" t="s">
        <v>383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</row>
    <row r="50" spans="1:175" x14ac:dyDescent="0.3">
      <c r="A50" s="171"/>
      <c r="B50" s="3" t="s">
        <v>15</v>
      </c>
      <c r="C50" s="11" t="s">
        <v>276</v>
      </c>
      <c r="D50" s="6" t="s">
        <v>158</v>
      </c>
      <c r="E50" s="9">
        <v>0</v>
      </c>
      <c r="F50" s="13">
        <v>0</v>
      </c>
      <c r="G50" s="13" t="s">
        <v>159</v>
      </c>
      <c r="H50">
        <v>0</v>
      </c>
      <c r="I50" t="s">
        <v>12</v>
      </c>
      <c r="J50">
        <v>0</v>
      </c>
      <c r="K50">
        <v>0</v>
      </c>
      <c r="L50" s="10">
        <v>0</v>
      </c>
      <c r="M50">
        <v>0</v>
      </c>
      <c r="N50">
        <v>0</v>
      </c>
      <c r="O50">
        <v>0</v>
      </c>
      <c r="P50" s="10">
        <v>0</v>
      </c>
      <c r="Q50" s="10">
        <v>0</v>
      </c>
      <c r="R50" s="10">
        <v>0</v>
      </c>
      <c r="S50" s="10">
        <v>0</v>
      </c>
      <c r="T50" s="10">
        <v>0</v>
      </c>
      <c r="U50" s="10">
        <v>0</v>
      </c>
      <c r="V50" s="10">
        <v>0</v>
      </c>
      <c r="W50" s="10">
        <v>0</v>
      </c>
      <c r="X50" s="10">
        <v>0</v>
      </c>
      <c r="Y50" s="1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 s="14">
        <v>0</v>
      </c>
      <c r="AU50" s="14">
        <v>0</v>
      </c>
      <c r="AV50" s="14">
        <v>0</v>
      </c>
      <c r="AW50" s="14">
        <v>0</v>
      </c>
      <c r="AX50" s="14">
        <v>0</v>
      </c>
      <c r="AY50" s="14">
        <v>0</v>
      </c>
      <c r="AZ50" s="14">
        <v>0</v>
      </c>
      <c r="BA50" s="14">
        <v>0</v>
      </c>
      <c r="BB50" s="14">
        <v>0</v>
      </c>
      <c r="BC50" s="14">
        <v>0</v>
      </c>
      <c r="BD50" s="14">
        <v>0</v>
      </c>
      <c r="BE50" s="14">
        <v>0</v>
      </c>
      <c r="BF50" s="14">
        <v>0</v>
      </c>
      <c r="BG50" s="14">
        <v>0</v>
      </c>
      <c r="BH50" s="14">
        <v>0</v>
      </c>
      <c r="BI50" s="14">
        <v>0</v>
      </c>
      <c r="BJ50" s="14">
        <v>0</v>
      </c>
      <c r="BK50" s="14">
        <v>0</v>
      </c>
      <c r="BL50" s="14">
        <v>0</v>
      </c>
      <c r="BM50" s="14">
        <v>0</v>
      </c>
      <c r="BN50" s="14">
        <v>0</v>
      </c>
      <c r="BO50" s="14">
        <v>0</v>
      </c>
      <c r="BP50" s="14">
        <v>0</v>
      </c>
      <c r="BQ50" s="14">
        <v>0</v>
      </c>
      <c r="BR50" s="14">
        <v>0</v>
      </c>
      <c r="BS50" s="14">
        <v>0</v>
      </c>
      <c r="BT50" s="14">
        <v>0</v>
      </c>
      <c r="BU50" s="14">
        <v>0</v>
      </c>
      <c r="BV50" s="14">
        <v>0</v>
      </c>
      <c r="BW50" s="14">
        <v>0</v>
      </c>
      <c r="BX50" t="s">
        <v>384</v>
      </c>
      <c r="BY50" t="s">
        <v>384</v>
      </c>
      <c r="BZ50" t="s">
        <v>384</v>
      </c>
      <c r="CA50" t="s">
        <v>384</v>
      </c>
      <c r="CB50" t="s">
        <v>384</v>
      </c>
      <c r="CC50" t="s">
        <v>384</v>
      </c>
      <c r="CD50" t="s">
        <v>384</v>
      </c>
      <c r="CE50" t="s">
        <v>384</v>
      </c>
      <c r="CF50" t="s">
        <v>384</v>
      </c>
      <c r="CG50" t="s">
        <v>384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</row>
    <row r="51" spans="1:175" x14ac:dyDescent="0.3">
      <c r="A51" s="171"/>
      <c r="B51" s="3" t="s">
        <v>16</v>
      </c>
      <c r="C51" s="11" t="s">
        <v>276</v>
      </c>
      <c r="D51" s="6" t="s">
        <v>160</v>
      </c>
      <c r="E51" s="9">
        <v>0</v>
      </c>
      <c r="F51" s="13">
        <v>0</v>
      </c>
      <c r="G51" s="13" t="s">
        <v>161</v>
      </c>
      <c r="H51">
        <v>0</v>
      </c>
      <c r="I51" t="s">
        <v>12</v>
      </c>
      <c r="J51">
        <v>0</v>
      </c>
      <c r="K51">
        <v>0</v>
      </c>
      <c r="L51" s="10">
        <v>0</v>
      </c>
      <c r="M51">
        <v>0</v>
      </c>
      <c r="N51">
        <v>0</v>
      </c>
      <c r="O51">
        <v>0</v>
      </c>
      <c r="P51" s="10">
        <v>0</v>
      </c>
      <c r="Q51" s="10">
        <v>0</v>
      </c>
      <c r="R51" s="10">
        <v>0</v>
      </c>
      <c r="S51" s="10">
        <v>0</v>
      </c>
      <c r="T51" s="10">
        <v>0</v>
      </c>
      <c r="U51" s="10">
        <v>0</v>
      </c>
      <c r="V51" s="10">
        <v>0</v>
      </c>
      <c r="W51" s="10">
        <v>0</v>
      </c>
      <c r="X51" s="10">
        <v>0</v>
      </c>
      <c r="Y51" s="10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 s="14">
        <v>0</v>
      </c>
      <c r="AU51" s="14">
        <v>0</v>
      </c>
      <c r="AV51" s="14">
        <v>0</v>
      </c>
      <c r="AW51" s="14">
        <v>0</v>
      </c>
      <c r="AX51" s="14">
        <v>0</v>
      </c>
      <c r="AY51" s="14">
        <v>0</v>
      </c>
      <c r="AZ51" s="14">
        <v>0</v>
      </c>
      <c r="BA51" s="14">
        <v>0</v>
      </c>
      <c r="BB51" s="14">
        <v>0</v>
      </c>
      <c r="BC51" s="14">
        <v>0</v>
      </c>
      <c r="BD51" s="14">
        <v>0</v>
      </c>
      <c r="BE51" s="14">
        <v>0</v>
      </c>
      <c r="BF51" s="14">
        <v>0</v>
      </c>
      <c r="BG51" s="14">
        <v>0</v>
      </c>
      <c r="BH51" s="14">
        <v>0</v>
      </c>
      <c r="BI51" s="14">
        <v>0</v>
      </c>
      <c r="BJ51" s="14">
        <v>0</v>
      </c>
      <c r="BK51" s="14">
        <v>0</v>
      </c>
      <c r="BL51" s="14">
        <v>0</v>
      </c>
      <c r="BM51" s="14">
        <v>0</v>
      </c>
      <c r="BN51" s="14">
        <v>0</v>
      </c>
      <c r="BO51" s="14">
        <v>0</v>
      </c>
      <c r="BP51" s="14">
        <v>0</v>
      </c>
      <c r="BQ51" s="14">
        <v>0</v>
      </c>
      <c r="BR51" s="14">
        <v>0</v>
      </c>
      <c r="BS51" s="14">
        <v>0</v>
      </c>
      <c r="BT51" s="14">
        <v>0</v>
      </c>
      <c r="BU51" s="14">
        <v>0</v>
      </c>
      <c r="BV51" s="14">
        <v>0</v>
      </c>
      <c r="BW51" s="14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</row>
    <row r="52" spans="1:175" x14ac:dyDescent="0.3">
      <c r="A52" s="171"/>
      <c r="B52" s="3" t="s">
        <v>17</v>
      </c>
      <c r="C52" s="11" t="s">
        <v>276</v>
      </c>
      <c r="D52" s="6" t="s">
        <v>162</v>
      </c>
      <c r="E52" s="9">
        <v>0</v>
      </c>
      <c r="F52" s="13">
        <v>0</v>
      </c>
      <c r="G52" s="13" t="s">
        <v>163</v>
      </c>
      <c r="H52">
        <v>0</v>
      </c>
      <c r="I52" t="s">
        <v>12</v>
      </c>
      <c r="J52">
        <v>0</v>
      </c>
      <c r="K52">
        <v>0</v>
      </c>
      <c r="L52" s="10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 s="14" t="s">
        <v>313</v>
      </c>
      <c r="AU52" s="14" t="s">
        <v>313</v>
      </c>
      <c r="AV52" s="14" t="s">
        <v>313</v>
      </c>
      <c r="AW52" s="14" t="s">
        <v>314</v>
      </c>
      <c r="AX52" s="14" t="s">
        <v>314</v>
      </c>
      <c r="AY52" s="14" t="s">
        <v>314</v>
      </c>
      <c r="AZ52" s="14" t="s">
        <v>314</v>
      </c>
      <c r="BA52" s="14" t="s">
        <v>314</v>
      </c>
      <c r="BB52" s="14" t="s">
        <v>314</v>
      </c>
      <c r="BC52" s="14" t="s">
        <v>314</v>
      </c>
      <c r="BD52" s="14">
        <v>0</v>
      </c>
      <c r="BE52" s="14">
        <v>0</v>
      </c>
      <c r="BF52" s="14">
        <v>0</v>
      </c>
      <c r="BG52" s="14">
        <v>0</v>
      </c>
      <c r="BH52" s="14">
        <v>0</v>
      </c>
      <c r="BI52" s="14">
        <v>0</v>
      </c>
      <c r="BJ52" s="14">
        <v>0</v>
      </c>
      <c r="BK52" s="14">
        <v>0</v>
      </c>
      <c r="BL52" s="14">
        <v>0</v>
      </c>
      <c r="BM52" s="14">
        <v>0</v>
      </c>
      <c r="BN52" s="14">
        <v>0</v>
      </c>
      <c r="BO52" s="14">
        <v>0</v>
      </c>
      <c r="BP52" s="14">
        <v>0</v>
      </c>
      <c r="BQ52" s="14">
        <v>0</v>
      </c>
      <c r="BR52" s="14">
        <v>0</v>
      </c>
      <c r="BS52" s="14">
        <v>0</v>
      </c>
      <c r="BT52" s="14">
        <v>0</v>
      </c>
      <c r="BU52" s="14">
        <v>0</v>
      </c>
      <c r="BV52" s="14">
        <v>0</v>
      </c>
      <c r="BW52" s="14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 t="s">
        <v>313</v>
      </c>
      <c r="CI52" t="s">
        <v>385</v>
      </c>
      <c r="CJ52" t="s">
        <v>385</v>
      </c>
      <c r="CK52" t="s">
        <v>385</v>
      </c>
      <c r="CL52" t="s">
        <v>385</v>
      </c>
      <c r="CM52" t="s">
        <v>385</v>
      </c>
      <c r="CN52" t="s">
        <v>385</v>
      </c>
      <c r="CO52" t="s">
        <v>385</v>
      </c>
      <c r="CP52" t="s">
        <v>385</v>
      </c>
      <c r="CQ52" t="s">
        <v>385</v>
      </c>
      <c r="CR52" t="s">
        <v>382</v>
      </c>
      <c r="CS52" t="s">
        <v>383</v>
      </c>
      <c r="CT52" t="s">
        <v>383</v>
      </c>
      <c r="CU52" t="s">
        <v>383</v>
      </c>
      <c r="CV52" t="s">
        <v>383</v>
      </c>
      <c r="CW52" t="s">
        <v>383</v>
      </c>
      <c r="CX52" t="s">
        <v>383</v>
      </c>
      <c r="CY52" t="s">
        <v>383</v>
      </c>
      <c r="CZ52" t="s">
        <v>383</v>
      </c>
      <c r="DA52" t="s">
        <v>383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 s="51">
        <v>0</v>
      </c>
      <c r="FA52" s="51">
        <v>0</v>
      </c>
      <c r="FB52" s="51">
        <v>0</v>
      </c>
      <c r="FC52">
        <v>0</v>
      </c>
      <c r="FD52" s="51">
        <v>0</v>
      </c>
      <c r="FE52">
        <v>0</v>
      </c>
      <c r="FF52" s="51">
        <v>0</v>
      </c>
      <c r="FG52">
        <v>0</v>
      </c>
      <c r="FH52" s="51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</row>
    <row r="53" spans="1:175" ht="14.55" customHeight="1" x14ac:dyDescent="0.3">
      <c r="A53" s="171" t="s">
        <v>18</v>
      </c>
      <c r="B53" s="12" t="s">
        <v>52</v>
      </c>
      <c r="C53" s="11" t="s">
        <v>276</v>
      </c>
      <c r="D53" s="6" t="s">
        <v>47</v>
      </c>
      <c r="E53" s="9">
        <v>0</v>
      </c>
      <c r="F53" s="13">
        <v>0</v>
      </c>
      <c r="G53" s="13" t="s">
        <v>48</v>
      </c>
      <c r="H53">
        <v>0</v>
      </c>
      <c r="I53" t="s">
        <v>12</v>
      </c>
      <c r="J53">
        <v>0</v>
      </c>
      <c r="K53">
        <v>0</v>
      </c>
      <c r="L53" s="10">
        <v>0</v>
      </c>
      <c r="M53">
        <v>0</v>
      </c>
      <c r="N53">
        <v>0</v>
      </c>
      <c r="O53">
        <v>0</v>
      </c>
      <c r="P53" s="10">
        <v>0</v>
      </c>
      <c r="Q53" s="10">
        <v>0</v>
      </c>
      <c r="R53" s="10">
        <v>0</v>
      </c>
      <c r="S53" s="10">
        <v>0</v>
      </c>
      <c r="T53" s="10">
        <v>0</v>
      </c>
      <c r="U53" s="10">
        <v>0</v>
      </c>
      <c r="V53" s="10">
        <v>0</v>
      </c>
      <c r="W53" s="10">
        <v>0</v>
      </c>
      <c r="X53" s="10">
        <v>0</v>
      </c>
      <c r="Y53" s="10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 s="14">
        <v>0</v>
      </c>
      <c r="AU53" s="14">
        <v>0</v>
      </c>
      <c r="AV53" s="14">
        <v>0</v>
      </c>
      <c r="AW53" s="14">
        <v>0</v>
      </c>
      <c r="AX53" s="14">
        <v>0</v>
      </c>
      <c r="AY53" s="14">
        <v>0</v>
      </c>
      <c r="AZ53" s="14">
        <v>0</v>
      </c>
      <c r="BA53" s="14">
        <v>0</v>
      </c>
      <c r="BB53" s="14">
        <v>0</v>
      </c>
      <c r="BC53" s="14">
        <v>0</v>
      </c>
      <c r="BD53" s="14">
        <v>0</v>
      </c>
      <c r="BE53" s="14">
        <v>0</v>
      </c>
      <c r="BF53" s="14">
        <v>0</v>
      </c>
      <c r="BG53" s="14">
        <v>0</v>
      </c>
      <c r="BH53" s="14">
        <v>0</v>
      </c>
      <c r="BI53" s="14">
        <v>0</v>
      </c>
      <c r="BJ53" s="14">
        <v>0</v>
      </c>
      <c r="BK53" s="14">
        <v>0</v>
      </c>
      <c r="BL53" s="14">
        <v>0</v>
      </c>
      <c r="BM53" s="14">
        <v>0</v>
      </c>
      <c r="BN53" s="14">
        <v>0</v>
      </c>
      <c r="BO53" s="14">
        <v>0</v>
      </c>
      <c r="BP53" s="14">
        <v>0</v>
      </c>
      <c r="BQ53" s="14">
        <v>0</v>
      </c>
      <c r="BR53" s="14">
        <v>0</v>
      </c>
      <c r="BS53" s="14">
        <v>0</v>
      </c>
      <c r="BT53" s="14">
        <v>0</v>
      </c>
      <c r="BU53" s="14">
        <v>0</v>
      </c>
      <c r="BV53" s="14">
        <v>0</v>
      </c>
      <c r="BW53" s="14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 t="s">
        <v>386</v>
      </c>
      <c r="CI53" t="s">
        <v>386</v>
      </c>
      <c r="CJ53" t="s">
        <v>386</v>
      </c>
      <c r="CK53" t="s">
        <v>387</v>
      </c>
      <c r="CL53" t="s">
        <v>387</v>
      </c>
      <c r="CM53" t="s">
        <v>387</v>
      </c>
      <c r="CN53" t="s">
        <v>387</v>
      </c>
      <c r="CO53" t="s">
        <v>387</v>
      </c>
      <c r="CP53" t="s">
        <v>387</v>
      </c>
      <c r="CQ53" t="s">
        <v>387</v>
      </c>
      <c r="CR53" t="s">
        <v>386</v>
      </c>
      <c r="CS53" t="s">
        <v>386</v>
      </c>
      <c r="CT53" t="s">
        <v>386</v>
      </c>
      <c r="CU53" t="s">
        <v>387</v>
      </c>
      <c r="CV53" t="s">
        <v>387</v>
      </c>
      <c r="CW53" t="s">
        <v>387</v>
      </c>
      <c r="CX53" t="s">
        <v>387</v>
      </c>
      <c r="CY53" t="s">
        <v>387</v>
      </c>
      <c r="CZ53" t="s">
        <v>387</v>
      </c>
      <c r="DA53" t="s">
        <v>387</v>
      </c>
      <c r="DB53" t="s">
        <v>386</v>
      </c>
      <c r="DC53" t="s">
        <v>386</v>
      </c>
      <c r="DD53" t="s">
        <v>386</v>
      </c>
      <c r="DE53" t="s">
        <v>387</v>
      </c>
      <c r="DF53" t="s">
        <v>387</v>
      </c>
      <c r="DG53" t="s">
        <v>387</v>
      </c>
      <c r="DH53" t="s">
        <v>387</v>
      </c>
      <c r="DI53" t="s">
        <v>387</v>
      </c>
      <c r="DJ53" t="s">
        <v>387</v>
      </c>
      <c r="DK53" t="s">
        <v>387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</row>
    <row r="54" spans="1:175" ht="14.55" customHeight="1" x14ac:dyDescent="0.3">
      <c r="A54" s="171"/>
      <c r="B54" s="12" t="s">
        <v>51</v>
      </c>
      <c r="C54" s="11" t="s">
        <v>276</v>
      </c>
      <c r="D54" s="6" t="s">
        <v>49</v>
      </c>
      <c r="E54" s="9">
        <v>0</v>
      </c>
      <c r="F54" s="13">
        <v>0</v>
      </c>
      <c r="G54" s="13" t="s">
        <v>50</v>
      </c>
      <c r="H54">
        <v>0</v>
      </c>
      <c r="I54" t="s">
        <v>12</v>
      </c>
      <c r="J54">
        <v>0</v>
      </c>
      <c r="K54">
        <v>0</v>
      </c>
      <c r="L54" s="10">
        <v>0</v>
      </c>
      <c r="M54">
        <v>0</v>
      </c>
      <c r="N54">
        <v>0</v>
      </c>
      <c r="O54">
        <v>0</v>
      </c>
      <c r="P54" s="10">
        <v>0</v>
      </c>
      <c r="Q54" s="10">
        <v>0</v>
      </c>
      <c r="R54" s="10">
        <v>0</v>
      </c>
      <c r="S54" s="10">
        <v>0</v>
      </c>
      <c r="T54" s="10">
        <v>0</v>
      </c>
      <c r="U54" s="10">
        <v>0</v>
      </c>
      <c r="V54" s="10">
        <v>0</v>
      </c>
      <c r="W54" s="10">
        <v>0</v>
      </c>
      <c r="X54" s="10">
        <v>0</v>
      </c>
      <c r="Y54" s="10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 s="14">
        <v>0</v>
      </c>
      <c r="AU54" s="14">
        <v>0</v>
      </c>
      <c r="AV54" s="14">
        <v>0</v>
      </c>
      <c r="AW54" s="14">
        <v>0</v>
      </c>
      <c r="AX54" s="14">
        <v>0</v>
      </c>
      <c r="AY54" s="14">
        <v>0</v>
      </c>
      <c r="AZ54" s="14">
        <v>0</v>
      </c>
      <c r="BA54" s="14">
        <v>0</v>
      </c>
      <c r="BB54" s="14">
        <v>0</v>
      </c>
      <c r="BC54" s="14">
        <v>0</v>
      </c>
      <c r="BD54" s="14">
        <v>0</v>
      </c>
      <c r="BE54" s="14">
        <v>0</v>
      </c>
      <c r="BF54" s="14">
        <v>0</v>
      </c>
      <c r="BG54" s="14">
        <v>0</v>
      </c>
      <c r="BH54" s="14">
        <v>0</v>
      </c>
      <c r="BI54" s="14">
        <v>0</v>
      </c>
      <c r="BJ54" s="14">
        <v>0</v>
      </c>
      <c r="BK54" s="14">
        <v>0</v>
      </c>
      <c r="BL54" s="14">
        <v>0</v>
      </c>
      <c r="BM54" s="14">
        <v>0</v>
      </c>
      <c r="BN54" s="14">
        <v>0</v>
      </c>
      <c r="BO54" s="14">
        <v>0</v>
      </c>
      <c r="BP54" s="14">
        <v>0</v>
      </c>
      <c r="BQ54" s="14">
        <v>0</v>
      </c>
      <c r="BR54" s="14">
        <v>0</v>
      </c>
      <c r="BS54" s="14">
        <v>0</v>
      </c>
      <c r="BT54" s="14">
        <v>0</v>
      </c>
      <c r="BU54" s="14">
        <v>0</v>
      </c>
      <c r="BV54" s="14">
        <v>0</v>
      </c>
      <c r="BW54" s="1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 t="s">
        <v>386</v>
      </c>
      <c r="CI54" t="s">
        <v>386</v>
      </c>
      <c r="CJ54" t="s">
        <v>386</v>
      </c>
      <c r="CK54" t="s">
        <v>387</v>
      </c>
      <c r="CL54" t="s">
        <v>387</v>
      </c>
      <c r="CM54" t="s">
        <v>387</v>
      </c>
      <c r="CN54" t="s">
        <v>387</v>
      </c>
      <c r="CO54" t="s">
        <v>387</v>
      </c>
      <c r="CP54" t="s">
        <v>387</v>
      </c>
      <c r="CQ54" t="s">
        <v>387</v>
      </c>
      <c r="CR54" t="s">
        <v>386</v>
      </c>
      <c r="CS54" t="s">
        <v>386</v>
      </c>
      <c r="CT54" t="s">
        <v>386</v>
      </c>
      <c r="CU54" t="s">
        <v>387</v>
      </c>
      <c r="CV54" t="s">
        <v>387</v>
      </c>
      <c r="CW54" t="s">
        <v>387</v>
      </c>
      <c r="CX54" t="s">
        <v>387</v>
      </c>
      <c r="CY54" t="s">
        <v>387</v>
      </c>
      <c r="CZ54" t="s">
        <v>387</v>
      </c>
      <c r="DA54" t="s">
        <v>387</v>
      </c>
      <c r="DB54" t="s">
        <v>386</v>
      </c>
      <c r="DC54" t="s">
        <v>386</v>
      </c>
      <c r="DD54" t="s">
        <v>386</v>
      </c>
      <c r="DE54" t="s">
        <v>387</v>
      </c>
      <c r="DF54" t="s">
        <v>387</v>
      </c>
      <c r="DG54" t="s">
        <v>387</v>
      </c>
      <c r="DH54" t="s">
        <v>387</v>
      </c>
      <c r="DI54" t="s">
        <v>387</v>
      </c>
      <c r="DJ54" t="s">
        <v>387</v>
      </c>
      <c r="DK54" t="s">
        <v>387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</row>
    <row r="55" spans="1:175" x14ac:dyDescent="0.3">
      <c r="A55" s="171"/>
      <c r="B55" s="12" t="str">
        <f>CONCATENATE("RPU_"&amp;D55)</f>
        <v>RPU_ON_SP198-HH100</v>
      </c>
      <c r="C55" s="11" t="s">
        <v>276</v>
      </c>
      <c r="D55" s="2" t="s">
        <v>164</v>
      </c>
      <c r="E55" s="9">
        <v>0</v>
      </c>
      <c r="F55" s="13">
        <v>0</v>
      </c>
      <c r="G55" s="13" t="s">
        <v>53</v>
      </c>
      <c r="H55">
        <v>0</v>
      </c>
      <c r="I55" t="s">
        <v>12</v>
      </c>
      <c r="J55">
        <v>0</v>
      </c>
      <c r="K55">
        <v>0</v>
      </c>
      <c r="L55" s="10">
        <v>0</v>
      </c>
      <c r="M55">
        <v>0</v>
      </c>
      <c r="N55">
        <v>0</v>
      </c>
      <c r="O55">
        <v>0</v>
      </c>
      <c r="P55" s="10">
        <v>0</v>
      </c>
      <c r="Q55" s="10">
        <v>0</v>
      </c>
      <c r="R55" s="10">
        <v>0</v>
      </c>
      <c r="S55" s="10">
        <v>0</v>
      </c>
      <c r="T55" s="10">
        <v>0</v>
      </c>
      <c r="U55" s="10">
        <v>0</v>
      </c>
      <c r="V55" s="10">
        <v>0</v>
      </c>
      <c r="W55" s="10">
        <v>0</v>
      </c>
      <c r="X55" s="10">
        <v>0</v>
      </c>
      <c r="Y55" s="10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 s="14">
        <v>0</v>
      </c>
      <c r="AU55" s="14">
        <v>0</v>
      </c>
      <c r="AV55" s="14">
        <v>0</v>
      </c>
      <c r="AW55" s="14">
        <v>0</v>
      </c>
      <c r="AX55" s="14">
        <v>0</v>
      </c>
      <c r="AY55" s="14">
        <v>0</v>
      </c>
      <c r="AZ55" s="14">
        <v>0</v>
      </c>
      <c r="BA55" s="14">
        <v>0</v>
      </c>
      <c r="BB55" s="14">
        <v>0</v>
      </c>
      <c r="BC55" s="14">
        <v>0</v>
      </c>
      <c r="BD55" s="14">
        <v>0</v>
      </c>
      <c r="BE55" s="14">
        <v>0</v>
      </c>
      <c r="BF55" s="14">
        <v>0</v>
      </c>
      <c r="BG55" s="14">
        <v>0</v>
      </c>
      <c r="BH55" s="14">
        <v>0</v>
      </c>
      <c r="BI55" s="14">
        <v>0</v>
      </c>
      <c r="BJ55" s="14">
        <v>0</v>
      </c>
      <c r="BK55" s="14">
        <v>0</v>
      </c>
      <c r="BL55" s="14">
        <v>0</v>
      </c>
      <c r="BM55" s="14">
        <v>0</v>
      </c>
      <c r="BN55" s="14">
        <v>0</v>
      </c>
      <c r="BO55" s="14">
        <v>0</v>
      </c>
      <c r="BP55" s="14">
        <v>0</v>
      </c>
      <c r="BQ55" s="14">
        <v>0</v>
      </c>
      <c r="BR55" s="14">
        <v>0</v>
      </c>
      <c r="BS55" s="14">
        <v>0</v>
      </c>
      <c r="BT55" s="14">
        <v>0</v>
      </c>
      <c r="BU55" s="14">
        <v>0</v>
      </c>
      <c r="BV55" s="14">
        <v>0</v>
      </c>
      <c r="BW55" s="14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 t="s">
        <v>386</v>
      </c>
      <c r="CI55" t="s">
        <v>386</v>
      </c>
      <c r="CJ55" t="s">
        <v>386</v>
      </c>
      <c r="CK55" t="s">
        <v>387</v>
      </c>
      <c r="CL55" t="s">
        <v>387</v>
      </c>
      <c r="CM55" t="s">
        <v>387</v>
      </c>
      <c r="CN55" t="s">
        <v>387</v>
      </c>
      <c r="CO55" t="s">
        <v>387</v>
      </c>
      <c r="CP55" t="s">
        <v>387</v>
      </c>
      <c r="CQ55" t="s">
        <v>387</v>
      </c>
      <c r="CR55" t="s">
        <v>386</v>
      </c>
      <c r="CS55" t="s">
        <v>386</v>
      </c>
      <c r="CT55" t="s">
        <v>386</v>
      </c>
      <c r="CU55" t="s">
        <v>387</v>
      </c>
      <c r="CV55" t="s">
        <v>387</v>
      </c>
      <c r="CW55" t="s">
        <v>387</v>
      </c>
      <c r="CX55" t="s">
        <v>387</v>
      </c>
      <c r="CY55" t="s">
        <v>387</v>
      </c>
      <c r="CZ55" t="s">
        <v>387</v>
      </c>
      <c r="DA55" t="s">
        <v>387</v>
      </c>
      <c r="DB55" t="s">
        <v>386</v>
      </c>
      <c r="DC55" t="s">
        <v>386</v>
      </c>
      <c r="DD55" t="s">
        <v>386</v>
      </c>
      <c r="DE55" t="s">
        <v>387</v>
      </c>
      <c r="DF55" t="s">
        <v>387</v>
      </c>
      <c r="DG55" t="s">
        <v>387</v>
      </c>
      <c r="DH55" t="s">
        <v>387</v>
      </c>
      <c r="DI55" t="s">
        <v>387</v>
      </c>
      <c r="DJ55" t="s">
        <v>387</v>
      </c>
      <c r="DK55" t="s">
        <v>387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 s="16">
        <v>0</v>
      </c>
      <c r="EG55" s="16">
        <v>0</v>
      </c>
      <c r="EH55" s="16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</row>
    <row r="56" spans="1:175" x14ac:dyDescent="0.3">
      <c r="A56" s="171"/>
      <c r="B56" s="12" t="str">
        <f t="shared" ref="B56:B66" si="4">CONCATENATE("RPU_"&amp;D56)</f>
        <v>RPU_ON_SP198-HH150</v>
      </c>
      <c r="C56" s="11" t="s">
        <v>276</v>
      </c>
      <c r="D56" s="2" t="s">
        <v>54</v>
      </c>
      <c r="E56" s="9">
        <v>0</v>
      </c>
      <c r="F56" s="13">
        <v>0</v>
      </c>
      <c r="G56" s="13" t="s">
        <v>55</v>
      </c>
      <c r="H56">
        <v>0</v>
      </c>
      <c r="I56" t="s">
        <v>12</v>
      </c>
      <c r="J56">
        <v>0</v>
      </c>
      <c r="K56">
        <v>0</v>
      </c>
      <c r="L56" s="10">
        <v>0</v>
      </c>
      <c r="M56">
        <v>0</v>
      </c>
      <c r="N56">
        <v>0</v>
      </c>
      <c r="O56">
        <v>0</v>
      </c>
      <c r="P56" s="10">
        <v>0</v>
      </c>
      <c r="Q56" s="10">
        <v>0</v>
      </c>
      <c r="R56" s="10">
        <v>0</v>
      </c>
      <c r="S56" s="10">
        <v>0</v>
      </c>
      <c r="T56" s="10">
        <v>0</v>
      </c>
      <c r="U56" s="10">
        <v>0</v>
      </c>
      <c r="V56" s="10">
        <v>0</v>
      </c>
      <c r="W56" s="10">
        <v>0</v>
      </c>
      <c r="X56" s="10">
        <v>0</v>
      </c>
      <c r="Y56" s="10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 s="14">
        <v>0</v>
      </c>
      <c r="AU56" s="14">
        <v>0</v>
      </c>
      <c r="AV56" s="14">
        <v>0</v>
      </c>
      <c r="AW56" s="14">
        <v>0</v>
      </c>
      <c r="AX56" s="14">
        <v>0</v>
      </c>
      <c r="AY56" s="14">
        <v>0</v>
      </c>
      <c r="AZ56" s="14">
        <v>0</v>
      </c>
      <c r="BA56" s="14">
        <v>0</v>
      </c>
      <c r="BB56" s="14">
        <v>0</v>
      </c>
      <c r="BC56" s="14">
        <v>0</v>
      </c>
      <c r="BD56" s="14">
        <v>0</v>
      </c>
      <c r="BE56" s="14">
        <v>0</v>
      </c>
      <c r="BF56" s="14">
        <v>0</v>
      </c>
      <c r="BG56" s="14">
        <v>0</v>
      </c>
      <c r="BH56" s="14">
        <v>0</v>
      </c>
      <c r="BI56" s="14">
        <v>0</v>
      </c>
      <c r="BJ56" s="14">
        <v>0</v>
      </c>
      <c r="BK56" s="14">
        <v>0</v>
      </c>
      <c r="BL56" s="14">
        <v>0</v>
      </c>
      <c r="BM56" s="14">
        <v>0</v>
      </c>
      <c r="BN56" s="14">
        <v>0</v>
      </c>
      <c r="BO56" s="14">
        <v>0</v>
      </c>
      <c r="BP56" s="14">
        <v>0</v>
      </c>
      <c r="BQ56" s="14">
        <v>0</v>
      </c>
      <c r="BR56" s="14">
        <v>0</v>
      </c>
      <c r="BS56" s="14">
        <v>0</v>
      </c>
      <c r="BT56" s="14">
        <v>0</v>
      </c>
      <c r="BU56" s="14">
        <v>0</v>
      </c>
      <c r="BV56" s="14">
        <v>0</v>
      </c>
      <c r="BW56" s="14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 t="s">
        <v>386</v>
      </c>
      <c r="CI56" t="s">
        <v>386</v>
      </c>
      <c r="CJ56" t="s">
        <v>386</v>
      </c>
      <c r="CK56" t="s">
        <v>387</v>
      </c>
      <c r="CL56" t="s">
        <v>387</v>
      </c>
      <c r="CM56" t="s">
        <v>387</v>
      </c>
      <c r="CN56" t="s">
        <v>387</v>
      </c>
      <c r="CO56" t="s">
        <v>387</v>
      </c>
      <c r="CP56" t="s">
        <v>387</v>
      </c>
      <c r="CQ56" t="s">
        <v>387</v>
      </c>
      <c r="CR56" t="s">
        <v>386</v>
      </c>
      <c r="CS56" t="s">
        <v>386</v>
      </c>
      <c r="CT56" t="s">
        <v>386</v>
      </c>
      <c r="CU56" t="s">
        <v>387</v>
      </c>
      <c r="CV56" t="s">
        <v>387</v>
      </c>
      <c r="CW56" t="s">
        <v>387</v>
      </c>
      <c r="CX56" t="s">
        <v>387</v>
      </c>
      <c r="CY56" t="s">
        <v>387</v>
      </c>
      <c r="CZ56" t="s">
        <v>387</v>
      </c>
      <c r="DA56" t="s">
        <v>387</v>
      </c>
      <c r="DB56" t="s">
        <v>386</v>
      </c>
      <c r="DC56" t="s">
        <v>386</v>
      </c>
      <c r="DD56" t="s">
        <v>386</v>
      </c>
      <c r="DE56" t="s">
        <v>387</v>
      </c>
      <c r="DF56" t="s">
        <v>387</v>
      </c>
      <c r="DG56" t="s">
        <v>387</v>
      </c>
      <c r="DH56" t="s">
        <v>387</v>
      </c>
      <c r="DI56" t="s">
        <v>387</v>
      </c>
      <c r="DJ56" t="s">
        <v>387</v>
      </c>
      <c r="DK56" t="s">
        <v>387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 s="16">
        <v>0</v>
      </c>
      <c r="EG56" s="16">
        <v>0</v>
      </c>
      <c r="EH56" s="1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</row>
    <row r="57" spans="1:175" x14ac:dyDescent="0.3">
      <c r="A57" s="171"/>
      <c r="B57" s="12" t="str">
        <f t="shared" si="4"/>
        <v>RPU_ON_SP237-HH100</v>
      </c>
      <c r="C57" s="11" t="s">
        <v>276</v>
      </c>
      <c r="D57" s="2" t="s">
        <v>56</v>
      </c>
      <c r="E57" s="9">
        <v>0</v>
      </c>
      <c r="F57" s="13">
        <v>0</v>
      </c>
      <c r="G57" s="13" t="s">
        <v>57</v>
      </c>
      <c r="H57">
        <v>0</v>
      </c>
      <c r="I57" t="s">
        <v>12</v>
      </c>
      <c r="J57">
        <v>0</v>
      </c>
      <c r="K57">
        <v>0</v>
      </c>
      <c r="L57" s="10">
        <v>0</v>
      </c>
      <c r="M57">
        <v>0</v>
      </c>
      <c r="N57">
        <v>0</v>
      </c>
      <c r="O57">
        <v>0</v>
      </c>
      <c r="P57" s="10">
        <v>0</v>
      </c>
      <c r="Q57" s="10">
        <v>0</v>
      </c>
      <c r="R57" s="10">
        <v>0</v>
      </c>
      <c r="S57" s="10">
        <v>0</v>
      </c>
      <c r="T57" s="10">
        <v>0</v>
      </c>
      <c r="U57" s="10">
        <v>0</v>
      </c>
      <c r="V57" s="10">
        <v>0</v>
      </c>
      <c r="W57" s="10">
        <v>0</v>
      </c>
      <c r="X57" s="10">
        <v>0</v>
      </c>
      <c r="Y57" s="10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 s="14">
        <v>0</v>
      </c>
      <c r="AU57" s="14">
        <v>0</v>
      </c>
      <c r="AV57" s="14">
        <v>0</v>
      </c>
      <c r="AW57" s="14">
        <v>0</v>
      </c>
      <c r="AX57" s="14">
        <v>0</v>
      </c>
      <c r="AY57" s="14">
        <v>0</v>
      </c>
      <c r="AZ57" s="14">
        <v>0</v>
      </c>
      <c r="BA57" s="14">
        <v>0</v>
      </c>
      <c r="BB57" s="14">
        <v>0</v>
      </c>
      <c r="BC57" s="14">
        <v>0</v>
      </c>
      <c r="BD57" s="14">
        <v>0</v>
      </c>
      <c r="BE57" s="14">
        <v>0</v>
      </c>
      <c r="BF57" s="14">
        <v>0</v>
      </c>
      <c r="BG57" s="14">
        <v>0</v>
      </c>
      <c r="BH57" s="14">
        <v>0</v>
      </c>
      <c r="BI57" s="14">
        <v>0</v>
      </c>
      <c r="BJ57" s="14">
        <v>0</v>
      </c>
      <c r="BK57" s="14">
        <v>0</v>
      </c>
      <c r="BL57" s="14">
        <v>0</v>
      </c>
      <c r="BM57" s="14">
        <v>0</v>
      </c>
      <c r="BN57" s="14">
        <v>0</v>
      </c>
      <c r="BO57" s="14">
        <v>0</v>
      </c>
      <c r="BP57" s="14">
        <v>0</v>
      </c>
      <c r="BQ57" s="14">
        <v>0</v>
      </c>
      <c r="BR57" s="14">
        <v>0</v>
      </c>
      <c r="BS57" s="14">
        <v>0</v>
      </c>
      <c r="BT57" s="14">
        <v>0</v>
      </c>
      <c r="BU57" s="14">
        <v>0</v>
      </c>
      <c r="BV57" s="14">
        <v>0</v>
      </c>
      <c r="BW57" s="14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 t="s">
        <v>386</v>
      </c>
      <c r="CI57" t="s">
        <v>386</v>
      </c>
      <c r="CJ57" t="s">
        <v>386</v>
      </c>
      <c r="CK57" t="s">
        <v>387</v>
      </c>
      <c r="CL57" t="s">
        <v>387</v>
      </c>
      <c r="CM57" t="s">
        <v>387</v>
      </c>
      <c r="CN57" t="s">
        <v>387</v>
      </c>
      <c r="CO57" t="s">
        <v>387</v>
      </c>
      <c r="CP57" t="s">
        <v>387</v>
      </c>
      <c r="CQ57" t="s">
        <v>387</v>
      </c>
      <c r="CR57" t="s">
        <v>386</v>
      </c>
      <c r="CS57" t="s">
        <v>386</v>
      </c>
      <c r="CT57" t="s">
        <v>386</v>
      </c>
      <c r="CU57" t="s">
        <v>387</v>
      </c>
      <c r="CV57" t="s">
        <v>387</v>
      </c>
      <c r="CW57" t="s">
        <v>387</v>
      </c>
      <c r="CX57" t="s">
        <v>387</v>
      </c>
      <c r="CY57" t="s">
        <v>387</v>
      </c>
      <c r="CZ57" t="s">
        <v>387</v>
      </c>
      <c r="DA57" t="s">
        <v>387</v>
      </c>
      <c r="DB57" t="s">
        <v>386</v>
      </c>
      <c r="DC57" t="s">
        <v>386</v>
      </c>
      <c r="DD57" t="s">
        <v>386</v>
      </c>
      <c r="DE57" t="s">
        <v>387</v>
      </c>
      <c r="DF57" t="s">
        <v>387</v>
      </c>
      <c r="DG57" t="s">
        <v>387</v>
      </c>
      <c r="DH57" t="s">
        <v>387</v>
      </c>
      <c r="DI57" t="s">
        <v>387</v>
      </c>
      <c r="DJ57" t="s">
        <v>387</v>
      </c>
      <c r="DK57" t="s">
        <v>387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 s="16">
        <v>0</v>
      </c>
      <c r="EG57" s="16">
        <v>0</v>
      </c>
      <c r="EH57" s="16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</row>
    <row r="58" spans="1:175" x14ac:dyDescent="0.3">
      <c r="A58" s="171"/>
      <c r="B58" s="12" t="str">
        <f t="shared" si="4"/>
        <v>RPU_ON_SP237-HH150</v>
      </c>
      <c r="C58" s="11" t="s">
        <v>276</v>
      </c>
      <c r="D58" s="2" t="s">
        <v>58</v>
      </c>
      <c r="E58" s="9">
        <v>0</v>
      </c>
      <c r="F58" s="13">
        <v>0</v>
      </c>
      <c r="G58" s="13" t="s">
        <v>59</v>
      </c>
      <c r="H58">
        <v>0</v>
      </c>
      <c r="I58" t="s">
        <v>12</v>
      </c>
      <c r="J58">
        <v>0</v>
      </c>
      <c r="K58">
        <v>0</v>
      </c>
      <c r="L58" s="10">
        <v>0</v>
      </c>
      <c r="M58">
        <v>0</v>
      </c>
      <c r="N58">
        <v>0</v>
      </c>
      <c r="O58">
        <v>0</v>
      </c>
      <c r="P58" s="10">
        <v>0</v>
      </c>
      <c r="Q58" s="10">
        <v>0</v>
      </c>
      <c r="R58" s="10">
        <v>0</v>
      </c>
      <c r="S58" s="10">
        <v>0</v>
      </c>
      <c r="T58" s="10">
        <v>0</v>
      </c>
      <c r="U58" s="10">
        <v>0</v>
      </c>
      <c r="V58" s="10">
        <v>0</v>
      </c>
      <c r="W58" s="10">
        <v>0</v>
      </c>
      <c r="X58" s="10">
        <v>0</v>
      </c>
      <c r="Y58" s="10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 s="14">
        <v>0</v>
      </c>
      <c r="AU58" s="14">
        <v>0</v>
      </c>
      <c r="AV58" s="14">
        <v>0</v>
      </c>
      <c r="AW58" s="14">
        <v>0</v>
      </c>
      <c r="AX58" s="14">
        <v>0</v>
      </c>
      <c r="AY58" s="14">
        <v>0</v>
      </c>
      <c r="AZ58" s="14">
        <v>0</v>
      </c>
      <c r="BA58" s="14">
        <v>0</v>
      </c>
      <c r="BB58" s="14">
        <v>0</v>
      </c>
      <c r="BC58" s="14">
        <v>0</v>
      </c>
      <c r="BD58" s="14">
        <v>0</v>
      </c>
      <c r="BE58" s="14">
        <v>0</v>
      </c>
      <c r="BF58" s="14">
        <v>0</v>
      </c>
      <c r="BG58" s="14">
        <v>0</v>
      </c>
      <c r="BH58" s="14">
        <v>0</v>
      </c>
      <c r="BI58" s="14">
        <v>0</v>
      </c>
      <c r="BJ58" s="14">
        <v>0</v>
      </c>
      <c r="BK58" s="14">
        <v>0</v>
      </c>
      <c r="BL58" s="14">
        <v>0</v>
      </c>
      <c r="BM58" s="14">
        <v>0</v>
      </c>
      <c r="BN58" s="14">
        <v>0</v>
      </c>
      <c r="BO58" s="14">
        <v>0</v>
      </c>
      <c r="BP58" s="14">
        <v>0</v>
      </c>
      <c r="BQ58" s="14">
        <v>0</v>
      </c>
      <c r="BR58" s="14">
        <v>0</v>
      </c>
      <c r="BS58" s="14">
        <v>0</v>
      </c>
      <c r="BT58" s="14">
        <v>0</v>
      </c>
      <c r="BU58" s="14">
        <v>0</v>
      </c>
      <c r="BV58" s="14">
        <v>0</v>
      </c>
      <c r="BW58" s="14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 t="s">
        <v>386</v>
      </c>
      <c r="CI58" t="s">
        <v>386</v>
      </c>
      <c r="CJ58" t="s">
        <v>386</v>
      </c>
      <c r="CK58" t="s">
        <v>387</v>
      </c>
      <c r="CL58" t="s">
        <v>387</v>
      </c>
      <c r="CM58" t="s">
        <v>387</v>
      </c>
      <c r="CN58" t="s">
        <v>387</v>
      </c>
      <c r="CO58" t="s">
        <v>387</v>
      </c>
      <c r="CP58" t="s">
        <v>387</v>
      </c>
      <c r="CQ58" t="s">
        <v>387</v>
      </c>
      <c r="CR58" t="s">
        <v>386</v>
      </c>
      <c r="CS58" t="s">
        <v>386</v>
      </c>
      <c r="CT58" t="s">
        <v>386</v>
      </c>
      <c r="CU58" t="s">
        <v>387</v>
      </c>
      <c r="CV58" t="s">
        <v>387</v>
      </c>
      <c r="CW58" t="s">
        <v>387</v>
      </c>
      <c r="CX58" t="s">
        <v>387</v>
      </c>
      <c r="CY58" t="s">
        <v>387</v>
      </c>
      <c r="CZ58" t="s">
        <v>387</v>
      </c>
      <c r="DA58" t="s">
        <v>387</v>
      </c>
      <c r="DB58" t="s">
        <v>386</v>
      </c>
      <c r="DC58" t="s">
        <v>386</v>
      </c>
      <c r="DD58" t="s">
        <v>386</v>
      </c>
      <c r="DE58" t="s">
        <v>387</v>
      </c>
      <c r="DF58" t="s">
        <v>387</v>
      </c>
      <c r="DG58" t="s">
        <v>387</v>
      </c>
      <c r="DH58" t="s">
        <v>387</v>
      </c>
      <c r="DI58" t="s">
        <v>387</v>
      </c>
      <c r="DJ58" t="s">
        <v>387</v>
      </c>
      <c r="DK58" t="s">
        <v>387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 s="16">
        <v>0</v>
      </c>
      <c r="EG58" s="16">
        <v>0</v>
      </c>
      <c r="EH58" s="16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</row>
    <row r="59" spans="1:175" x14ac:dyDescent="0.3">
      <c r="A59" s="171"/>
      <c r="B59" s="12" t="str">
        <f t="shared" si="4"/>
        <v>RPU_ON_SP277-HH100</v>
      </c>
      <c r="C59" s="11" t="s">
        <v>276</v>
      </c>
      <c r="D59" s="2" t="s">
        <v>60</v>
      </c>
      <c r="E59" s="9">
        <v>0</v>
      </c>
      <c r="F59" s="13">
        <v>0</v>
      </c>
      <c r="G59" s="13" t="s">
        <v>61</v>
      </c>
      <c r="H59">
        <v>0</v>
      </c>
      <c r="I59" t="s">
        <v>12</v>
      </c>
      <c r="J59">
        <v>0</v>
      </c>
      <c r="K59">
        <v>0</v>
      </c>
      <c r="L59" s="10">
        <v>0</v>
      </c>
      <c r="M59">
        <v>0</v>
      </c>
      <c r="N59">
        <v>0</v>
      </c>
      <c r="O59">
        <v>0</v>
      </c>
      <c r="P59" s="10">
        <v>0</v>
      </c>
      <c r="Q59" s="10">
        <v>0</v>
      </c>
      <c r="R59" s="10">
        <v>0</v>
      </c>
      <c r="S59" s="10">
        <v>0</v>
      </c>
      <c r="T59" s="10">
        <v>0</v>
      </c>
      <c r="U59" s="10">
        <v>0</v>
      </c>
      <c r="V59" s="10">
        <v>0</v>
      </c>
      <c r="W59" s="10">
        <v>0</v>
      </c>
      <c r="X59" s="10">
        <v>0</v>
      </c>
      <c r="Y59" s="10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 s="14">
        <v>0</v>
      </c>
      <c r="AU59" s="14">
        <v>0</v>
      </c>
      <c r="AV59" s="14">
        <v>0</v>
      </c>
      <c r="AW59" s="14">
        <v>0</v>
      </c>
      <c r="AX59" s="14">
        <v>0</v>
      </c>
      <c r="AY59" s="14">
        <v>0</v>
      </c>
      <c r="AZ59" s="14">
        <v>0</v>
      </c>
      <c r="BA59" s="14">
        <v>0</v>
      </c>
      <c r="BB59" s="14">
        <v>0</v>
      </c>
      <c r="BC59" s="14">
        <v>0</v>
      </c>
      <c r="BD59" s="14">
        <v>0</v>
      </c>
      <c r="BE59" s="14">
        <v>0</v>
      </c>
      <c r="BF59" s="14">
        <v>0</v>
      </c>
      <c r="BG59" s="14">
        <v>0</v>
      </c>
      <c r="BH59" s="14">
        <v>0</v>
      </c>
      <c r="BI59" s="14">
        <v>0</v>
      </c>
      <c r="BJ59" s="14">
        <v>0</v>
      </c>
      <c r="BK59" s="14">
        <v>0</v>
      </c>
      <c r="BL59" s="14">
        <v>0</v>
      </c>
      <c r="BM59" s="14">
        <v>0</v>
      </c>
      <c r="BN59" s="14">
        <v>0</v>
      </c>
      <c r="BO59" s="14">
        <v>0</v>
      </c>
      <c r="BP59" s="14">
        <v>0</v>
      </c>
      <c r="BQ59" s="14">
        <v>0</v>
      </c>
      <c r="BR59" s="14">
        <v>0</v>
      </c>
      <c r="BS59" s="14">
        <v>0</v>
      </c>
      <c r="BT59" s="14">
        <v>0</v>
      </c>
      <c r="BU59" s="14">
        <v>0</v>
      </c>
      <c r="BV59" s="14">
        <v>0</v>
      </c>
      <c r="BW59" s="14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 t="s">
        <v>386</v>
      </c>
      <c r="CI59" t="s">
        <v>386</v>
      </c>
      <c r="CJ59" t="s">
        <v>386</v>
      </c>
      <c r="CK59" t="s">
        <v>387</v>
      </c>
      <c r="CL59" t="s">
        <v>387</v>
      </c>
      <c r="CM59" t="s">
        <v>387</v>
      </c>
      <c r="CN59" t="s">
        <v>387</v>
      </c>
      <c r="CO59" t="s">
        <v>387</v>
      </c>
      <c r="CP59" t="s">
        <v>387</v>
      </c>
      <c r="CQ59" t="s">
        <v>387</v>
      </c>
      <c r="CR59" t="s">
        <v>386</v>
      </c>
      <c r="CS59" t="s">
        <v>386</v>
      </c>
      <c r="CT59" t="s">
        <v>386</v>
      </c>
      <c r="CU59" t="s">
        <v>387</v>
      </c>
      <c r="CV59" t="s">
        <v>387</v>
      </c>
      <c r="CW59" t="s">
        <v>387</v>
      </c>
      <c r="CX59" t="s">
        <v>387</v>
      </c>
      <c r="CY59" t="s">
        <v>387</v>
      </c>
      <c r="CZ59" t="s">
        <v>387</v>
      </c>
      <c r="DA59" t="s">
        <v>387</v>
      </c>
      <c r="DB59" t="s">
        <v>386</v>
      </c>
      <c r="DC59" t="s">
        <v>386</v>
      </c>
      <c r="DD59" t="s">
        <v>386</v>
      </c>
      <c r="DE59" t="s">
        <v>387</v>
      </c>
      <c r="DF59" t="s">
        <v>387</v>
      </c>
      <c r="DG59" t="s">
        <v>387</v>
      </c>
      <c r="DH59" t="s">
        <v>387</v>
      </c>
      <c r="DI59" t="s">
        <v>387</v>
      </c>
      <c r="DJ59" t="s">
        <v>387</v>
      </c>
      <c r="DK59" t="s">
        <v>387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 s="16">
        <v>0</v>
      </c>
      <c r="EG59" s="16">
        <v>0</v>
      </c>
      <c r="EH59" s="16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</row>
    <row r="60" spans="1:175" x14ac:dyDescent="0.3">
      <c r="A60" s="171"/>
      <c r="B60" s="12" t="str">
        <f t="shared" si="4"/>
        <v>RPU_ON_SP277-HH150</v>
      </c>
      <c r="C60" s="11" t="s">
        <v>276</v>
      </c>
      <c r="D60" s="2" t="s">
        <v>62</v>
      </c>
      <c r="E60" s="9">
        <v>0</v>
      </c>
      <c r="F60" s="13">
        <v>0</v>
      </c>
      <c r="G60" s="13" t="s">
        <v>63</v>
      </c>
      <c r="H60">
        <v>0</v>
      </c>
      <c r="I60" t="s">
        <v>12</v>
      </c>
      <c r="J60">
        <v>0</v>
      </c>
      <c r="K60">
        <v>0</v>
      </c>
      <c r="L60" s="10">
        <v>0</v>
      </c>
      <c r="M60">
        <v>0</v>
      </c>
      <c r="N60">
        <v>0</v>
      </c>
      <c r="O60">
        <v>0</v>
      </c>
      <c r="P60" s="10">
        <v>0</v>
      </c>
      <c r="Q60" s="10">
        <v>0</v>
      </c>
      <c r="R60" s="10">
        <v>0</v>
      </c>
      <c r="S60" s="10">
        <v>0</v>
      </c>
      <c r="T60" s="10">
        <v>0</v>
      </c>
      <c r="U60" s="10">
        <v>0</v>
      </c>
      <c r="V60" s="10">
        <v>0</v>
      </c>
      <c r="W60" s="10">
        <v>0</v>
      </c>
      <c r="X60" s="10">
        <v>0</v>
      </c>
      <c r="Y60" s="1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 s="14">
        <v>0</v>
      </c>
      <c r="AU60" s="14">
        <v>0</v>
      </c>
      <c r="AV60" s="14">
        <v>0</v>
      </c>
      <c r="AW60" s="14">
        <v>0</v>
      </c>
      <c r="AX60" s="14">
        <v>0</v>
      </c>
      <c r="AY60" s="14">
        <v>0</v>
      </c>
      <c r="AZ60" s="14">
        <v>0</v>
      </c>
      <c r="BA60" s="14">
        <v>0</v>
      </c>
      <c r="BB60" s="14">
        <v>0</v>
      </c>
      <c r="BC60" s="14">
        <v>0</v>
      </c>
      <c r="BD60" s="14">
        <v>0</v>
      </c>
      <c r="BE60" s="14">
        <v>0</v>
      </c>
      <c r="BF60" s="14">
        <v>0</v>
      </c>
      <c r="BG60" s="14">
        <v>0</v>
      </c>
      <c r="BH60" s="14">
        <v>0</v>
      </c>
      <c r="BI60" s="14">
        <v>0</v>
      </c>
      <c r="BJ60" s="14">
        <v>0</v>
      </c>
      <c r="BK60" s="14">
        <v>0</v>
      </c>
      <c r="BL60" s="14">
        <v>0</v>
      </c>
      <c r="BM60" s="14">
        <v>0</v>
      </c>
      <c r="BN60" s="14">
        <v>0</v>
      </c>
      <c r="BO60" s="14">
        <v>0</v>
      </c>
      <c r="BP60" s="14">
        <v>0</v>
      </c>
      <c r="BQ60" s="14">
        <v>0</v>
      </c>
      <c r="BR60" s="14">
        <v>0</v>
      </c>
      <c r="BS60" s="14">
        <v>0</v>
      </c>
      <c r="BT60" s="14">
        <v>0</v>
      </c>
      <c r="BU60" s="14">
        <v>0</v>
      </c>
      <c r="BV60" s="14">
        <v>0</v>
      </c>
      <c r="BW60" s="14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 t="s">
        <v>386</v>
      </c>
      <c r="CI60" t="s">
        <v>386</v>
      </c>
      <c r="CJ60" t="s">
        <v>386</v>
      </c>
      <c r="CK60" t="s">
        <v>387</v>
      </c>
      <c r="CL60" t="s">
        <v>387</v>
      </c>
      <c r="CM60" t="s">
        <v>387</v>
      </c>
      <c r="CN60" t="s">
        <v>387</v>
      </c>
      <c r="CO60" t="s">
        <v>387</v>
      </c>
      <c r="CP60" t="s">
        <v>387</v>
      </c>
      <c r="CQ60" t="s">
        <v>387</v>
      </c>
      <c r="CR60" t="s">
        <v>386</v>
      </c>
      <c r="CS60" t="s">
        <v>386</v>
      </c>
      <c r="CT60" t="s">
        <v>386</v>
      </c>
      <c r="CU60" t="s">
        <v>387</v>
      </c>
      <c r="CV60" t="s">
        <v>387</v>
      </c>
      <c r="CW60" t="s">
        <v>387</v>
      </c>
      <c r="CX60" t="s">
        <v>387</v>
      </c>
      <c r="CY60" t="s">
        <v>387</v>
      </c>
      <c r="CZ60" t="s">
        <v>387</v>
      </c>
      <c r="DA60" t="s">
        <v>387</v>
      </c>
      <c r="DB60" t="s">
        <v>386</v>
      </c>
      <c r="DC60" t="s">
        <v>386</v>
      </c>
      <c r="DD60" t="s">
        <v>386</v>
      </c>
      <c r="DE60" t="s">
        <v>387</v>
      </c>
      <c r="DF60" t="s">
        <v>387</v>
      </c>
      <c r="DG60" t="s">
        <v>387</v>
      </c>
      <c r="DH60" t="s">
        <v>387</v>
      </c>
      <c r="DI60" t="s">
        <v>387</v>
      </c>
      <c r="DJ60" t="s">
        <v>387</v>
      </c>
      <c r="DK60" t="s">
        <v>387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 s="16">
        <v>0</v>
      </c>
      <c r="EG60" s="16">
        <v>0</v>
      </c>
      <c r="EH60" s="16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</row>
    <row r="61" spans="1:175" x14ac:dyDescent="0.3">
      <c r="A61" s="171"/>
      <c r="B61" s="12" t="str">
        <f t="shared" si="4"/>
        <v>RPU_ON_SP321-HH100</v>
      </c>
      <c r="C61" s="11" t="s">
        <v>276</v>
      </c>
      <c r="D61" s="2" t="s">
        <v>64</v>
      </c>
      <c r="E61" s="9">
        <v>0</v>
      </c>
      <c r="F61" s="13">
        <v>0</v>
      </c>
      <c r="G61" s="13" t="s">
        <v>65</v>
      </c>
      <c r="H61">
        <v>0</v>
      </c>
      <c r="I61" t="s">
        <v>12</v>
      </c>
      <c r="J61">
        <v>0</v>
      </c>
      <c r="K61">
        <v>0</v>
      </c>
      <c r="L61" s="10">
        <v>0</v>
      </c>
      <c r="M61">
        <v>0</v>
      </c>
      <c r="N61">
        <v>0</v>
      </c>
      <c r="O61">
        <v>0</v>
      </c>
      <c r="P61" s="10">
        <v>0</v>
      </c>
      <c r="Q61" s="10">
        <v>0</v>
      </c>
      <c r="R61" s="10">
        <v>0</v>
      </c>
      <c r="S61" s="10">
        <v>0</v>
      </c>
      <c r="T61" s="10">
        <v>0</v>
      </c>
      <c r="U61" s="10">
        <v>0</v>
      </c>
      <c r="V61" s="10">
        <v>0</v>
      </c>
      <c r="W61" s="10">
        <v>0</v>
      </c>
      <c r="X61" s="10">
        <v>0</v>
      </c>
      <c r="Y61" s="10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 s="14">
        <v>0</v>
      </c>
      <c r="AU61" s="14">
        <v>0</v>
      </c>
      <c r="AV61" s="14">
        <v>0</v>
      </c>
      <c r="AW61" s="14">
        <v>0</v>
      </c>
      <c r="AX61" s="14">
        <v>0</v>
      </c>
      <c r="AY61" s="14">
        <v>0</v>
      </c>
      <c r="AZ61" s="14">
        <v>0</v>
      </c>
      <c r="BA61" s="14">
        <v>0</v>
      </c>
      <c r="BB61" s="14">
        <v>0</v>
      </c>
      <c r="BC61" s="14">
        <v>0</v>
      </c>
      <c r="BD61" s="14">
        <v>0</v>
      </c>
      <c r="BE61" s="14">
        <v>0</v>
      </c>
      <c r="BF61" s="14">
        <v>0</v>
      </c>
      <c r="BG61" s="14">
        <v>0</v>
      </c>
      <c r="BH61" s="14">
        <v>0</v>
      </c>
      <c r="BI61" s="14">
        <v>0</v>
      </c>
      <c r="BJ61" s="14">
        <v>0</v>
      </c>
      <c r="BK61" s="14">
        <v>0</v>
      </c>
      <c r="BL61" s="14">
        <v>0</v>
      </c>
      <c r="BM61" s="14">
        <v>0</v>
      </c>
      <c r="BN61" s="14">
        <v>0</v>
      </c>
      <c r="BO61" s="14">
        <v>0</v>
      </c>
      <c r="BP61" s="14">
        <v>0</v>
      </c>
      <c r="BQ61" s="14">
        <v>0</v>
      </c>
      <c r="BR61" s="14">
        <v>0</v>
      </c>
      <c r="BS61" s="14">
        <v>0</v>
      </c>
      <c r="BT61" s="14">
        <v>0</v>
      </c>
      <c r="BU61" s="14">
        <v>0</v>
      </c>
      <c r="BV61" s="14">
        <v>0</v>
      </c>
      <c r="BW61" s="14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 t="s">
        <v>386</v>
      </c>
      <c r="CI61" t="s">
        <v>386</v>
      </c>
      <c r="CJ61" t="s">
        <v>386</v>
      </c>
      <c r="CK61" t="s">
        <v>387</v>
      </c>
      <c r="CL61" t="s">
        <v>387</v>
      </c>
      <c r="CM61" t="s">
        <v>387</v>
      </c>
      <c r="CN61" t="s">
        <v>387</v>
      </c>
      <c r="CO61" t="s">
        <v>387</v>
      </c>
      <c r="CP61" t="s">
        <v>387</v>
      </c>
      <c r="CQ61" t="s">
        <v>387</v>
      </c>
      <c r="CR61" t="s">
        <v>386</v>
      </c>
      <c r="CS61" t="s">
        <v>386</v>
      </c>
      <c r="CT61" t="s">
        <v>386</v>
      </c>
      <c r="CU61" t="s">
        <v>387</v>
      </c>
      <c r="CV61" t="s">
        <v>387</v>
      </c>
      <c r="CW61" t="s">
        <v>387</v>
      </c>
      <c r="CX61" t="s">
        <v>387</v>
      </c>
      <c r="CY61" t="s">
        <v>387</v>
      </c>
      <c r="CZ61" t="s">
        <v>387</v>
      </c>
      <c r="DA61" t="s">
        <v>387</v>
      </c>
      <c r="DB61" t="s">
        <v>386</v>
      </c>
      <c r="DC61" t="s">
        <v>386</v>
      </c>
      <c r="DD61" t="s">
        <v>386</v>
      </c>
      <c r="DE61" t="s">
        <v>387</v>
      </c>
      <c r="DF61" t="s">
        <v>387</v>
      </c>
      <c r="DG61" t="s">
        <v>387</v>
      </c>
      <c r="DH61" t="s">
        <v>387</v>
      </c>
      <c r="DI61" t="s">
        <v>387</v>
      </c>
      <c r="DJ61" t="s">
        <v>387</v>
      </c>
      <c r="DK61" t="s">
        <v>387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 s="16">
        <v>0</v>
      </c>
      <c r="EG61" s="16">
        <v>0</v>
      </c>
      <c r="EH61" s="16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</row>
    <row r="62" spans="1:175" x14ac:dyDescent="0.3">
      <c r="A62" s="171"/>
      <c r="B62" s="12" t="str">
        <f t="shared" si="4"/>
        <v>RPU_ON_SP321-HH150</v>
      </c>
      <c r="C62" s="11" t="s">
        <v>276</v>
      </c>
      <c r="D62" s="2" t="s">
        <v>66</v>
      </c>
      <c r="E62" s="9">
        <v>0</v>
      </c>
      <c r="F62" s="13">
        <v>0</v>
      </c>
      <c r="G62" s="13" t="s">
        <v>67</v>
      </c>
      <c r="H62">
        <v>0</v>
      </c>
      <c r="I62" t="s">
        <v>12</v>
      </c>
      <c r="J62">
        <v>0</v>
      </c>
      <c r="K62">
        <v>0</v>
      </c>
      <c r="L62" s="10">
        <v>0</v>
      </c>
      <c r="M62">
        <v>0</v>
      </c>
      <c r="N62">
        <v>0</v>
      </c>
      <c r="O62">
        <v>0</v>
      </c>
      <c r="P62" s="10">
        <v>0</v>
      </c>
      <c r="Q62" s="10">
        <v>0</v>
      </c>
      <c r="R62" s="10">
        <v>0</v>
      </c>
      <c r="S62" s="10">
        <v>0</v>
      </c>
      <c r="T62" s="10">
        <v>0</v>
      </c>
      <c r="U62" s="10">
        <v>0</v>
      </c>
      <c r="V62" s="10">
        <v>0</v>
      </c>
      <c r="W62" s="10">
        <v>0</v>
      </c>
      <c r="X62" s="10">
        <v>0</v>
      </c>
      <c r="Y62" s="10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 s="14">
        <v>0</v>
      </c>
      <c r="AU62" s="14">
        <v>0</v>
      </c>
      <c r="AV62" s="14">
        <v>0</v>
      </c>
      <c r="AW62" s="14">
        <v>0</v>
      </c>
      <c r="AX62" s="14">
        <v>0</v>
      </c>
      <c r="AY62" s="14">
        <v>0</v>
      </c>
      <c r="AZ62" s="14">
        <v>0</v>
      </c>
      <c r="BA62" s="14">
        <v>0</v>
      </c>
      <c r="BB62" s="14">
        <v>0</v>
      </c>
      <c r="BC62" s="14">
        <v>0</v>
      </c>
      <c r="BD62" s="14">
        <v>0</v>
      </c>
      <c r="BE62" s="14">
        <v>0</v>
      </c>
      <c r="BF62" s="14">
        <v>0</v>
      </c>
      <c r="BG62" s="14">
        <v>0</v>
      </c>
      <c r="BH62" s="14">
        <v>0</v>
      </c>
      <c r="BI62" s="14">
        <v>0</v>
      </c>
      <c r="BJ62" s="14">
        <v>0</v>
      </c>
      <c r="BK62" s="14">
        <v>0</v>
      </c>
      <c r="BL62" s="14">
        <v>0</v>
      </c>
      <c r="BM62" s="14">
        <v>0</v>
      </c>
      <c r="BN62" s="14">
        <v>0</v>
      </c>
      <c r="BO62" s="14">
        <v>0</v>
      </c>
      <c r="BP62" s="14">
        <v>0</v>
      </c>
      <c r="BQ62" s="14">
        <v>0</v>
      </c>
      <c r="BR62" s="14">
        <v>0</v>
      </c>
      <c r="BS62" s="14">
        <v>0</v>
      </c>
      <c r="BT62" s="14">
        <v>0</v>
      </c>
      <c r="BU62" s="14">
        <v>0</v>
      </c>
      <c r="BV62" s="14">
        <v>0</v>
      </c>
      <c r="BW62" s="14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 t="s">
        <v>386</v>
      </c>
      <c r="CI62" t="s">
        <v>386</v>
      </c>
      <c r="CJ62" t="s">
        <v>386</v>
      </c>
      <c r="CK62" t="s">
        <v>387</v>
      </c>
      <c r="CL62" t="s">
        <v>387</v>
      </c>
      <c r="CM62" t="s">
        <v>387</v>
      </c>
      <c r="CN62" t="s">
        <v>387</v>
      </c>
      <c r="CO62" t="s">
        <v>387</v>
      </c>
      <c r="CP62" t="s">
        <v>387</v>
      </c>
      <c r="CQ62" t="s">
        <v>387</v>
      </c>
      <c r="CR62" t="s">
        <v>386</v>
      </c>
      <c r="CS62" t="s">
        <v>386</v>
      </c>
      <c r="CT62" t="s">
        <v>386</v>
      </c>
      <c r="CU62" t="s">
        <v>387</v>
      </c>
      <c r="CV62" t="s">
        <v>387</v>
      </c>
      <c r="CW62" t="s">
        <v>387</v>
      </c>
      <c r="CX62" t="s">
        <v>387</v>
      </c>
      <c r="CY62" t="s">
        <v>387</v>
      </c>
      <c r="CZ62" t="s">
        <v>387</v>
      </c>
      <c r="DA62" t="s">
        <v>387</v>
      </c>
      <c r="DB62" t="s">
        <v>386</v>
      </c>
      <c r="DC62" t="s">
        <v>386</v>
      </c>
      <c r="DD62" t="s">
        <v>386</v>
      </c>
      <c r="DE62" t="s">
        <v>387</v>
      </c>
      <c r="DF62" t="s">
        <v>387</v>
      </c>
      <c r="DG62" t="s">
        <v>387</v>
      </c>
      <c r="DH62" t="s">
        <v>387</v>
      </c>
      <c r="DI62" t="s">
        <v>387</v>
      </c>
      <c r="DJ62" t="s">
        <v>387</v>
      </c>
      <c r="DK62" t="s">
        <v>387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 s="16">
        <v>0</v>
      </c>
      <c r="EG62" s="16">
        <v>0</v>
      </c>
      <c r="EH62" s="16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</row>
    <row r="63" spans="1:175" x14ac:dyDescent="0.3">
      <c r="A63" s="171"/>
      <c r="B63" s="12" t="str">
        <f t="shared" si="4"/>
        <v>RPU_OFF_SP379-HH100</v>
      </c>
      <c r="C63" s="11" t="s">
        <v>276</v>
      </c>
      <c r="D63" s="2" t="s">
        <v>68</v>
      </c>
      <c r="E63" s="9">
        <v>0</v>
      </c>
      <c r="F63" s="13">
        <v>0</v>
      </c>
      <c r="G63" s="13" t="s">
        <v>69</v>
      </c>
      <c r="H63">
        <v>0</v>
      </c>
      <c r="I63" t="s">
        <v>12</v>
      </c>
      <c r="J63">
        <v>0</v>
      </c>
      <c r="K63">
        <v>0</v>
      </c>
      <c r="L63" s="10">
        <v>0</v>
      </c>
      <c r="M63">
        <v>0</v>
      </c>
      <c r="N63">
        <v>0</v>
      </c>
      <c r="O63">
        <v>0</v>
      </c>
      <c r="P63" s="10">
        <v>0</v>
      </c>
      <c r="Q63" s="10">
        <v>0</v>
      </c>
      <c r="R63" s="10">
        <v>0</v>
      </c>
      <c r="S63" s="10">
        <v>0</v>
      </c>
      <c r="T63" s="10">
        <v>0</v>
      </c>
      <c r="U63" s="10">
        <v>0</v>
      </c>
      <c r="V63" s="10">
        <v>0</v>
      </c>
      <c r="W63" s="10">
        <v>0</v>
      </c>
      <c r="X63" s="10">
        <v>0</v>
      </c>
      <c r="Y63" s="10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 s="14">
        <v>0</v>
      </c>
      <c r="AU63" s="14">
        <v>0</v>
      </c>
      <c r="AV63" s="14">
        <v>0</v>
      </c>
      <c r="AW63" s="14">
        <v>0</v>
      </c>
      <c r="AX63" s="14">
        <v>0</v>
      </c>
      <c r="AY63" s="14">
        <v>0</v>
      </c>
      <c r="AZ63" s="14">
        <v>0</v>
      </c>
      <c r="BA63" s="14">
        <v>0</v>
      </c>
      <c r="BB63" s="14">
        <v>0</v>
      </c>
      <c r="BC63" s="14">
        <v>0</v>
      </c>
      <c r="BD63" s="14">
        <v>0</v>
      </c>
      <c r="BE63" s="14">
        <v>0</v>
      </c>
      <c r="BF63" s="14">
        <v>0</v>
      </c>
      <c r="BG63" s="14">
        <v>0</v>
      </c>
      <c r="BH63" s="14">
        <v>0</v>
      </c>
      <c r="BI63" s="14">
        <v>0</v>
      </c>
      <c r="BJ63" s="14">
        <v>0</v>
      </c>
      <c r="BK63" s="14">
        <v>0</v>
      </c>
      <c r="BL63" s="14">
        <v>0</v>
      </c>
      <c r="BM63" s="14">
        <v>0</v>
      </c>
      <c r="BN63" s="14">
        <v>0</v>
      </c>
      <c r="BO63" s="14">
        <v>0</v>
      </c>
      <c r="BP63" s="14">
        <v>0</v>
      </c>
      <c r="BQ63" s="14">
        <v>0</v>
      </c>
      <c r="BR63" s="14">
        <v>0</v>
      </c>
      <c r="BS63" s="14">
        <v>0</v>
      </c>
      <c r="BT63" s="14">
        <v>0</v>
      </c>
      <c r="BU63" s="14">
        <v>0</v>
      </c>
      <c r="BV63" s="14">
        <v>0</v>
      </c>
      <c r="BW63" s="14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 t="s">
        <v>386</v>
      </c>
      <c r="CI63" t="s">
        <v>386</v>
      </c>
      <c r="CJ63" t="s">
        <v>386</v>
      </c>
      <c r="CK63" t="s">
        <v>387</v>
      </c>
      <c r="CL63" t="s">
        <v>387</v>
      </c>
      <c r="CM63" t="s">
        <v>387</v>
      </c>
      <c r="CN63" t="s">
        <v>387</v>
      </c>
      <c r="CO63" t="s">
        <v>387</v>
      </c>
      <c r="CP63" t="s">
        <v>387</v>
      </c>
      <c r="CQ63" t="s">
        <v>387</v>
      </c>
      <c r="CR63" t="s">
        <v>386</v>
      </c>
      <c r="CS63" t="s">
        <v>386</v>
      </c>
      <c r="CT63" t="s">
        <v>386</v>
      </c>
      <c r="CU63" t="s">
        <v>387</v>
      </c>
      <c r="CV63" t="s">
        <v>387</v>
      </c>
      <c r="CW63" t="s">
        <v>387</v>
      </c>
      <c r="CX63" t="s">
        <v>387</v>
      </c>
      <c r="CY63" t="s">
        <v>387</v>
      </c>
      <c r="CZ63" t="s">
        <v>387</v>
      </c>
      <c r="DA63" t="s">
        <v>387</v>
      </c>
      <c r="DB63" t="s">
        <v>386</v>
      </c>
      <c r="DC63" t="s">
        <v>386</v>
      </c>
      <c r="DD63" t="s">
        <v>386</v>
      </c>
      <c r="DE63" t="s">
        <v>387</v>
      </c>
      <c r="DF63" t="s">
        <v>387</v>
      </c>
      <c r="DG63" t="s">
        <v>387</v>
      </c>
      <c r="DH63" t="s">
        <v>387</v>
      </c>
      <c r="DI63" t="s">
        <v>387</v>
      </c>
      <c r="DJ63" t="s">
        <v>387</v>
      </c>
      <c r="DK63" t="s">
        <v>387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</row>
    <row r="64" spans="1:175" x14ac:dyDescent="0.3">
      <c r="A64" s="171"/>
      <c r="B64" s="12" t="str">
        <f t="shared" si="4"/>
        <v>RPU_OFF_SP379-HH150</v>
      </c>
      <c r="C64" s="11" t="s">
        <v>276</v>
      </c>
      <c r="D64" s="2" t="s">
        <v>70</v>
      </c>
      <c r="E64" s="9">
        <v>0</v>
      </c>
      <c r="F64" s="13">
        <v>0</v>
      </c>
      <c r="G64" s="13" t="s">
        <v>71</v>
      </c>
      <c r="H64">
        <v>0</v>
      </c>
      <c r="I64" t="s">
        <v>12</v>
      </c>
      <c r="J64">
        <v>0</v>
      </c>
      <c r="K64">
        <v>0</v>
      </c>
      <c r="L64" s="10">
        <v>0</v>
      </c>
      <c r="M64">
        <v>0</v>
      </c>
      <c r="N64">
        <v>0</v>
      </c>
      <c r="O64">
        <v>0</v>
      </c>
      <c r="P64" s="10">
        <v>0</v>
      </c>
      <c r="Q64" s="10">
        <v>0</v>
      </c>
      <c r="R64" s="10">
        <v>0</v>
      </c>
      <c r="S64" s="10">
        <v>0</v>
      </c>
      <c r="T64" s="10">
        <v>0</v>
      </c>
      <c r="U64" s="10">
        <v>0</v>
      </c>
      <c r="V64" s="10">
        <v>0</v>
      </c>
      <c r="W64" s="10">
        <v>0</v>
      </c>
      <c r="X64" s="10">
        <v>0</v>
      </c>
      <c r="Y64" s="10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 s="14">
        <v>0</v>
      </c>
      <c r="AU64" s="14">
        <v>0</v>
      </c>
      <c r="AV64" s="14">
        <v>0</v>
      </c>
      <c r="AW64" s="14">
        <v>0</v>
      </c>
      <c r="AX64" s="14">
        <v>0</v>
      </c>
      <c r="AY64" s="14">
        <v>0</v>
      </c>
      <c r="AZ64" s="14">
        <v>0</v>
      </c>
      <c r="BA64" s="14">
        <v>0</v>
      </c>
      <c r="BB64" s="14">
        <v>0</v>
      </c>
      <c r="BC64" s="14">
        <v>0</v>
      </c>
      <c r="BD64" s="14">
        <v>0</v>
      </c>
      <c r="BE64" s="14">
        <v>0</v>
      </c>
      <c r="BF64" s="14">
        <v>0</v>
      </c>
      <c r="BG64" s="14">
        <v>0</v>
      </c>
      <c r="BH64" s="14">
        <v>0</v>
      </c>
      <c r="BI64" s="14">
        <v>0</v>
      </c>
      <c r="BJ64" s="14">
        <v>0</v>
      </c>
      <c r="BK64" s="14">
        <v>0</v>
      </c>
      <c r="BL64" s="14">
        <v>0</v>
      </c>
      <c r="BM64" s="14">
        <v>0</v>
      </c>
      <c r="BN64" s="14">
        <v>0</v>
      </c>
      <c r="BO64" s="14">
        <v>0</v>
      </c>
      <c r="BP64" s="14">
        <v>0</v>
      </c>
      <c r="BQ64" s="14">
        <v>0</v>
      </c>
      <c r="BR64" s="14">
        <v>0</v>
      </c>
      <c r="BS64" s="14">
        <v>0</v>
      </c>
      <c r="BT64" s="14">
        <v>0</v>
      </c>
      <c r="BU64" s="14">
        <v>0</v>
      </c>
      <c r="BV64" s="14">
        <v>0</v>
      </c>
      <c r="BW64" s="1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 t="s">
        <v>386</v>
      </c>
      <c r="CI64" t="s">
        <v>386</v>
      </c>
      <c r="CJ64" t="s">
        <v>386</v>
      </c>
      <c r="CK64" t="s">
        <v>387</v>
      </c>
      <c r="CL64" t="s">
        <v>387</v>
      </c>
      <c r="CM64" t="s">
        <v>387</v>
      </c>
      <c r="CN64" t="s">
        <v>387</v>
      </c>
      <c r="CO64" t="s">
        <v>387</v>
      </c>
      <c r="CP64" t="s">
        <v>387</v>
      </c>
      <c r="CQ64" t="s">
        <v>387</v>
      </c>
      <c r="CR64" t="s">
        <v>386</v>
      </c>
      <c r="CS64" t="s">
        <v>386</v>
      </c>
      <c r="CT64" t="s">
        <v>386</v>
      </c>
      <c r="CU64" t="s">
        <v>387</v>
      </c>
      <c r="CV64" t="s">
        <v>387</v>
      </c>
      <c r="CW64" t="s">
        <v>387</v>
      </c>
      <c r="CX64" t="s">
        <v>387</v>
      </c>
      <c r="CY64" t="s">
        <v>387</v>
      </c>
      <c r="CZ64" t="s">
        <v>387</v>
      </c>
      <c r="DA64" t="s">
        <v>387</v>
      </c>
      <c r="DB64" t="s">
        <v>386</v>
      </c>
      <c r="DC64" t="s">
        <v>386</v>
      </c>
      <c r="DD64" t="s">
        <v>386</v>
      </c>
      <c r="DE64" t="s">
        <v>387</v>
      </c>
      <c r="DF64" t="s">
        <v>387</v>
      </c>
      <c r="DG64" t="s">
        <v>387</v>
      </c>
      <c r="DH64" t="s">
        <v>387</v>
      </c>
      <c r="DI64" t="s">
        <v>387</v>
      </c>
      <c r="DJ64" t="s">
        <v>387</v>
      </c>
      <c r="DK64" t="s">
        <v>387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</row>
    <row r="65" spans="1:175" x14ac:dyDescent="0.3">
      <c r="A65" s="171"/>
      <c r="B65" s="12" t="str">
        <f t="shared" si="4"/>
        <v>RPU_OFF_SP450-HH100</v>
      </c>
      <c r="C65" s="11" t="s">
        <v>276</v>
      </c>
      <c r="D65" s="2" t="s">
        <v>72</v>
      </c>
      <c r="E65" s="9">
        <v>0</v>
      </c>
      <c r="F65" s="13">
        <v>0</v>
      </c>
      <c r="G65" s="13" t="s">
        <v>73</v>
      </c>
      <c r="H65">
        <v>0</v>
      </c>
      <c r="I65" t="s">
        <v>12</v>
      </c>
      <c r="J65">
        <v>0</v>
      </c>
      <c r="K65">
        <v>0</v>
      </c>
      <c r="L65" s="10">
        <v>0</v>
      </c>
      <c r="M65">
        <v>0</v>
      </c>
      <c r="N65">
        <v>0</v>
      </c>
      <c r="O65">
        <v>0</v>
      </c>
      <c r="P65" s="10">
        <v>0</v>
      </c>
      <c r="Q65" s="10">
        <v>0</v>
      </c>
      <c r="R65" s="10">
        <v>0</v>
      </c>
      <c r="S65" s="10">
        <v>0</v>
      </c>
      <c r="T65" s="10">
        <v>0</v>
      </c>
      <c r="U65" s="10">
        <v>0</v>
      </c>
      <c r="V65" s="10">
        <v>0</v>
      </c>
      <c r="W65" s="10">
        <v>0</v>
      </c>
      <c r="X65" s="10">
        <v>0</v>
      </c>
      <c r="Y65" s="10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 s="14">
        <v>0</v>
      </c>
      <c r="AU65" s="14">
        <v>0</v>
      </c>
      <c r="AV65" s="14">
        <v>0</v>
      </c>
      <c r="AW65" s="14">
        <v>0</v>
      </c>
      <c r="AX65" s="14">
        <v>0</v>
      </c>
      <c r="AY65" s="14">
        <v>0</v>
      </c>
      <c r="AZ65" s="14">
        <v>0</v>
      </c>
      <c r="BA65" s="14">
        <v>0</v>
      </c>
      <c r="BB65" s="14">
        <v>0</v>
      </c>
      <c r="BC65" s="14">
        <v>0</v>
      </c>
      <c r="BD65" s="14">
        <v>0</v>
      </c>
      <c r="BE65" s="14">
        <v>0</v>
      </c>
      <c r="BF65" s="14">
        <v>0</v>
      </c>
      <c r="BG65" s="14">
        <v>0</v>
      </c>
      <c r="BH65" s="14">
        <v>0</v>
      </c>
      <c r="BI65" s="14">
        <v>0</v>
      </c>
      <c r="BJ65" s="14">
        <v>0</v>
      </c>
      <c r="BK65" s="14">
        <v>0</v>
      </c>
      <c r="BL65" s="14">
        <v>0</v>
      </c>
      <c r="BM65" s="14">
        <v>0</v>
      </c>
      <c r="BN65" s="14">
        <v>0</v>
      </c>
      <c r="BO65" s="14">
        <v>0</v>
      </c>
      <c r="BP65" s="14">
        <v>0</v>
      </c>
      <c r="BQ65" s="14">
        <v>0</v>
      </c>
      <c r="BR65" s="14">
        <v>0</v>
      </c>
      <c r="BS65" s="14">
        <v>0</v>
      </c>
      <c r="BT65" s="14">
        <v>0</v>
      </c>
      <c r="BU65" s="14">
        <v>0</v>
      </c>
      <c r="BV65" s="14">
        <v>0</v>
      </c>
      <c r="BW65" s="14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 t="s">
        <v>386</v>
      </c>
      <c r="CI65" t="s">
        <v>386</v>
      </c>
      <c r="CJ65" t="s">
        <v>386</v>
      </c>
      <c r="CK65" t="s">
        <v>387</v>
      </c>
      <c r="CL65" t="s">
        <v>387</v>
      </c>
      <c r="CM65" t="s">
        <v>387</v>
      </c>
      <c r="CN65" t="s">
        <v>387</v>
      </c>
      <c r="CO65" t="s">
        <v>387</v>
      </c>
      <c r="CP65" t="s">
        <v>387</v>
      </c>
      <c r="CQ65" t="s">
        <v>387</v>
      </c>
      <c r="CR65" t="s">
        <v>386</v>
      </c>
      <c r="CS65" t="s">
        <v>386</v>
      </c>
      <c r="CT65" t="s">
        <v>386</v>
      </c>
      <c r="CU65" t="s">
        <v>387</v>
      </c>
      <c r="CV65" t="s">
        <v>387</v>
      </c>
      <c r="CW65" t="s">
        <v>387</v>
      </c>
      <c r="CX65" t="s">
        <v>387</v>
      </c>
      <c r="CY65" t="s">
        <v>387</v>
      </c>
      <c r="CZ65" t="s">
        <v>387</v>
      </c>
      <c r="DA65" t="s">
        <v>387</v>
      </c>
      <c r="DB65" t="s">
        <v>386</v>
      </c>
      <c r="DC65" t="s">
        <v>386</v>
      </c>
      <c r="DD65" t="s">
        <v>386</v>
      </c>
      <c r="DE65" t="s">
        <v>387</v>
      </c>
      <c r="DF65" t="s">
        <v>387</v>
      </c>
      <c r="DG65" t="s">
        <v>387</v>
      </c>
      <c r="DH65" t="s">
        <v>387</v>
      </c>
      <c r="DI65" t="s">
        <v>387</v>
      </c>
      <c r="DJ65" t="s">
        <v>387</v>
      </c>
      <c r="DK65" t="s">
        <v>387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</row>
    <row r="66" spans="1:175" x14ac:dyDescent="0.3">
      <c r="A66" s="171"/>
      <c r="B66" s="12" t="str">
        <f t="shared" si="4"/>
        <v>RPU_OFF_SP450-HH150</v>
      </c>
      <c r="C66" s="11" t="s">
        <v>276</v>
      </c>
      <c r="D66" s="2" t="s">
        <v>165</v>
      </c>
      <c r="E66" s="9">
        <v>0</v>
      </c>
      <c r="F66" s="13">
        <v>0</v>
      </c>
      <c r="G66" s="13" t="s">
        <v>74</v>
      </c>
      <c r="H66">
        <v>0</v>
      </c>
      <c r="I66" t="s">
        <v>12</v>
      </c>
      <c r="J66">
        <v>0</v>
      </c>
      <c r="K66">
        <v>0</v>
      </c>
      <c r="L66" s="10">
        <v>0</v>
      </c>
      <c r="M66">
        <v>0</v>
      </c>
      <c r="N66">
        <v>0</v>
      </c>
      <c r="O66">
        <v>0</v>
      </c>
      <c r="P66" s="10">
        <v>0</v>
      </c>
      <c r="Q66" s="10">
        <v>0</v>
      </c>
      <c r="R66" s="10">
        <v>0</v>
      </c>
      <c r="S66" s="10">
        <v>0</v>
      </c>
      <c r="T66" s="10">
        <v>0</v>
      </c>
      <c r="U66" s="10">
        <v>0</v>
      </c>
      <c r="V66" s="10">
        <v>0</v>
      </c>
      <c r="W66" s="10">
        <v>0</v>
      </c>
      <c r="X66" s="10">
        <v>0</v>
      </c>
      <c r="Y66" s="10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 s="14">
        <v>0</v>
      </c>
      <c r="AU66" s="14">
        <v>0</v>
      </c>
      <c r="AV66" s="14">
        <v>0</v>
      </c>
      <c r="AW66" s="14">
        <v>0</v>
      </c>
      <c r="AX66" s="14">
        <v>0</v>
      </c>
      <c r="AY66" s="14">
        <v>0</v>
      </c>
      <c r="AZ66" s="14">
        <v>0</v>
      </c>
      <c r="BA66" s="14">
        <v>0</v>
      </c>
      <c r="BB66" s="14">
        <v>0</v>
      </c>
      <c r="BC66" s="14">
        <v>0</v>
      </c>
      <c r="BD66" s="14">
        <v>0</v>
      </c>
      <c r="BE66" s="14">
        <v>0</v>
      </c>
      <c r="BF66" s="14">
        <v>0</v>
      </c>
      <c r="BG66" s="14">
        <v>0</v>
      </c>
      <c r="BH66" s="14">
        <v>0</v>
      </c>
      <c r="BI66" s="14">
        <v>0</v>
      </c>
      <c r="BJ66" s="14">
        <v>0</v>
      </c>
      <c r="BK66" s="14">
        <v>0</v>
      </c>
      <c r="BL66" s="14">
        <v>0</v>
      </c>
      <c r="BM66" s="14">
        <v>0</v>
      </c>
      <c r="BN66" s="14">
        <v>0</v>
      </c>
      <c r="BO66" s="14">
        <v>0</v>
      </c>
      <c r="BP66" s="14">
        <v>0</v>
      </c>
      <c r="BQ66" s="14">
        <v>0</v>
      </c>
      <c r="BR66" s="14">
        <v>0</v>
      </c>
      <c r="BS66" s="14">
        <v>0</v>
      </c>
      <c r="BT66" s="14">
        <v>0</v>
      </c>
      <c r="BU66" s="14">
        <v>0</v>
      </c>
      <c r="BV66" s="14">
        <v>0</v>
      </c>
      <c r="BW66" s="14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 t="s">
        <v>386</v>
      </c>
      <c r="CI66" t="s">
        <v>386</v>
      </c>
      <c r="CJ66" t="s">
        <v>386</v>
      </c>
      <c r="CK66" t="s">
        <v>387</v>
      </c>
      <c r="CL66" t="s">
        <v>387</v>
      </c>
      <c r="CM66" t="s">
        <v>387</v>
      </c>
      <c r="CN66" t="s">
        <v>387</v>
      </c>
      <c r="CO66" t="s">
        <v>387</v>
      </c>
      <c r="CP66" t="s">
        <v>387</v>
      </c>
      <c r="CQ66" t="s">
        <v>387</v>
      </c>
      <c r="CR66" t="s">
        <v>386</v>
      </c>
      <c r="CS66" t="s">
        <v>386</v>
      </c>
      <c r="CT66" t="s">
        <v>386</v>
      </c>
      <c r="CU66" t="s">
        <v>387</v>
      </c>
      <c r="CV66" t="s">
        <v>387</v>
      </c>
      <c r="CW66" t="s">
        <v>387</v>
      </c>
      <c r="CX66" t="s">
        <v>387</v>
      </c>
      <c r="CY66" t="s">
        <v>387</v>
      </c>
      <c r="CZ66" t="s">
        <v>387</v>
      </c>
      <c r="DA66" t="s">
        <v>387</v>
      </c>
      <c r="DB66" t="s">
        <v>386</v>
      </c>
      <c r="DC66" t="s">
        <v>386</v>
      </c>
      <c r="DD66" t="s">
        <v>386</v>
      </c>
      <c r="DE66" t="s">
        <v>387</v>
      </c>
      <c r="DF66" t="s">
        <v>387</v>
      </c>
      <c r="DG66" t="s">
        <v>387</v>
      </c>
      <c r="DH66" t="s">
        <v>387</v>
      </c>
      <c r="DI66" t="s">
        <v>387</v>
      </c>
      <c r="DJ66" t="s">
        <v>387</v>
      </c>
      <c r="DK66" t="s">
        <v>387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</row>
    <row r="67" spans="1:175" x14ac:dyDescent="0.3">
      <c r="A67" s="171"/>
      <c r="B67" s="12" t="s">
        <v>236</v>
      </c>
      <c r="C67" s="11" t="s">
        <v>276</v>
      </c>
      <c r="D67" s="2" t="s">
        <v>237</v>
      </c>
      <c r="E67" s="9">
        <v>0</v>
      </c>
      <c r="F67" s="13">
        <v>0</v>
      </c>
      <c r="G67" s="13" t="s">
        <v>237</v>
      </c>
      <c r="H67">
        <v>0</v>
      </c>
      <c r="I67" t="s">
        <v>12</v>
      </c>
      <c r="J67">
        <v>0</v>
      </c>
      <c r="K67">
        <v>0</v>
      </c>
      <c r="L67" s="10">
        <v>0</v>
      </c>
      <c r="M67">
        <v>0</v>
      </c>
      <c r="N67">
        <v>0</v>
      </c>
      <c r="O67">
        <v>0</v>
      </c>
      <c r="P67" s="57">
        <v>0</v>
      </c>
      <c r="Q67" s="57">
        <v>0</v>
      </c>
      <c r="R67" s="57">
        <v>0</v>
      </c>
      <c r="S67" s="57">
        <v>0</v>
      </c>
      <c r="T67" s="57">
        <v>0</v>
      </c>
      <c r="U67" s="57">
        <v>0</v>
      </c>
      <c r="V67" s="57">
        <v>0</v>
      </c>
      <c r="W67" s="57">
        <v>0</v>
      </c>
      <c r="X67" s="57">
        <v>0</v>
      </c>
      <c r="Y67" s="5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 s="60">
        <v>0</v>
      </c>
      <c r="AU67" s="60">
        <v>0</v>
      </c>
      <c r="AV67" s="14">
        <v>0</v>
      </c>
      <c r="AW67" s="14">
        <v>0</v>
      </c>
      <c r="AX67" s="14">
        <v>0</v>
      </c>
      <c r="AY67" s="14">
        <v>0</v>
      </c>
      <c r="AZ67" s="14">
        <v>0</v>
      </c>
      <c r="BA67" s="14">
        <v>0</v>
      </c>
      <c r="BB67" s="14">
        <v>0</v>
      </c>
      <c r="BC67" s="14">
        <v>0</v>
      </c>
      <c r="BD67" s="60">
        <v>0</v>
      </c>
      <c r="BE67" s="60">
        <v>0</v>
      </c>
      <c r="BF67" s="60">
        <v>0</v>
      </c>
      <c r="BG67" s="60">
        <v>0</v>
      </c>
      <c r="BH67" s="60">
        <v>0</v>
      </c>
      <c r="BI67" s="60">
        <v>0</v>
      </c>
      <c r="BJ67" s="60">
        <v>0</v>
      </c>
      <c r="BK67" s="60">
        <v>0</v>
      </c>
      <c r="BL67" s="60">
        <v>0</v>
      </c>
      <c r="BM67" s="60">
        <v>0</v>
      </c>
      <c r="BN67" s="60">
        <v>0</v>
      </c>
      <c r="BO67" s="60">
        <v>0</v>
      </c>
      <c r="BP67" s="60">
        <v>0</v>
      </c>
      <c r="BQ67" s="60">
        <v>0</v>
      </c>
      <c r="BR67" s="60">
        <v>0</v>
      </c>
      <c r="BS67" s="60">
        <v>0</v>
      </c>
      <c r="BT67" s="60">
        <v>0</v>
      </c>
      <c r="BU67" s="60">
        <v>0</v>
      </c>
      <c r="BV67" s="60">
        <v>0</v>
      </c>
      <c r="BW67" s="60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 t="s">
        <v>286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 s="32">
        <v>0</v>
      </c>
      <c r="FK67" s="32">
        <v>0</v>
      </c>
      <c r="FL67" s="32">
        <v>0</v>
      </c>
      <c r="FM67" s="32">
        <v>0</v>
      </c>
      <c r="FN67" s="32">
        <v>0</v>
      </c>
      <c r="FO67" s="32">
        <v>0</v>
      </c>
      <c r="FP67" s="32">
        <v>0</v>
      </c>
      <c r="FQ67" s="32">
        <v>0</v>
      </c>
      <c r="FR67" s="32">
        <v>0</v>
      </c>
      <c r="FS67" s="32">
        <v>0</v>
      </c>
    </row>
    <row r="68" spans="1:175" x14ac:dyDescent="0.3">
      <c r="A68" s="171"/>
      <c r="B68" s="12" t="s">
        <v>15</v>
      </c>
      <c r="C68" s="11" t="s">
        <v>276</v>
      </c>
      <c r="D68" s="2" t="s">
        <v>270</v>
      </c>
      <c r="E68" s="9">
        <v>0</v>
      </c>
      <c r="F68" s="13">
        <v>0</v>
      </c>
      <c r="G68" s="13" t="s">
        <v>273</v>
      </c>
      <c r="H68">
        <v>0</v>
      </c>
      <c r="I68" t="s">
        <v>12</v>
      </c>
      <c r="J68">
        <v>0</v>
      </c>
      <c r="K68">
        <v>0</v>
      </c>
      <c r="L68" s="10">
        <v>0</v>
      </c>
      <c r="M68">
        <v>0</v>
      </c>
      <c r="N68">
        <v>0</v>
      </c>
      <c r="O68">
        <v>0</v>
      </c>
      <c r="P68" s="57">
        <v>0</v>
      </c>
      <c r="Q68" s="57">
        <v>0</v>
      </c>
      <c r="R68" s="57">
        <v>0</v>
      </c>
      <c r="S68" s="57">
        <v>0</v>
      </c>
      <c r="T68" s="57">
        <v>0</v>
      </c>
      <c r="U68" s="57">
        <v>0</v>
      </c>
      <c r="V68" s="57">
        <v>0</v>
      </c>
      <c r="W68" s="57">
        <v>0</v>
      </c>
      <c r="X68" s="57">
        <v>0</v>
      </c>
      <c r="Y68" s="57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 s="60">
        <v>0</v>
      </c>
      <c r="AU68" s="60">
        <v>0</v>
      </c>
      <c r="AV68" s="14">
        <v>0</v>
      </c>
      <c r="AW68" s="14">
        <v>0</v>
      </c>
      <c r="AX68" s="14">
        <v>0</v>
      </c>
      <c r="AY68" s="14">
        <v>0</v>
      </c>
      <c r="AZ68" s="14">
        <v>0</v>
      </c>
      <c r="BA68" s="14">
        <v>0</v>
      </c>
      <c r="BB68" s="14">
        <v>0</v>
      </c>
      <c r="BC68" s="14">
        <v>0</v>
      </c>
      <c r="BD68" s="60">
        <v>0</v>
      </c>
      <c r="BE68" s="60">
        <v>0</v>
      </c>
      <c r="BF68" s="60">
        <v>0</v>
      </c>
      <c r="BG68" s="60">
        <v>0</v>
      </c>
      <c r="BH68" s="60">
        <v>0</v>
      </c>
      <c r="BI68" s="60">
        <v>0</v>
      </c>
      <c r="BJ68" s="60">
        <v>0</v>
      </c>
      <c r="BK68" s="60">
        <v>0</v>
      </c>
      <c r="BL68" s="60">
        <v>0</v>
      </c>
      <c r="BM68" s="60">
        <v>0</v>
      </c>
      <c r="BN68" s="60">
        <v>0</v>
      </c>
      <c r="BO68" s="60">
        <v>0</v>
      </c>
      <c r="BP68" s="60">
        <v>0</v>
      </c>
      <c r="BQ68" s="60">
        <v>0</v>
      </c>
      <c r="BR68" s="60">
        <v>0</v>
      </c>
      <c r="BS68" s="60">
        <v>0</v>
      </c>
      <c r="BT68" s="60">
        <v>0</v>
      </c>
      <c r="BU68" s="60">
        <v>0</v>
      </c>
      <c r="BV68" s="60">
        <v>0</v>
      </c>
      <c r="BW68" s="60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</row>
    <row r="69" spans="1:175" x14ac:dyDescent="0.3">
      <c r="A69" s="171"/>
      <c r="B69" s="12" t="s">
        <v>16</v>
      </c>
      <c r="C69" s="11" t="s">
        <v>276</v>
      </c>
      <c r="D69" s="2" t="s">
        <v>271</v>
      </c>
      <c r="E69" s="9">
        <v>0</v>
      </c>
      <c r="F69" s="13">
        <v>0</v>
      </c>
      <c r="G69" s="13" t="s">
        <v>274</v>
      </c>
      <c r="H69">
        <v>0</v>
      </c>
      <c r="I69" t="s">
        <v>12</v>
      </c>
      <c r="J69">
        <v>0</v>
      </c>
      <c r="K69">
        <v>0</v>
      </c>
      <c r="L69" s="10">
        <v>0</v>
      </c>
      <c r="M69">
        <v>0</v>
      </c>
      <c r="N69">
        <v>0</v>
      </c>
      <c r="O69">
        <v>0</v>
      </c>
      <c r="P69" s="57">
        <v>0</v>
      </c>
      <c r="Q69" s="57">
        <v>0</v>
      </c>
      <c r="R69" s="57">
        <v>0</v>
      </c>
      <c r="S69" s="57">
        <v>0</v>
      </c>
      <c r="T69" s="57">
        <v>0</v>
      </c>
      <c r="U69" s="57">
        <v>0</v>
      </c>
      <c r="V69" s="57">
        <v>0</v>
      </c>
      <c r="W69" s="57">
        <v>0</v>
      </c>
      <c r="X69" s="57">
        <v>0</v>
      </c>
      <c r="Y69" s="57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 s="60">
        <v>0</v>
      </c>
      <c r="AU69" s="60">
        <v>0</v>
      </c>
      <c r="AV69" s="14">
        <v>0</v>
      </c>
      <c r="AW69" s="14">
        <v>0</v>
      </c>
      <c r="AX69" s="14">
        <v>0</v>
      </c>
      <c r="AY69" s="14">
        <v>0</v>
      </c>
      <c r="AZ69" s="14">
        <v>0</v>
      </c>
      <c r="BA69" s="14">
        <v>0</v>
      </c>
      <c r="BB69" s="14">
        <v>0</v>
      </c>
      <c r="BC69" s="14">
        <v>0</v>
      </c>
      <c r="BD69" s="60">
        <v>0</v>
      </c>
      <c r="BE69" s="60">
        <v>0</v>
      </c>
      <c r="BF69" s="60">
        <v>0</v>
      </c>
      <c r="BG69" s="60">
        <v>0</v>
      </c>
      <c r="BH69" s="60">
        <v>0</v>
      </c>
      <c r="BI69" s="60">
        <v>0</v>
      </c>
      <c r="BJ69" s="60">
        <v>0</v>
      </c>
      <c r="BK69" s="60">
        <v>0</v>
      </c>
      <c r="BL69" s="60">
        <v>0</v>
      </c>
      <c r="BM69" s="60">
        <v>0</v>
      </c>
      <c r="BN69" s="60">
        <v>0</v>
      </c>
      <c r="BO69" s="60">
        <v>0</v>
      </c>
      <c r="BP69" s="60">
        <v>0</v>
      </c>
      <c r="BQ69" s="60">
        <v>0</v>
      </c>
      <c r="BR69" s="60">
        <v>0</v>
      </c>
      <c r="BS69" s="60">
        <v>0</v>
      </c>
      <c r="BT69" s="60">
        <v>0</v>
      </c>
      <c r="BU69" s="60">
        <v>0</v>
      </c>
      <c r="BV69" s="60">
        <v>0</v>
      </c>
      <c r="BW69" s="60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</row>
    <row r="70" spans="1:175" x14ac:dyDescent="0.3">
      <c r="A70" s="171"/>
      <c r="B70" s="12" t="s">
        <v>17</v>
      </c>
      <c r="C70" s="11" t="s">
        <v>276</v>
      </c>
      <c r="D70" s="2" t="s">
        <v>272</v>
      </c>
      <c r="E70" s="9">
        <v>0</v>
      </c>
      <c r="F70" s="13">
        <v>0</v>
      </c>
      <c r="G70" s="13" t="s">
        <v>272</v>
      </c>
      <c r="H70">
        <v>0</v>
      </c>
      <c r="I70" t="s">
        <v>12</v>
      </c>
      <c r="J70">
        <v>0</v>
      </c>
      <c r="K70">
        <v>0</v>
      </c>
      <c r="L70" s="10">
        <v>0</v>
      </c>
      <c r="M70">
        <v>0</v>
      </c>
      <c r="N70">
        <v>0</v>
      </c>
      <c r="O70">
        <v>0</v>
      </c>
      <c r="P70" s="57">
        <v>0</v>
      </c>
      <c r="Q70" s="57">
        <v>0</v>
      </c>
      <c r="R70" s="57">
        <v>0</v>
      </c>
      <c r="S70" s="57">
        <v>0</v>
      </c>
      <c r="T70" s="57">
        <v>0</v>
      </c>
      <c r="U70" s="57">
        <v>0</v>
      </c>
      <c r="V70" s="57">
        <v>0</v>
      </c>
      <c r="W70" s="57">
        <v>0</v>
      </c>
      <c r="X70" s="57">
        <v>0</v>
      </c>
      <c r="Y70" s="57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 s="60">
        <v>0</v>
      </c>
      <c r="AU70" s="60">
        <v>0</v>
      </c>
      <c r="AV70" s="14">
        <v>0</v>
      </c>
      <c r="AW70" s="14">
        <v>0</v>
      </c>
      <c r="AX70" s="14">
        <v>0</v>
      </c>
      <c r="AY70" s="14">
        <v>0</v>
      </c>
      <c r="AZ70" s="14">
        <v>0</v>
      </c>
      <c r="BA70" s="14">
        <v>0</v>
      </c>
      <c r="BB70" s="14">
        <v>0</v>
      </c>
      <c r="BC70" s="14">
        <v>0</v>
      </c>
      <c r="BD70" s="60">
        <v>0</v>
      </c>
      <c r="BE70" s="60">
        <v>0</v>
      </c>
      <c r="BF70" s="60">
        <v>0</v>
      </c>
      <c r="BG70" s="60">
        <v>0</v>
      </c>
      <c r="BH70" s="60">
        <v>0</v>
      </c>
      <c r="BI70" s="60">
        <v>0</v>
      </c>
      <c r="BJ70" s="60">
        <v>0</v>
      </c>
      <c r="BK70" s="60">
        <v>0</v>
      </c>
      <c r="BL70" s="60">
        <v>0</v>
      </c>
      <c r="BM70" s="60">
        <v>0</v>
      </c>
      <c r="BN70" s="60">
        <v>0</v>
      </c>
      <c r="BO70" s="60">
        <v>0</v>
      </c>
      <c r="BP70" s="60">
        <v>0</v>
      </c>
      <c r="BQ70" s="60">
        <v>0</v>
      </c>
      <c r="BR70" s="60">
        <v>0</v>
      </c>
      <c r="BS70" s="60">
        <v>0</v>
      </c>
      <c r="BT70" s="60">
        <v>0</v>
      </c>
      <c r="BU70" s="60">
        <v>0</v>
      </c>
      <c r="BV70" s="60">
        <v>0</v>
      </c>
      <c r="BW70" s="6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 s="32">
        <v>0</v>
      </c>
      <c r="FK70" s="32">
        <v>0</v>
      </c>
      <c r="FL70" s="32">
        <v>0</v>
      </c>
      <c r="FM70" s="32">
        <v>0</v>
      </c>
      <c r="FN70" s="32">
        <v>0</v>
      </c>
      <c r="FO70" s="32">
        <v>0</v>
      </c>
      <c r="FP70" s="32">
        <v>0</v>
      </c>
      <c r="FQ70" s="32">
        <v>0</v>
      </c>
      <c r="FR70" s="32">
        <v>0</v>
      </c>
      <c r="FS70" s="32">
        <v>0</v>
      </c>
    </row>
    <row r="71" spans="1:175" x14ac:dyDescent="0.3">
      <c r="A71" s="171"/>
      <c r="B71" s="61" t="s">
        <v>276</v>
      </c>
      <c r="C71" s="11" t="s">
        <v>276</v>
      </c>
      <c r="D71" s="2" t="s">
        <v>277</v>
      </c>
      <c r="E71" s="9">
        <v>0</v>
      </c>
      <c r="F71" s="13">
        <v>0</v>
      </c>
      <c r="G71" s="13" t="s">
        <v>277</v>
      </c>
      <c r="H71">
        <v>0</v>
      </c>
      <c r="I71" t="s">
        <v>12</v>
      </c>
      <c r="J71">
        <v>0</v>
      </c>
      <c r="K71">
        <v>0</v>
      </c>
      <c r="L71" s="10">
        <v>0</v>
      </c>
      <c r="M71">
        <v>0</v>
      </c>
      <c r="N71">
        <v>0</v>
      </c>
      <c r="O71">
        <v>0</v>
      </c>
      <c r="P71" s="57">
        <v>0</v>
      </c>
      <c r="Q71" s="57">
        <v>0</v>
      </c>
      <c r="R71" s="57">
        <v>0</v>
      </c>
      <c r="S71" s="57">
        <v>0</v>
      </c>
      <c r="T71" s="57">
        <v>0</v>
      </c>
      <c r="U71" s="57">
        <v>0</v>
      </c>
      <c r="V71" s="57">
        <v>0</v>
      </c>
      <c r="W71" s="57">
        <v>0</v>
      </c>
      <c r="X71" s="57">
        <v>0</v>
      </c>
      <c r="Y71" s="57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 s="60">
        <v>0</v>
      </c>
      <c r="AU71" s="60">
        <v>0</v>
      </c>
      <c r="AV71" s="14">
        <v>0</v>
      </c>
      <c r="AW71" s="14">
        <v>0</v>
      </c>
      <c r="AX71" s="14">
        <v>0</v>
      </c>
      <c r="AY71" s="14">
        <v>0</v>
      </c>
      <c r="AZ71" s="14">
        <v>0</v>
      </c>
      <c r="BA71" s="14">
        <v>0</v>
      </c>
      <c r="BB71" s="14">
        <v>0</v>
      </c>
      <c r="BC71" s="14">
        <v>0</v>
      </c>
      <c r="BD71" s="60">
        <v>0</v>
      </c>
      <c r="BE71" s="60">
        <v>0</v>
      </c>
      <c r="BF71" s="60">
        <v>0</v>
      </c>
      <c r="BG71" s="60">
        <v>0</v>
      </c>
      <c r="BH71" s="60">
        <v>0</v>
      </c>
      <c r="BI71" s="60">
        <v>0</v>
      </c>
      <c r="BJ71" s="60">
        <v>0</v>
      </c>
      <c r="BK71" s="60">
        <v>0</v>
      </c>
      <c r="BL71" s="60">
        <v>0</v>
      </c>
      <c r="BM71" s="60">
        <v>0</v>
      </c>
      <c r="BN71" s="60">
        <v>0</v>
      </c>
      <c r="BO71" s="60">
        <v>0</v>
      </c>
      <c r="BP71" s="60">
        <v>0</v>
      </c>
      <c r="BQ71" s="60">
        <v>0</v>
      </c>
      <c r="BR71" s="60">
        <v>0</v>
      </c>
      <c r="BS71" s="60">
        <v>0</v>
      </c>
      <c r="BT71" s="60">
        <v>0</v>
      </c>
      <c r="BU71" s="60">
        <v>0</v>
      </c>
      <c r="BV71" s="60">
        <v>0</v>
      </c>
      <c r="BW71" s="60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</row>
    <row r="72" spans="1:175" x14ac:dyDescent="0.3">
      <c r="A72" s="171"/>
      <c r="B72" s="12" t="s">
        <v>28</v>
      </c>
      <c r="C72" s="4" t="s">
        <v>33</v>
      </c>
      <c r="D72" s="6" t="s">
        <v>43</v>
      </c>
      <c r="E72" s="9">
        <v>0</v>
      </c>
      <c r="F72" s="13">
        <v>0</v>
      </c>
      <c r="G72" s="13" t="s">
        <v>24</v>
      </c>
      <c r="H72">
        <v>0</v>
      </c>
      <c r="I72" t="s">
        <v>12</v>
      </c>
      <c r="J72">
        <v>0</v>
      </c>
      <c r="K72">
        <v>0</v>
      </c>
      <c r="L72" s="10">
        <v>0</v>
      </c>
      <c r="M72">
        <v>0</v>
      </c>
      <c r="N72">
        <v>0</v>
      </c>
      <c r="O72">
        <v>0</v>
      </c>
      <c r="P72" s="10">
        <v>0</v>
      </c>
      <c r="Q72" s="10">
        <v>0</v>
      </c>
      <c r="R72" s="10">
        <v>0</v>
      </c>
      <c r="S72" s="10">
        <v>0</v>
      </c>
      <c r="T72" s="10">
        <v>0</v>
      </c>
      <c r="U72" s="10">
        <v>0</v>
      </c>
      <c r="V72" s="10">
        <v>0</v>
      </c>
      <c r="W72" s="10">
        <v>0</v>
      </c>
      <c r="X72" s="10">
        <v>0</v>
      </c>
      <c r="Y72" s="10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 s="14">
        <v>0</v>
      </c>
      <c r="AU72" s="14">
        <v>0</v>
      </c>
      <c r="AV72" s="14">
        <v>0</v>
      </c>
      <c r="AW72" s="14">
        <v>0</v>
      </c>
      <c r="AX72" s="14">
        <v>0</v>
      </c>
      <c r="AY72" s="14">
        <v>0</v>
      </c>
      <c r="AZ72" s="14">
        <v>0</v>
      </c>
      <c r="BA72" s="14">
        <v>0</v>
      </c>
      <c r="BB72" s="14">
        <v>0</v>
      </c>
      <c r="BC72" s="14">
        <v>0</v>
      </c>
      <c r="BD72" s="14">
        <v>0</v>
      </c>
      <c r="BE72" s="14">
        <v>0</v>
      </c>
      <c r="BF72" s="14">
        <v>0</v>
      </c>
      <c r="BG72" s="14">
        <v>0</v>
      </c>
      <c r="BH72" s="14">
        <v>0</v>
      </c>
      <c r="BI72" s="14">
        <v>0</v>
      </c>
      <c r="BJ72" s="14">
        <v>0</v>
      </c>
      <c r="BK72" s="14">
        <v>0</v>
      </c>
      <c r="BL72" s="14">
        <v>0</v>
      </c>
      <c r="BM72" s="14">
        <v>0</v>
      </c>
      <c r="BN72" s="14">
        <v>0</v>
      </c>
      <c r="BO72" s="14">
        <v>0</v>
      </c>
      <c r="BP72" s="14">
        <v>0</v>
      </c>
      <c r="BQ72" s="14">
        <v>0</v>
      </c>
      <c r="BR72" s="14">
        <v>0</v>
      </c>
      <c r="BS72" s="14">
        <v>0</v>
      </c>
      <c r="BT72" s="14">
        <v>0</v>
      </c>
      <c r="BU72" s="14">
        <v>0</v>
      </c>
      <c r="BV72" s="14">
        <v>0</v>
      </c>
      <c r="BW72" s="14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 s="32">
        <v>0</v>
      </c>
      <c r="FK72" s="32">
        <v>0</v>
      </c>
      <c r="FL72" s="32">
        <v>0</v>
      </c>
      <c r="FM72" s="32">
        <v>0</v>
      </c>
      <c r="FN72" s="32">
        <v>0</v>
      </c>
      <c r="FO72" s="32">
        <v>0</v>
      </c>
      <c r="FP72" s="32">
        <v>0</v>
      </c>
      <c r="FQ72" s="32">
        <v>0</v>
      </c>
      <c r="FR72" s="32">
        <v>0</v>
      </c>
      <c r="FS72" s="32">
        <v>0</v>
      </c>
    </row>
    <row r="73" spans="1:175" x14ac:dyDescent="0.3">
      <c r="A73" s="171"/>
      <c r="B73" s="12" t="s">
        <v>217</v>
      </c>
      <c r="C73" s="4" t="s">
        <v>34</v>
      </c>
      <c r="D73" s="6" t="s">
        <v>278</v>
      </c>
      <c r="E73" s="9">
        <v>0</v>
      </c>
      <c r="F73" s="13">
        <v>0</v>
      </c>
      <c r="G73" s="13" t="s">
        <v>278</v>
      </c>
      <c r="H73">
        <v>0</v>
      </c>
      <c r="I73" t="s">
        <v>12</v>
      </c>
      <c r="J73">
        <v>0</v>
      </c>
      <c r="K73">
        <v>0</v>
      </c>
      <c r="L73" s="10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 s="14">
        <v>0</v>
      </c>
      <c r="AU73" s="14">
        <v>0</v>
      </c>
      <c r="AV73" s="14">
        <v>0</v>
      </c>
      <c r="AW73" s="14">
        <v>0</v>
      </c>
      <c r="AX73" s="14">
        <v>0</v>
      </c>
      <c r="AY73" s="14">
        <v>0</v>
      </c>
      <c r="AZ73" s="14">
        <v>0</v>
      </c>
      <c r="BA73" s="14">
        <v>0</v>
      </c>
      <c r="BB73" s="14">
        <v>0</v>
      </c>
      <c r="BC73" s="14">
        <v>0</v>
      </c>
      <c r="BD73" s="14">
        <v>0</v>
      </c>
      <c r="BE73" s="14">
        <v>0</v>
      </c>
      <c r="BF73" s="14">
        <v>0</v>
      </c>
      <c r="BG73" s="14">
        <v>0</v>
      </c>
      <c r="BH73" s="14">
        <v>0</v>
      </c>
      <c r="BI73" s="14">
        <v>0</v>
      </c>
      <c r="BJ73" s="14">
        <v>0</v>
      </c>
      <c r="BK73" s="14">
        <v>0</v>
      </c>
      <c r="BL73" s="14">
        <v>0</v>
      </c>
      <c r="BM73" s="14">
        <v>0</v>
      </c>
      <c r="BN73" s="14">
        <v>0</v>
      </c>
      <c r="BO73" s="14">
        <v>0</v>
      </c>
      <c r="BP73" s="14">
        <v>0</v>
      </c>
      <c r="BQ73" s="14">
        <v>0</v>
      </c>
      <c r="BR73" s="14">
        <v>0</v>
      </c>
      <c r="BS73" s="14">
        <v>0</v>
      </c>
      <c r="BT73" s="14">
        <v>0</v>
      </c>
      <c r="BU73" s="14">
        <v>0</v>
      </c>
      <c r="BV73" s="14">
        <v>0</v>
      </c>
      <c r="BW73" s="14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</v>
      </c>
      <c r="FA73">
        <v>0</v>
      </c>
      <c r="FB73">
        <v>0</v>
      </c>
      <c r="FC73">
        <v>0</v>
      </c>
      <c r="FD73">
        <v>0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0</v>
      </c>
      <c r="FR73">
        <v>0</v>
      </c>
      <c r="FS73">
        <v>0</v>
      </c>
    </row>
    <row r="74" spans="1:175" x14ac:dyDescent="0.3">
      <c r="A74" s="171"/>
      <c r="B74" s="12" t="s">
        <v>218</v>
      </c>
      <c r="C74" s="11" t="s">
        <v>276</v>
      </c>
      <c r="D74" s="6" t="s">
        <v>176</v>
      </c>
      <c r="E74" s="9">
        <v>0</v>
      </c>
      <c r="F74" s="13">
        <v>0</v>
      </c>
      <c r="G74" s="13" t="s">
        <v>177</v>
      </c>
      <c r="H74">
        <v>0</v>
      </c>
      <c r="I74" t="s">
        <v>12</v>
      </c>
      <c r="J74">
        <v>0</v>
      </c>
      <c r="K74">
        <v>0</v>
      </c>
      <c r="L74" s="10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 s="34">
        <v>0</v>
      </c>
      <c r="AU74" s="34">
        <v>0</v>
      </c>
      <c r="AV74" s="14">
        <v>0</v>
      </c>
      <c r="AW74" s="14">
        <v>0</v>
      </c>
      <c r="AX74" s="14">
        <v>0</v>
      </c>
      <c r="AY74" s="14">
        <v>0</v>
      </c>
      <c r="AZ74" s="14">
        <v>0</v>
      </c>
      <c r="BA74" s="14">
        <v>0</v>
      </c>
      <c r="BB74" s="14">
        <v>0</v>
      </c>
      <c r="BC74" s="14">
        <v>0</v>
      </c>
      <c r="BD74" s="34">
        <v>0</v>
      </c>
      <c r="BE74" s="34">
        <v>0</v>
      </c>
      <c r="BF74" s="34">
        <v>0</v>
      </c>
      <c r="BG74" s="34">
        <v>0</v>
      </c>
      <c r="BH74" s="34">
        <v>0</v>
      </c>
      <c r="BI74" s="34">
        <v>0</v>
      </c>
      <c r="BJ74" s="34">
        <v>0</v>
      </c>
      <c r="BK74" s="34">
        <v>0</v>
      </c>
      <c r="BL74" s="34">
        <v>0</v>
      </c>
      <c r="BM74" s="34">
        <v>0</v>
      </c>
      <c r="BN74" s="34">
        <v>0</v>
      </c>
      <c r="BO74" s="34">
        <v>0</v>
      </c>
      <c r="BP74" s="34">
        <v>0</v>
      </c>
      <c r="BQ74" s="34">
        <v>0</v>
      </c>
      <c r="BR74" s="34">
        <v>0</v>
      </c>
      <c r="BS74" s="34">
        <v>0</v>
      </c>
      <c r="BT74" s="34">
        <v>0</v>
      </c>
      <c r="BU74" s="34">
        <v>0</v>
      </c>
      <c r="BV74" s="34">
        <v>0</v>
      </c>
      <c r="BW74" s="3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</row>
    <row r="75" spans="1:175" x14ac:dyDescent="0.3">
      <c r="A75" s="171"/>
      <c r="B75" s="12" t="s">
        <v>15</v>
      </c>
      <c r="C75" s="11" t="s">
        <v>276</v>
      </c>
      <c r="D75" s="6" t="s">
        <v>44</v>
      </c>
      <c r="E75" s="9">
        <v>0</v>
      </c>
      <c r="F75" s="13">
        <v>0</v>
      </c>
      <c r="G75" s="13" t="s">
        <v>25</v>
      </c>
      <c r="H75">
        <v>0</v>
      </c>
      <c r="I75" t="s">
        <v>12</v>
      </c>
      <c r="J75">
        <v>0</v>
      </c>
      <c r="K75">
        <v>0</v>
      </c>
      <c r="L75" s="10">
        <v>0</v>
      </c>
      <c r="M75">
        <v>0</v>
      </c>
      <c r="N75">
        <v>0</v>
      </c>
      <c r="O75">
        <v>0</v>
      </c>
      <c r="P75" s="10">
        <v>0</v>
      </c>
      <c r="Q75" s="10">
        <v>0</v>
      </c>
      <c r="R75" s="10">
        <v>0</v>
      </c>
      <c r="S75" s="10">
        <v>0</v>
      </c>
      <c r="T75" s="10">
        <v>0</v>
      </c>
      <c r="U75" s="10">
        <v>0</v>
      </c>
      <c r="V75" s="10">
        <v>0</v>
      </c>
      <c r="W75" s="10">
        <v>0</v>
      </c>
      <c r="X75" s="10">
        <v>0</v>
      </c>
      <c r="Y75" s="10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 s="14">
        <v>0</v>
      </c>
      <c r="AU75" s="14">
        <v>0</v>
      </c>
      <c r="AV75" s="14">
        <v>0</v>
      </c>
      <c r="AW75" s="14">
        <v>0</v>
      </c>
      <c r="AX75" s="14">
        <v>0</v>
      </c>
      <c r="AY75" s="14">
        <v>0</v>
      </c>
      <c r="AZ75" s="14">
        <v>0</v>
      </c>
      <c r="BA75" s="14">
        <v>0</v>
      </c>
      <c r="BB75" s="14">
        <v>0</v>
      </c>
      <c r="BC75" s="14">
        <v>0</v>
      </c>
      <c r="BD75" s="14">
        <v>0</v>
      </c>
      <c r="BE75" s="14">
        <v>0</v>
      </c>
      <c r="BF75" s="14">
        <v>0</v>
      </c>
      <c r="BG75" s="14">
        <v>0</v>
      </c>
      <c r="BH75" s="14">
        <v>0</v>
      </c>
      <c r="BI75" s="14">
        <v>0</v>
      </c>
      <c r="BJ75" s="14">
        <v>0</v>
      </c>
      <c r="BK75" s="14">
        <v>0</v>
      </c>
      <c r="BL75" s="14">
        <v>0</v>
      </c>
      <c r="BM75" s="14">
        <v>0</v>
      </c>
      <c r="BN75" s="14">
        <v>0</v>
      </c>
      <c r="BO75" s="14">
        <v>0</v>
      </c>
      <c r="BP75" s="14">
        <v>0</v>
      </c>
      <c r="BQ75" s="14">
        <v>0</v>
      </c>
      <c r="BR75" s="14">
        <v>0</v>
      </c>
      <c r="BS75" s="14">
        <v>0</v>
      </c>
      <c r="BT75" s="14">
        <v>0</v>
      </c>
      <c r="BU75" s="14">
        <v>0</v>
      </c>
      <c r="BV75" s="14">
        <v>0</v>
      </c>
      <c r="BW75" s="14">
        <v>0</v>
      </c>
      <c r="BX75" t="s">
        <v>388</v>
      </c>
      <c r="BY75" t="s">
        <v>388</v>
      </c>
      <c r="BZ75" t="s">
        <v>388</v>
      </c>
      <c r="CA75" t="s">
        <v>388</v>
      </c>
      <c r="CB75" t="s">
        <v>388</v>
      </c>
      <c r="CC75" t="s">
        <v>388</v>
      </c>
      <c r="CD75" t="s">
        <v>388</v>
      </c>
      <c r="CE75" t="s">
        <v>388</v>
      </c>
      <c r="CF75" t="s">
        <v>388</v>
      </c>
      <c r="CG75" t="s">
        <v>388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</row>
    <row r="76" spans="1:175" x14ac:dyDescent="0.3">
      <c r="A76" s="171"/>
      <c r="B76" s="12" t="s">
        <v>16</v>
      </c>
      <c r="C76" s="11" t="s">
        <v>276</v>
      </c>
      <c r="D76" s="6" t="s">
        <v>45</v>
      </c>
      <c r="E76" s="9">
        <v>0</v>
      </c>
      <c r="F76" s="13">
        <v>0</v>
      </c>
      <c r="G76" s="13" t="s">
        <v>26</v>
      </c>
      <c r="H76">
        <v>0</v>
      </c>
      <c r="I76" t="s">
        <v>12</v>
      </c>
      <c r="J76">
        <v>0</v>
      </c>
      <c r="K76">
        <v>0</v>
      </c>
      <c r="L76" s="10">
        <v>0</v>
      </c>
      <c r="M76">
        <v>0</v>
      </c>
      <c r="N76">
        <v>0</v>
      </c>
      <c r="O76">
        <v>0</v>
      </c>
      <c r="P76" s="10">
        <v>0</v>
      </c>
      <c r="Q76" s="10">
        <v>0</v>
      </c>
      <c r="R76" s="10">
        <v>0</v>
      </c>
      <c r="S76" s="10">
        <v>0</v>
      </c>
      <c r="T76" s="10">
        <v>0</v>
      </c>
      <c r="U76" s="10">
        <v>0</v>
      </c>
      <c r="V76" s="10">
        <v>0</v>
      </c>
      <c r="W76" s="10">
        <v>0</v>
      </c>
      <c r="X76" s="10">
        <v>0</v>
      </c>
      <c r="Y76" s="10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 s="14">
        <v>0</v>
      </c>
      <c r="AU76" s="14">
        <v>0</v>
      </c>
      <c r="AV76" s="14">
        <v>0</v>
      </c>
      <c r="AW76" s="14">
        <v>0</v>
      </c>
      <c r="AX76" s="14">
        <v>0</v>
      </c>
      <c r="AY76" s="14">
        <v>0</v>
      </c>
      <c r="AZ76" s="14">
        <v>0</v>
      </c>
      <c r="BA76" s="14">
        <v>0</v>
      </c>
      <c r="BB76" s="14">
        <v>0</v>
      </c>
      <c r="BC76" s="14">
        <v>0</v>
      </c>
      <c r="BD76" s="14">
        <v>0</v>
      </c>
      <c r="BE76" s="14">
        <v>0</v>
      </c>
      <c r="BF76" s="14">
        <v>0</v>
      </c>
      <c r="BG76" s="14">
        <v>0</v>
      </c>
      <c r="BH76" s="14">
        <v>0</v>
      </c>
      <c r="BI76" s="14">
        <v>0</v>
      </c>
      <c r="BJ76" s="14">
        <v>0</v>
      </c>
      <c r="BK76" s="14">
        <v>0</v>
      </c>
      <c r="BL76" s="14">
        <v>0</v>
      </c>
      <c r="BM76" s="14">
        <v>0</v>
      </c>
      <c r="BN76" s="14">
        <v>0</v>
      </c>
      <c r="BO76" s="14">
        <v>0</v>
      </c>
      <c r="BP76" s="14">
        <v>0</v>
      </c>
      <c r="BQ76" s="14">
        <v>0</v>
      </c>
      <c r="BR76" s="14">
        <v>0</v>
      </c>
      <c r="BS76" s="14">
        <v>0</v>
      </c>
      <c r="BT76" s="14">
        <v>0</v>
      </c>
      <c r="BU76" s="14">
        <v>0</v>
      </c>
      <c r="BV76" s="14">
        <v>0</v>
      </c>
      <c r="BW76" s="14">
        <v>0</v>
      </c>
      <c r="BX76" t="s">
        <v>388</v>
      </c>
      <c r="BY76" t="s">
        <v>388</v>
      </c>
      <c r="BZ76" t="s">
        <v>388</v>
      </c>
      <c r="CA76" t="s">
        <v>388</v>
      </c>
      <c r="CB76" t="s">
        <v>388</v>
      </c>
      <c r="CC76" t="s">
        <v>388</v>
      </c>
      <c r="CD76" t="s">
        <v>388</v>
      </c>
      <c r="CE76" t="s">
        <v>388</v>
      </c>
      <c r="CF76" t="s">
        <v>388</v>
      </c>
      <c r="CG76" t="s">
        <v>388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</row>
    <row r="77" spans="1:175" x14ac:dyDescent="0.3">
      <c r="A77" s="171"/>
      <c r="B77" s="12" t="s">
        <v>17</v>
      </c>
      <c r="C77" s="11" t="s">
        <v>276</v>
      </c>
      <c r="D77" s="2" t="s">
        <v>46</v>
      </c>
      <c r="E77" s="9">
        <v>0</v>
      </c>
      <c r="F77" s="13">
        <v>0</v>
      </c>
      <c r="G77" s="13" t="s">
        <v>27</v>
      </c>
      <c r="H77">
        <v>0</v>
      </c>
      <c r="I77" t="s">
        <v>12</v>
      </c>
      <c r="J77">
        <v>0</v>
      </c>
      <c r="K77">
        <v>0</v>
      </c>
      <c r="L77" s="10">
        <v>0</v>
      </c>
      <c r="M77">
        <v>0</v>
      </c>
      <c r="N77">
        <v>0</v>
      </c>
      <c r="O77">
        <v>0</v>
      </c>
      <c r="P77" s="10">
        <v>0</v>
      </c>
      <c r="Q77" s="10">
        <v>0</v>
      </c>
      <c r="R77" s="10">
        <v>0</v>
      </c>
      <c r="S77" s="10">
        <v>0</v>
      </c>
      <c r="T77" s="10">
        <v>0</v>
      </c>
      <c r="U77" s="10">
        <v>0</v>
      </c>
      <c r="V77" s="10">
        <v>0</v>
      </c>
      <c r="W77" s="10">
        <v>0</v>
      </c>
      <c r="X77" s="10">
        <v>0</v>
      </c>
      <c r="Y77" s="10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 s="14" t="s">
        <v>315</v>
      </c>
      <c r="AU77" s="14" t="s">
        <v>315</v>
      </c>
      <c r="AV77" s="14" t="s">
        <v>315</v>
      </c>
      <c r="AW77" s="14" t="s">
        <v>315</v>
      </c>
      <c r="AX77" s="14" t="s">
        <v>315</v>
      </c>
      <c r="AY77" s="14" t="s">
        <v>315</v>
      </c>
      <c r="AZ77" s="14" t="s">
        <v>315</v>
      </c>
      <c r="BA77" s="14" t="s">
        <v>315</v>
      </c>
      <c r="BB77" s="14" t="s">
        <v>315</v>
      </c>
      <c r="BC77" s="14" t="s">
        <v>315</v>
      </c>
      <c r="BD77" s="14">
        <v>0</v>
      </c>
      <c r="BE77" s="14">
        <v>0</v>
      </c>
      <c r="BF77" s="14">
        <v>0</v>
      </c>
      <c r="BG77" s="14">
        <v>0</v>
      </c>
      <c r="BH77" s="14">
        <v>0</v>
      </c>
      <c r="BI77" s="14">
        <v>0</v>
      </c>
      <c r="BJ77" s="14">
        <v>0</v>
      </c>
      <c r="BK77" s="14">
        <v>0</v>
      </c>
      <c r="BL77" s="14">
        <v>0</v>
      </c>
      <c r="BM77" s="14">
        <v>0</v>
      </c>
      <c r="BN77" s="14">
        <v>0</v>
      </c>
      <c r="BO77" s="14">
        <v>0</v>
      </c>
      <c r="BP77" s="14">
        <v>0</v>
      </c>
      <c r="BQ77" s="14">
        <v>0</v>
      </c>
      <c r="BR77" s="14">
        <v>0</v>
      </c>
      <c r="BS77" s="14">
        <v>0</v>
      </c>
      <c r="BT77" s="14">
        <v>0</v>
      </c>
      <c r="BU77" s="14">
        <v>0</v>
      </c>
      <c r="BV77" s="14">
        <v>0</v>
      </c>
      <c r="BW77" s="14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 t="s">
        <v>389</v>
      </c>
      <c r="CI77" t="s">
        <v>390</v>
      </c>
      <c r="CJ77" t="s">
        <v>391</v>
      </c>
      <c r="CK77" t="s">
        <v>392</v>
      </c>
      <c r="CL77" t="s">
        <v>393</v>
      </c>
      <c r="CM77" t="s">
        <v>394</v>
      </c>
      <c r="CN77">
        <v>0</v>
      </c>
      <c r="CO77" t="s">
        <v>395</v>
      </c>
      <c r="CP77" t="s">
        <v>396</v>
      </c>
      <c r="CQ77" t="s">
        <v>397</v>
      </c>
      <c r="CR77" t="s">
        <v>398</v>
      </c>
      <c r="CS77" t="s">
        <v>399</v>
      </c>
      <c r="CT77" t="s">
        <v>400</v>
      </c>
      <c r="CU77" t="s">
        <v>398</v>
      </c>
      <c r="CV77" t="s">
        <v>399</v>
      </c>
      <c r="CW77" t="s">
        <v>400</v>
      </c>
      <c r="CX77">
        <v>0</v>
      </c>
      <c r="CY77" t="s">
        <v>398</v>
      </c>
      <c r="CZ77" t="s">
        <v>399</v>
      </c>
      <c r="DA77" t="s">
        <v>400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 t="s">
        <v>285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 s="51">
        <v>0</v>
      </c>
      <c r="FN77" s="51">
        <v>0</v>
      </c>
      <c r="FO77" s="51">
        <v>0</v>
      </c>
      <c r="FP77">
        <v>0</v>
      </c>
      <c r="FQ77">
        <v>0</v>
      </c>
      <c r="FR77">
        <v>0</v>
      </c>
      <c r="FS77">
        <v>0</v>
      </c>
    </row>
  </sheetData>
  <mergeCells count="22">
    <mergeCell ref="A9:A52"/>
    <mergeCell ref="A53:A77"/>
    <mergeCell ref="BX4:CF4"/>
    <mergeCell ref="EZ4:FH4"/>
    <mergeCell ref="FJ4:FS4"/>
    <mergeCell ref="DB4:DJ4"/>
    <mergeCell ref="DL4:DT4"/>
    <mergeCell ref="DV4:ED4"/>
    <mergeCell ref="EF4:EN4"/>
    <mergeCell ref="EP4:EX4"/>
    <mergeCell ref="CH4:CP4"/>
    <mergeCell ref="CR4:CZ4"/>
    <mergeCell ref="B5:B8"/>
    <mergeCell ref="C5:C8"/>
    <mergeCell ref="D5:D8"/>
    <mergeCell ref="A4:C4"/>
    <mergeCell ref="P4:Y4"/>
    <mergeCell ref="AJ4:AS4"/>
    <mergeCell ref="AT4:BB4"/>
    <mergeCell ref="BD4:BL4"/>
    <mergeCell ref="BN4:BV4"/>
    <mergeCell ref="Z4:AI4"/>
  </mergeCells>
  <conditionalFormatting sqref="A2">
    <cfRule type="cellIs" dxfId="3" priority="3" operator="equal">
      <formula>TRUE</formula>
    </cfRule>
    <cfRule type="cellIs" dxfId="2" priority="4" operator="equal">
      <formula>FALSE</formula>
    </cfRule>
  </conditionalFormatting>
  <conditionalFormatting sqref="B2">
    <cfRule type="cellIs" dxfId="1" priority="1" operator="equal">
      <formula>FALSE</formula>
    </cfRule>
    <cfRule type="cellIs" dxfId="0" priority="2" operator="equal">
      <formula>TRUE</formula>
    </cfRule>
  </conditionalFormatting>
  <pageMargins left="0.7" right="0.7" top="0.75" bottom="0.75" header="0.3" footer="0.3"/>
  <pageSetup paperSize="9" orientation="portrait" horizontalDpi="429496729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503" r:id="rId3" name="Button 335">
              <controlPr defaultSize="0" print="0" autoFill="0" autoPict="0" macro="[0]!Import_comments">
                <anchor moveWithCells="1" sizeWithCells="1">
                  <from>
                    <xdr:col>0</xdr:col>
                    <xdr:colOff>114300</xdr:colOff>
                    <xdr:row>0</xdr:row>
                    <xdr:rowOff>60960</xdr:rowOff>
                  </from>
                  <to>
                    <xdr:col>3</xdr:col>
                    <xdr:colOff>883920</xdr:colOff>
                    <xdr:row>2</xdr:row>
                    <xdr:rowOff>99060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H139"/>
  <sheetViews>
    <sheetView workbookViewId="0">
      <selection activeCell="G14" sqref="G14"/>
    </sheetView>
  </sheetViews>
  <sheetFormatPr defaultColWidth="39.33203125" defaultRowHeight="14.4" x14ac:dyDescent="0.3"/>
  <cols>
    <col min="1" max="1" width="43.109375" style="39" customWidth="1"/>
    <col min="2" max="2" width="57.77734375" style="38" customWidth="1"/>
    <col min="3" max="5" width="39.33203125" style="38"/>
    <col min="6" max="6" width="12" style="38" customWidth="1"/>
    <col min="7" max="7" width="39.33203125" style="47"/>
    <col min="8" max="16384" width="39.33203125" style="39"/>
  </cols>
  <sheetData>
    <row r="1" spans="1:8" s="42" customFormat="1" x14ac:dyDescent="0.3">
      <c r="A1" s="42" t="s">
        <v>297</v>
      </c>
      <c r="B1" s="43" t="s">
        <v>191</v>
      </c>
      <c r="C1" s="43" t="s">
        <v>212</v>
      </c>
      <c r="D1" s="43" t="s">
        <v>99</v>
      </c>
      <c r="E1" s="43" t="s">
        <v>190</v>
      </c>
      <c r="F1" s="43" t="s">
        <v>192</v>
      </c>
      <c r="G1" s="44" t="s">
        <v>210</v>
      </c>
      <c r="H1" s="42" t="s">
        <v>290</v>
      </c>
    </row>
    <row r="2" spans="1:8" ht="28.8" x14ac:dyDescent="0.3">
      <c r="A2" s="39" t="s">
        <v>283</v>
      </c>
      <c r="B2" s="38" t="s">
        <v>281</v>
      </c>
      <c r="C2" s="38" t="s">
        <v>282</v>
      </c>
      <c r="D2" s="38">
        <v>2023</v>
      </c>
      <c r="E2" s="38" t="s">
        <v>296</v>
      </c>
      <c r="G2" s="41"/>
      <c r="H2" s="47" t="s">
        <v>289</v>
      </c>
    </row>
    <row r="3" spans="1:8" ht="22.05" customHeight="1" x14ac:dyDescent="0.3">
      <c r="A3" s="39" t="s">
        <v>292</v>
      </c>
      <c r="B3" s="38" t="s">
        <v>293</v>
      </c>
      <c r="C3" s="38" t="s">
        <v>294</v>
      </c>
      <c r="D3" s="38">
        <v>2023</v>
      </c>
      <c r="E3" s="38" t="s">
        <v>295</v>
      </c>
      <c r="G3" s="41"/>
    </row>
    <row r="4" spans="1:8" ht="40.950000000000003" customHeight="1" x14ac:dyDescent="0.3">
      <c r="A4" s="39" t="str">
        <f t="shared" ref="A4:A5" si="0">C4&amp;D4</f>
        <v>Adams2019</v>
      </c>
      <c r="B4" s="38" t="s">
        <v>298</v>
      </c>
      <c r="C4" s="38" t="s">
        <v>299</v>
      </c>
      <c r="D4" s="38">
        <v>2019</v>
      </c>
      <c r="E4" s="38" t="s">
        <v>300</v>
      </c>
      <c r="G4" s="41" t="s">
        <v>301</v>
      </c>
    </row>
    <row r="5" spans="1:8" x14ac:dyDescent="0.3">
      <c r="A5" s="39" t="str">
        <f t="shared" si="0"/>
        <v>Papadias2021</v>
      </c>
      <c r="B5" s="39" t="s">
        <v>302</v>
      </c>
      <c r="C5" s="38" t="s">
        <v>303</v>
      </c>
      <c r="D5" s="38">
        <v>2021</v>
      </c>
      <c r="E5" s="38" t="s">
        <v>304</v>
      </c>
      <c r="G5" s="41" t="s">
        <v>204</v>
      </c>
    </row>
    <row r="6" spans="1:8" ht="34.5" customHeight="1" x14ac:dyDescent="0.3">
      <c r="A6" s="39" t="str">
        <f>C6&amp;D6</f>
        <v>Armijo2020</v>
      </c>
      <c r="B6" s="38" t="s">
        <v>305</v>
      </c>
      <c r="C6" s="38" t="s">
        <v>306</v>
      </c>
      <c r="D6" s="38">
        <v>2020</v>
      </c>
      <c r="E6" s="38" t="s">
        <v>304</v>
      </c>
      <c r="G6" s="41" t="s">
        <v>307</v>
      </c>
    </row>
    <row r="7" spans="1:8" x14ac:dyDescent="0.3">
      <c r="A7" s="39" t="str">
        <f t="shared" ref="A7" si="1">C7&amp;D7</f>
        <v>IEA2019</v>
      </c>
      <c r="B7" s="38" t="s">
        <v>325</v>
      </c>
      <c r="C7" s="38" t="s">
        <v>326</v>
      </c>
      <c r="D7" s="38">
        <v>2019</v>
      </c>
      <c r="E7" s="38" t="s">
        <v>327</v>
      </c>
      <c r="G7" s="41" t="s">
        <v>328</v>
      </c>
    </row>
    <row r="8" spans="1:8" ht="31.05" customHeight="1" x14ac:dyDescent="0.3">
      <c r="A8" s="39" t="s">
        <v>329</v>
      </c>
      <c r="B8" s="38" t="s">
        <v>330</v>
      </c>
      <c r="C8" s="38" t="s">
        <v>331</v>
      </c>
      <c r="D8" s="38">
        <v>2023</v>
      </c>
      <c r="E8" s="38" t="s">
        <v>304</v>
      </c>
      <c r="G8" s="41" t="s">
        <v>332</v>
      </c>
    </row>
    <row r="9" spans="1:8" x14ac:dyDescent="0.3">
      <c r="A9" s="39" t="s">
        <v>338</v>
      </c>
      <c r="B9" s="40" t="s">
        <v>339</v>
      </c>
      <c r="C9" s="38" t="s">
        <v>340</v>
      </c>
      <c r="D9" s="38">
        <v>2023</v>
      </c>
      <c r="E9" s="38" t="s">
        <v>296</v>
      </c>
      <c r="G9" s="41"/>
    </row>
    <row r="10" spans="1:8" x14ac:dyDescent="0.3">
      <c r="A10" s="39" t="s">
        <v>345</v>
      </c>
      <c r="B10" s="38" t="s">
        <v>344</v>
      </c>
      <c r="C10" s="38" t="s">
        <v>343</v>
      </c>
      <c r="D10" s="38">
        <v>2020</v>
      </c>
      <c r="E10" s="38" t="s">
        <v>342</v>
      </c>
      <c r="G10" s="41" t="s">
        <v>341</v>
      </c>
      <c r="H10" s="39" t="s">
        <v>346</v>
      </c>
    </row>
    <row r="11" spans="1:8" ht="28.8" x14ac:dyDescent="0.3">
      <c r="A11" s="39" t="str">
        <f t="shared" ref="A11" si="2">C11&amp;D11</f>
        <v>Ikäheimo2018</v>
      </c>
      <c r="B11" s="38" t="s">
        <v>347</v>
      </c>
      <c r="C11" s="38" t="s">
        <v>348</v>
      </c>
      <c r="D11" s="38">
        <v>2018</v>
      </c>
      <c r="E11" s="38" t="s">
        <v>349</v>
      </c>
      <c r="G11" s="41" t="s">
        <v>350</v>
      </c>
    </row>
    <row r="12" spans="1:8" x14ac:dyDescent="0.3">
      <c r="A12" s="39" t="s">
        <v>355</v>
      </c>
      <c r="B12" s="38" t="s">
        <v>351</v>
      </c>
      <c r="C12" s="38" t="s">
        <v>352</v>
      </c>
      <c r="D12" s="38">
        <v>2020</v>
      </c>
      <c r="E12" s="38" t="s">
        <v>353</v>
      </c>
      <c r="G12" s="41" t="s">
        <v>354</v>
      </c>
    </row>
    <row r="13" spans="1:8" x14ac:dyDescent="0.3">
      <c r="A13" s="39" t="s">
        <v>356</v>
      </c>
      <c r="B13" s="39" t="s">
        <v>357</v>
      </c>
      <c r="C13" s="38" t="s">
        <v>331</v>
      </c>
      <c r="D13" s="38">
        <v>2021</v>
      </c>
      <c r="E13" s="38" t="s">
        <v>295</v>
      </c>
      <c r="G13" s="41" t="s">
        <v>358</v>
      </c>
    </row>
    <row r="14" spans="1:8" ht="28.8" x14ac:dyDescent="0.3">
      <c r="A14" s="39" t="s">
        <v>459</v>
      </c>
      <c r="B14" s="70" t="s">
        <v>460</v>
      </c>
      <c r="C14" s="38" t="s">
        <v>461</v>
      </c>
      <c r="D14" s="38">
        <v>2022</v>
      </c>
      <c r="E14" s="38" t="s">
        <v>304</v>
      </c>
      <c r="G14" s="41" t="s">
        <v>462</v>
      </c>
    </row>
    <row r="15" spans="1:8" ht="43.2" x14ac:dyDescent="0.3">
      <c r="A15" s="39" t="s">
        <v>463</v>
      </c>
      <c r="B15" s="40" t="s">
        <v>464</v>
      </c>
      <c r="C15" s="38" t="s">
        <v>465</v>
      </c>
      <c r="D15" s="38">
        <v>2019</v>
      </c>
      <c r="E15" s="38" t="s">
        <v>304</v>
      </c>
      <c r="G15" s="71" t="s">
        <v>507</v>
      </c>
    </row>
    <row r="16" spans="1:8" ht="43.2" x14ac:dyDescent="0.3">
      <c r="A16" s="39" t="s">
        <v>466</v>
      </c>
      <c r="B16" s="39" t="s">
        <v>467</v>
      </c>
      <c r="C16" s="38" t="s">
        <v>468</v>
      </c>
      <c r="D16" s="38">
        <v>2014</v>
      </c>
      <c r="E16" s="38" t="s">
        <v>295</v>
      </c>
      <c r="F16" s="38" t="s">
        <v>469</v>
      </c>
      <c r="G16" s="41" t="s">
        <v>470</v>
      </c>
    </row>
    <row r="17" spans="1:7" x14ac:dyDescent="0.3">
      <c r="A17" s="39" t="s">
        <v>473</v>
      </c>
      <c r="B17" s="38" t="s">
        <v>474</v>
      </c>
      <c r="C17" s="38" t="s">
        <v>475</v>
      </c>
      <c r="D17" s="38">
        <v>2023</v>
      </c>
      <c r="E17" s="38" t="s">
        <v>295</v>
      </c>
      <c r="G17" s="41" t="s">
        <v>471</v>
      </c>
    </row>
    <row r="18" spans="1:7" x14ac:dyDescent="0.3">
      <c r="G18" s="41"/>
    </row>
    <row r="19" spans="1:7" x14ac:dyDescent="0.3">
      <c r="G19" s="41"/>
    </row>
    <row r="20" spans="1:7" x14ac:dyDescent="0.3">
      <c r="G20" s="41"/>
    </row>
    <row r="21" spans="1:7" x14ac:dyDescent="0.3">
      <c r="B21" s="13"/>
      <c r="G21" s="41"/>
    </row>
    <row r="22" spans="1:7" x14ac:dyDescent="0.3">
      <c r="B22" s="40"/>
      <c r="G22" s="41"/>
    </row>
    <row r="23" spans="1:7" x14ac:dyDescent="0.3">
      <c r="G23" s="41"/>
    </row>
    <row r="24" spans="1:7" x14ac:dyDescent="0.3">
      <c r="G24" s="41"/>
    </row>
    <row r="25" spans="1:7" x14ac:dyDescent="0.3">
      <c r="G25" s="41"/>
    </row>
    <row r="26" spans="1:7" x14ac:dyDescent="0.3">
      <c r="G26" s="41"/>
    </row>
    <row r="27" spans="1:7" x14ac:dyDescent="0.3">
      <c r="G27" s="41"/>
    </row>
    <row r="28" spans="1:7" x14ac:dyDescent="0.3">
      <c r="G28" s="41"/>
    </row>
    <row r="29" spans="1:7" x14ac:dyDescent="0.3">
      <c r="G29" s="41"/>
    </row>
    <row r="30" spans="1:7" x14ac:dyDescent="0.3">
      <c r="G30" s="41"/>
    </row>
    <row r="31" spans="1:7" x14ac:dyDescent="0.3">
      <c r="G31" s="41"/>
    </row>
    <row r="32" spans="1:7" x14ac:dyDescent="0.3">
      <c r="G32" s="41"/>
    </row>
    <row r="33" spans="3:7" x14ac:dyDescent="0.3">
      <c r="G33" s="41"/>
    </row>
    <row r="34" spans="3:7" x14ac:dyDescent="0.3">
      <c r="G34" s="41"/>
    </row>
    <row r="35" spans="3:7" x14ac:dyDescent="0.3">
      <c r="G35" s="41"/>
    </row>
    <row r="36" spans="3:7" x14ac:dyDescent="0.3">
      <c r="G36" s="41"/>
    </row>
    <row r="37" spans="3:7" x14ac:dyDescent="0.3">
      <c r="G37" s="41"/>
    </row>
    <row r="38" spans="3:7" x14ac:dyDescent="0.3">
      <c r="G38" s="41"/>
    </row>
    <row r="39" spans="3:7" x14ac:dyDescent="0.3">
      <c r="G39" s="41"/>
    </row>
    <row r="40" spans="3:7" x14ac:dyDescent="0.3">
      <c r="G40" s="41"/>
    </row>
    <row r="41" spans="3:7" x14ac:dyDescent="0.3">
      <c r="G41" s="41"/>
    </row>
    <row r="43" spans="3:7" x14ac:dyDescent="0.3">
      <c r="G43" s="41"/>
    </row>
    <row r="44" spans="3:7" x14ac:dyDescent="0.3">
      <c r="G44" s="41"/>
    </row>
    <row r="45" spans="3:7" x14ac:dyDescent="0.3">
      <c r="G45" s="41"/>
    </row>
    <row r="46" spans="3:7" x14ac:dyDescent="0.3">
      <c r="G46" s="41"/>
    </row>
    <row r="47" spans="3:7" x14ac:dyDescent="0.3">
      <c r="C47" s="13"/>
      <c r="G47" s="41"/>
    </row>
    <row r="48" spans="3:7" x14ac:dyDescent="0.3">
      <c r="G48" s="41"/>
    </row>
    <row r="49" spans="7:7" x14ac:dyDescent="0.3">
      <c r="G49" s="41"/>
    </row>
    <row r="50" spans="7:7" x14ac:dyDescent="0.3">
      <c r="G50" s="41"/>
    </row>
    <row r="51" spans="7:7" x14ac:dyDescent="0.3">
      <c r="G51" s="41"/>
    </row>
    <row r="52" spans="7:7" x14ac:dyDescent="0.3">
      <c r="G52" s="41"/>
    </row>
    <row r="53" spans="7:7" x14ac:dyDescent="0.3">
      <c r="G53" s="41"/>
    </row>
    <row r="54" spans="7:7" x14ac:dyDescent="0.3">
      <c r="G54" s="41"/>
    </row>
    <row r="55" spans="7:7" x14ac:dyDescent="0.3">
      <c r="G55" s="41"/>
    </row>
    <row r="56" spans="7:7" x14ac:dyDescent="0.3">
      <c r="G56" s="41"/>
    </row>
    <row r="57" spans="7:7" x14ac:dyDescent="0.3">
      <c r="G57" s="41"/>
    </row>
    <row r="58" spans="7:7" x14ac:dyDescent="0.3">
      <c r="G58" s="41"/>
    </row>
    <row r="59" spans="7:7" x14ac:dyDescent="0.3">
      <c r="G59" s="41"/>
    </row>
    <row r="60" spans="7:7" x14ac:dyDescent="0.3">
      <c r="G60" s="41"/>
    </row>
    <row r="61" spans="7:7" x14ac:dyDescent="0.3">
      <c r="G61" s="41"/>
    </row>
    <row r="62" spans="7:7" x14ac:dyDescent="0.3">
      <c r="G62" s="41"/>
    </row>
    <row r="63" spans="7:7" x14ac:dyDescent="0.3">
      <c r="G63" s="41"/>
    </row>
    <row r="64" spans="7:7" x14ac:dyDescent="0.3">
      <c r="G64" s="41"/>
    </row>
    <row r="65" spans="7:7" x14ac:dyDescent="0.3">
      <c r="G65" s="41"/>
    </row>
    <row r="66" spans="7:7" x14ac:dyDescent="0.3">
      <c r="G66" s="41"/>
    </row>
    <row r="67" spans="7:7" x14ac:dyDescent="0.3">
      <c r="G67" s="41"/>
    </row>
    <row r="68" spans="7:7" x14ac:dyDescent="0.3">
      <c r="G68" s="41"/>
    </row>
    <row r="69" spans="7:7" x14ac:dyDescent="0.3">
      <c r="G69" s="41"/>
    </row>
    <row r="70" spans="7:7" x14ac:dyDescent="0.3">
      <c r="G70" s="41"/>
    </row>
    <row r="71" spans="7:7" x14ac:dyDescent="0.3">
      <c r="G71" s="41"/>
    </row>
    <row r="72" spans="7:7" x14ac:dyDescent="0.3">
      <c r="G72" s="41"/>
    </row>
    <row r="73" spans="7:7" x14ac:dyDescent="0.3">
      <c r="G73" s="41"/>
    </row>
    <row r="74" spans="7:7" x14ac:dyDescent="0.3">
      <c r="G74" s="41"/>
    </row>
    <row r="75" spans="7:7" x14ac:dyDescent="0.3">
      <c r="G75" s="41"/>
    </row>
    <row r="76" spans="7:7" x14ac:dyDescent="0.3">
      <c r="G76" s="41"/>
    </row>
    <row r="77" spans="7:7" x14ac:dyDescent="0.3">
      <c r="G77" s="41"/>
    </row>
    <row r="78" spans="7:7" x14ac:dyDescent="0.3">
      <c r="G78" s="41"/>
    </row>
    <row r="79" spans="7:7" x14ac:dyDescent="0.3">
      <c r="G79" s="41"/>
    </row>
    <row r="80" spans="7:7" x14ac:dyDescent="0.3">
      <c r="G80" s="41"/>
    </row>
    <row r="81" spans="7:7" x14ac:dyDescent="0.3">
      <c r="G81" s="41"/>
    </row>
    <row r="82" spans="7:7" x14ac:dyDescent="0.3">
      <c r="G82" s="41"/>
    </row>
    <row r="83" spans="7:7" x14ac:dyDescent="0.3">
      <c r="G83" s="41"/>
    </row>
    <row r="84" spans="7:7" x14ac:dyDescent="0.3">
      <c r="G84" s="41"/>
    </row>
    <row r="85" spans="7:7" x14ac:dyDescent="0.3">
      <c r="G85" s="41"/>
    </row>
    <row r="86" spans="7:7" x14ac:dyDescent="0.3">
      <c r="G86" s="41"/>
    </row>
    <row r="87" spans="7:7" x14ac:dyDescent="0.3">
      <c r="G87" s="41"/>
    </row>
    <row r="88" spans="7:7" x14ac:dyDescent="0.3">
      <c r="G88" s="41"/>
    </row>
    <row r="89" spans="7:7" x14ac:dyDescent="0.3">
      <c r="G89" s="41"/>
    </row>
    <row r="90" spans="7:7" x14ac:dyDescent="0.3">
      <c r="G90" s="41"/>
    </row>
    <row r="91" spans="7:7" x14ac:dyDescent="0.3">
      <c r="G91" s="41"/>
    </row>
    <row r="92" spans="7:7" x14ac:dyDescent="0.3">
      <c r="G92" s="41"/>
    </row>
    <row r="93" spans="7:7" x14ac:dyDescent="0.3">
      <c r="G93" s="41"/>
    </row>
    <row r="94" spans="7:7" x14ac:dyDescent="0.3">
      <c r="G94" s="41"/>
    </row>
    <row r="95" spans="7:7" x14ac:dyDescent="0.3">
      <c r="G95" s="41"/>
    </row>
    <row r="96" spans="7:7" x14ac:dyDescent="0.3">
      <c r="G96" s="41"/>
    </row>
    <row r="97" spans="2:7" x14ac:dyDescent="0.3">
      <c r="G97" s="41"/>
    </row>
    <row r="98" spans="2:7" x14ac:dyDescent="0.3">
      <c r="G98" s="41"/>
    </row>
    <row r="99" spans="2:7" x14ac:dyDescent="0.3">
      <c r="G99" s="41"/>
    </row>
    <row r="100" spans="2:7" x14ac:dyDescent="0.3">
      <c r="G100" s="41"/>
    </row>
    <row r="101" spans="2:7" x14ac:dyDescent="0.3">
      <c r="G101" s="41"/>
    </row>
    <row r="102" spans="2:7" x14ac:dyDescent="0.3">
      <c r="G102" s="41"/>
    </row>
    <row r="103" spans="2:7" x14ac:dyDescent="0.3">
      <c r="G103" s="41"/>
    </row>
    <row r="104" spans="2:7" x14ac:dyDescent="0.3">
      <c r="G104" s="41"/>
    </row>
    <row r="105" spans="2:7" x14ac:dyDescent="0.3">
      <c r="B105" s="50"/>
      <c r="G105" s="41"/>
    </row>
    <row r="106" spans="2:7" x14ac:dyDescent="0.3">
      <c r="G106" s="41"/>
    </row>
    <row r="107" spans="2:7" x14ac:dyDescent="0.3">
      <c r="G107" s="41"/>
    </row>
    <row r="108" spans="2:7" x14ac:dyDescent="0.3">
      <c r="G108" s="41"/>
    </row>
    <row r="109" spans="2:7" x14ac:dyDescent="0.3">
      <c r="G109" s="41"/>
    </row>
    <row r="110" spans="2:7" x14ac:dyDescent="0.3">
      <c r="G110" s="41"/>
    </row>
    <row r="111" spans="2:7" x14ac:dyDescent="0.3">
      <c r="G111" s="41"/>
    </row>
    <row r="114" spans="2:7" x14ac:dyDescent="0.3">
      <c r="G114" s="41" t="s">
        <v>194</v>
      </c>
    </row>
    <row r="117" spans="2:7" x14ac:dyDescent="0.3">
      <c r="G117" s="41" t="s">
        <v>195</v>
      </c>
    </row>
    <row r="118" spans="2:7" x14ac:dyDescent="0.3">
      <c r="B118" s="13"/>
      <c r="C118" s="13"/>
      <c r="G118" s="48" t="s">
        <v>196</v>
      </c>
    </row>
    <row r="120" spans="2:7" x14ac:dyDescent="0.3">
      <c r="G120" s="41" t="s">
        <v>197</v>
      </c>
    </row>
    <row r="124" spans="2:7" x14ac:dyDescent="0.3">
      <c r="G124" s="41" t="s">
        <v>198</v>
      </c>
    </row>
    <row r="126" spans="2:7" x14ac:dyDescent="0.3">
      <c r="G126" s="41" t="s">
        <v>199</v>
      </c>
    </row>
    <row r="127" spans="2:7" x14ac:dyDescent="0.3">
      <c r="G127" s="41" t="s">
        <v>200</v>
      </c>
    </row>
    <row r="128" spans="2:7" x14ac:dyDescent="0.3">
      <c r="G128" s="41" t="s">
        <v>201</v>
      </c>
    </row>
    <row r="129" spans="2:7" x14ac:dyDescent="0.3">
      <c r="G129" s="41" t="s">
        <v>202</v>
      </c>
    </row>
    <row r="130" spans="2:7" x14ac:dyDescent="0.3">
      <c r="G130" s="41" t="s">
        <v>203</v>
      </c>
    </row>
    <row r="131" spans="2:7" x14ac:dyDescent="0.3">
      <c r="B131" s="39"/>
      <c r="G131" s="41" t="s">
        <v>204</v>
      </c>
    </row>
    <row r="132" spans="2:7" x14ac:dyDescent="0.3">
      <c r="G132" s="41" t="s">
        <v>193</v>
      </c>
    </row>
    <row r="133" spans="2:7" x14ac:dyDescent="0.3">
      <c r="G133" s="41" t="s">
        <v>205</v>
      </c>
    </row>
    <row r="134" spans="2:7" x14ac:dyDescent="0.3">
      <c r="G134" s="41" t="s">
        <v>213</v>
      </c>
    </row>
    <row r="135" spans="2:7" x14ac:dyDescent="0.3">
      <c r="G135" s="41" t="s">
        <v>206</v>
      </c>
    </row>
    <row r="136" spans="2:7" x14ac:dyDescent="0.3">
      <c r="G136" s="41" t="s">
        <v>207</v>
      </c>
    </row>
    <row r="137" spans="2:7" x14ac:dyDescent="0.3">
      <c r="G137" s="41" t="s">
        <v>211</v>
      </c>
    </row>
    <row r="138" spans="2:7" x14ac:dyDescent="0.3">
      <c r="G138" s="41" t="s">
        <v>214</v>
      </c>
    </row>
    <row r="139" spans="2:7" x14ac:dyDescent="0.3">
      <c r="B139" s="13"/>
      <c r="G139" s="41" t="s">
        <v>215</v>
      </c>
    </row>
  </sheetData>
  <hyperlinks>
    <hyperlink ref="G114" r:id="rId1" xr:uid="{941A9CE8-62D1-4045-8401-E482EFAA9B01}"/>
    <hyperlink ref="G117" r:id="rId2" xr:uid="{92153DC2-3837-4DF0-96AC-4917611656DE}"/>
    <hyperlink ref="G118" r:id="rId3" tooltip="Persistent link using digital object identifier" xr:uid="{3750B9E2-2914-4FA5-8521-B55C211559FE}"/>
    <hyperlink ref="G124" r:id="rId4" xr:uid="{8B7A2B8C-A3C7-46F4-ACD9-ADE96F003224}"/>
    <hyperlink ref="G126" r:id="rId5" xr:uid="{333B5B5E-4CF3-471D-AA12-BB75652D9B8F}"/>
    <hyperlink ref="G127" r:id="rId6" xr:uid="{4043FF83-C166-4A45-8CE8-BC2B04ACCDFD}"/>
    <hyperlink ref="G120" r:id="rId7" xr:uid="{7F05CC4A-2499-4E6D-89BE-CB00D3866546}"/>
    <hyperlink ref="G128" r:id="rId8" xr:uid="{0E33B96F-EBA8-4D70-976B-5940B9AE5F29}"/>
    <hyperlink ref="G129" r:id="rId9" xr:uid="{BA6B4A3E-6971-4FBB-AA87-5243140FCFF2}"/>
    <hyperlink ref="G130" r:id="rId10" xr:uid="{C31BD694-B885-44E1-8427-A856DE167CA8}"/>
    <hyperlink ref="G131" r:id="rId11" xr:uid="{0DAFF558-95D6-4B26-BD78-AFC687F8E2BD}"/>
    <hyperlink ref="G132" r:id="rId12" xr:uid="{279AFA4D-61EB-40FA-A483-1217C4DACDB1}"/>
    <hyperlink ref="G133" r:id="rId13" xr:uid="{09A1099C-A0CF-4621-BF41-C356836E47AE}"/>
    <hyperlink ref="G135" r:id="rId14" xr:uid="{8456F575-BE6A-4D05-97B4-316EA579ADDD}"/>
    <hyperlink ref="G136" r:id="rId15" xr:uid="{5074AB86-251D-4215-9285-5C087609B488}"/>
    <hyperlink ref="G137" r:id="rId16" xr:uid="{1CF8FB64-6FD7-4527-BD78-FD84A98EC3D3}"/>
    <hyperlink ref="G139" r:id="rId17" xr:uid="{B7F86D34-B7A6-4778-BDF8-4CAC7C1AD951}"/>
    <hyperlink ref="G4" r:id="rId18" xr:uid="{F4EBF170-C48C-4E34-ADFA-BEDEC4D1C207}"/>
    <hyperlink ref="G5" r:id="rId19" xr:uid="{6ADDF5C1-44D2-49B5-AC1A-A0FBD92350FD}"/>
    <hyperlink ref="G6" r:id="rId20" xr:uid="{C6A64B31-92AD-45B0-BA21-DFCDB2BE0979}"/>
    <hyperlink ref="G7" r:id="rId21" xr:uid="{35DA8237-CF91-434B-B6A8-ED2A1E9BBC19}"/>
    <hyperlink ref="G8" r:id="rId22" xr:uid="{BF89911F-EFE3-4598-AA94-74A4FB57736F}"/>
    <hyperlink ref="G11" r:id="rId23" xr:uid="{66A6A64F-EA92-47F7-A6E1-2ABBBC7A9B9F}"/>
    <hyperlink ref="G12" r:id="rId24" xr:uid="{7BA9439C-B926-440A-9120-FCAB19CB5136}"/>
    <hyperlink ref="G10" r:id="rId25" xr:uid="{95A53AE5-0F35-48AA-ABC6-F5099B06F989}"/>
    <hyperlink ref="G15" r:id="rId26" xr:uid="{462CBAC3-6AE4-4E00-A341-0705B733BF63}"/>
    <hyperlink ref="G14" r:id="rId27" xr:uid="{B011012B-72AC-4ACB-A515-CCD250128C16}"/>
  </hyperlink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Data_base_case</vt:lpstr>
      <vt:lpstr>Selected_units</vt:lpstr>
      <vt:lpstr>Scenarios_definition</vt:lpstr>
      <vt:lpstr>Scenarios_DME</vt:lpstr>
      <vt:lpstr>Scenarios_tests</vt:lpstr>
      <vt:lpstr>Ref_base_case</vt:lpstr>
      <vt:lpstr>Sources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2023-10-27T12:17:14Z</dcterms:modified>
</cp:coreProperties>
</file>