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ThisWorkbook"/>
  <xr:revisionPtr revIDLastSave="0" documentId="13_ncr:1_{7FCC29C7-F568-4F58-8412-238D7A29041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79" l="1"/>
  <c r="H38" i="80"/>
  <c r="A34" i="95"/>
  <c r="G34" i="95"/>
  <c r="I34" i="95"/>
  <c r="N6" i="82"/>
  <c r="N7" i="82"/>
  <c r="N18" i="82"/>
  <c r="N19" i="82"/>
  <c r="N30" i="82" s="1"/>
  <c r="N20" i="82"/>
  <c r="N24" i="82"/>
  <c r="N27" i="82"/>
  <c r="N28" i="82"/>
  <c r="N31" i="82"/>
  <c r="N57" i="82"/>
  <c r="N58" i="82"/>
  <c r="N59" i="82"/>
  <c r="N60" i="82"/>
  <c r="N5" i="82"/>
  <c r="B15" i="82"/>
  <c r="B16" i="82"/>
  <c r="A15" i="82"/>
  <c r="A16" i="82"/>
  <c r="DH18" i="79"/>
  <c r="DK18" i="79"/>
  <c r="DI18" i="79"/>
  <c r="DG18" i="79"/>
  <c r="DE18" i="79"/>
  <c r="DD18" i="79"/>
  <c r="DB18" i="79"/>
  <c r="DA18" i="79"/>
  <c r="CY18" i="79"/>
  <c r="CW18" i="79"/>
  <c r="CU18" i="79"/>
  <c r="CT18" i="79"/>
  <c r="CR18" i="79"/>
  <c r="CQ18" i="79"/>
  <c r="CO18" i="79"/>
  <c r="CM18" i="79"/>
  <c r="CK18" i="79"/>
  <c r="CH18" i="79"/>
  <c r="CJ18" i="79"/>
  <c r="DV19" i="79"/>
  <c r="DW19" i="79"/>
  <c r="DX19" i="79"/>
  <c r="DY19" i="79"/>
  <c r="DZ19" i="79"/>
  <c r="EA19" i="79"/>
  <c r="EB19" i="79"/>
  <c r="EC19" i="79"/>
  <c r="ED19" i="79"/>
  <c r="EE19" i="79"/>
  <c r="H19" i="79"/>
  <c r="H18" i="79" s="1"/>
  <c r="I18" i="79"/>
  <c r="I19" i="79"/>
  <c r="E18" i="79"/>
  <c r="E19" i="79"/>
  <c r="B7" i="82"/>
  <c r="B8" i="82"/>
  <c r="B9" i="82"/>
  <c r="B10" i="82"/>
  <c r="B11" i="82"/>
  <c r="B12" i="82"/>
  <c r="B13" i="82"/>
  <c r="B14" i="82"/>
  <c r="B17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N38" i="82" s="1"/>
  <c r="N36" i="82" s="1"/>
  <c r="B36" i="82"/>
  <c r="B37" i="82"/>
  <c r="B38" i="82"/>
  <c r="B39" i="82"/>
  <c r="B40" i="82"/>
  <c r="B41" i="82"/>
  <c r="N41" i="82" s="1"/>
  <c r="N40" i="82" s="1"/>
  <c r="B42" i="82"/>
  <c r="B43" i="82"/>
  <c r="B44" i="82"/>
  <c r="B45" i="82"/>
  <c r="B46" i="82"/>
  <c r="B47" i="82"/>
  <c r="B48" i="82"/>
  <c r="B49" i="82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EB13" i="79"/>
  <c r="I33" i="95"/>
  <c r="G33" i="95"/>
  <c r="A33" i="95"/>
  <c r="N39" i="82" l="1"/>
  <c r="N37" i="82"/>
  <c r="A18" i="95"/>
  <c r="G18" i="95"/>
  <c r="A13" i="82"/>
  <c r="A14" i="82"/>
  <c r="Q16" i="79"/>
  <c r="R16" i="79"/>
  <c r="S16" i="79"/>
  <c r="T16" i="79"/>
  <c r="U16" i="79"/>
  <c r="V16" i="79"/>
  <c r="W16" i="79"/>
  <c r="X16" i="79"/>
  <c r="Y16" i="79"/>
  <c r="P16" i="79"/>
  <c r="I17" i="79"/>
  <c r="E17" i="79"/>
  <c r="E16" i="79"/>
  <c r="M60" i="82"/>
  <c r="M59" i="82"/>
  <c r="M58" i="82"/>
  <c r="M57" i="82"/>
  <c r="M31" i="82"/>
  <c r="M28" i="82"/>
  <c r="M27" i="82"/>
  <c r="M24" i="82"/>
  <c r="M20" i="82"/>
  <c r="M19" i="82"/>
  <c r="M30" i="82" s="1"/>
  <c r="M18" i="82"/>
  <c r="M7" i="82"/>
  <c r="M6" i="82"/>
  <c r="M5" i="82"/>
  <c r="I10" i="95"/>
  <c r="A12" i="95"/>
  <c r="G12" i="95"/>
  <c r="I12" i="95"/>
  <c r="I11" i="95"/>
  <c r="G11" i="95"/>
  <c r="A11" i="95"/>
  <c r="I13" i="95"/>
  <c r="G13" i="95"/>
  <c r="A13" i="95"/>
  <c r="H22" i="79"/>
  <c r="G32" i="95"/>
  <c r="A32" i="95"/>
  <c r="G31" i="95"/>
  <c r="A31" i="95"/>
  <c r="G30" i="95" l="1"/>
  <c r="A30" i="95"/>
  <c r="G29" i="95"/>
  <c r="A29" i="95"/>
  <c r="G28" i="95"/>
  <c r="A28" i="95"/>
  <c r="G27" i="95"/>
  <c r="A27" i="95"/>
  <c r="I26" i="95"/>
  <c r="G26" i="95"/>
  <c r="A26" i="95"/>
  <c r="I25" i="95"/>
  <c r="G25" i="95"/>
  <c r="A25" i="95"/>
  <c r="I24" i="95"/>
  <c r="G24" i="95"/>
  <c r="A24" i="95"/>
  <c r="I23" i="95"/>
  <c r="G23" i="95"/>
  <c r="A23" i="95"/>
  <c r="Y27" i="79" l="1"/>
  <c r="Y28" i="79"/>
  <c r="Y29" i="79"/>
  <c r="Y30" i="79"/>
  <c r="Y31" i="79"/>
  <c r="X31" i="79"/>
  <c r="X30" i="79"/>
  <c r="X29" i="79"/>
  <c r="X28" i="79"/>
  <c r="X27" i="79"/>
  <c r="W27" i="79"/>
  <c r="W28" i="79"/>
  <c r="W29" i="79"/>
  <c r="W30" i="79"/>
  <c r="W31" i="79"/>
  <c r="V31" i="79"/>
  <c r="V30" i="79"/>
  <c r="V29" i="79"/>
  <c r="V28" i="79"/>
  <c r="V27" i="79"/>
  <c r="U27" i="79"/>
  <c r="U28" i="79"/>
  <c r="U29" i="79"/>
  <c r="U30" i="79"/>
  <c r="U31" i="79"/>
  <c r="T31" i="79"/>
  <c r="T30" i="79"/>
  <c r="T29" i="79"/>
  <c r="T28" i="79"/>
  <c r="T27" i="79"/>
  <c r="S27" i="79"/>
  <c r="S28" i="79"/>
  <c r="S29" i="79"/>
  <c r="S30" i="79"/>
  <c r="S31" i="79"/>
  <c r="R31" i="79"/>
  <c r="R30" i="79"/>
  <c r="R29" i="79"/>
  <c r="R28" i="79"/>
  <c r="R27" i="79"/>
  <c r="Q27" i="79"/>
  <c r="Q28" i="79"/>
  <c r="Q29" i="79"/>
  <c r="Q30" i="79"/>
  <c r="Q31" i="79"/>
  <c r="P31" i="79"/>
  <c r="P30" i="79"/>
  <c r="P29" i="79"/>
  <c r="P28" i="79"/>
  <c r="I22" i="95"/>
  <c r="G22" i="95"/>
  <c r="A22" i="95"/>
  <c r="I21" i="95"/>
  <c r="G21" i="95"/>
  <c r="A21" i="95"/>
  <c r="K5" i="82"/>
  <c r="L5" i="82"/>
  <c r="J5" i="82"/>
  <c r="J60" i="82"/>
  <c r="J59" i="82"/>
  <c r="J58" i="82"/>
  <c r="J57" i="82"/>
  <c r="J31" i="82"/>
  <c r="J29" i="82"/>
  <c r="J28" i="82"/>
  <c r="J27" i="82"/>
  <c r="J26" i="82"/>
  <c r="J25" i="82"/>
  <c r="J24" i="82"/>
  <c r="J20" i="82"/>
  <c r="J19" i="82"/>
  <c r="J30" i="82" s="1"/>
  <c r="J18" i="82"/>
  <c r="J7" i="82"/>
  <c r="J6" i="82"/>
  <c r="A17" i="95"/>
  <c r="G17" i="95"/>
  <c r="I17" i="95"/>
  <c r="A16" i="95"/>
  <c r="G16" i="95"/>
  <c r="I16" i="95"/>
  <c r="H12" i="79" l="1"/>
  <c r="I14" i="79"/>
  <c r="Q15" i="79"/>
  <c r="R15" i="79"/>
  <c r="S15" i="79"/>
  <c r="T15" i="79"/>
  <c r="U15" i="79"/>
  <c r="V15" i="79"/>
  <c r="W15" i="79"/>
  <c r="X15" i="79"/>
  <c r="Y15" i="79"/>
  <c r="P15" i="79"/>
  <c r="H14" i="79" s="1"/>
  <c r="A11" i="97"/>
  <c r="A7" i="97"/>
  <c r="A6" i="97"/>
  <c r="A5" i="97"/>
  <c r="A4" i="97"/>
  <c r="I20" i="95"/>
  <c r="G20" i="95"/>
  <c r="A20" i="95"/>
  <c r="I19" i="95"/>
  <c r="G19" i="95"/>
  <c r="A19" i="95"/>
  <c r="I15" i="95"/>
  <c r="G15" i="95"/>
  <c r="A15" i="95"/>
  <c r="I14" i="95"/>
  <c r="G14" i="95"/>
  <c r="A14" i="95"/>
  <c r="G10" i="95"/>
  <c r="A10" i="95"/>
  <c r="EJ3" i="80"/>
  <c r="EI3" i="80"/>
  <c r="EH3" i="80"/>
  <c r="EG3" i="80"/>
  <c r="EF3" i="80"/>
  <c r="EE3" i="80"/>
  <c r="ED3" i="80"/>
  <c r="EC3" i="80"/>
  <c r="EB3" i="80"/>
  <c r="EA3" i="80"/>
  <c r="DZ3" i="80"/>
  <c r="DY3" i="80"/>
  <c r="DX3" i="80"/>
  <c r="DW3" i="80"/>
  <c r="DV3" i="80"/>
  <c r="DU3" i="80"/>
  <c r="DT3" i="80"/>
  <c r="DS3" i="80"/>
  <c r="DR3" i="80"/>
  <c r="DQ3" i="80"/>
  <c r="DP3" i="80"/>
  <c r="DO3" i="80"/>
  <c r="DN3" i="80"/>
  <c r="DM3" i="80"/>
  <c r="DL3" i="80"/>
  <c r="DK3" i="80"/>
  <c r="DJ3" i="80"/>
  <c r="DI3" i="80"/>
  <c r="DH3" i="80"/>
  <c r="DG3" i="80"/>
  <c r="DF3" i="80"/>
  <c r="DE3" i="80"/>
  <c r="DD3" i="80"/>
  <c r="DC3" i="80"/>
  <c r="DB3" i="80"/>
  <c r="DA3" i="80"/>
  <c r="CZ3" i="80"/>
  <c r="CY3" i="80"/>
  <c r="CX3" i="80"/>
  <c r="CW3" i="80"/>
  <c r="CV3" i="80"/>
  <c r="CU3" i="80"/>
  <c r="CT3" i="80"/>
  <c r="CS3" i="80"/>
  <c r="CR3" i="80"/>
  <c r="CQ3" i="80"/>
  <c r="CP3" i="80"/>
  <c r="CO3" i="80"/>
  <c r="CN3" i="80"/>
  <c r="CM3" i="80"/>
  <c r="CL3" i="80"/>
  <c r="CK3" i="80"/>
  <c r="CJ3" i="80"/>
  <c r="CI3" i="80"/>
  <c r="CH3" i="80"/>
  <c r="CG3" i="80"/>
  <c r="CF3" i="80"/>
  <c r="CE3" i="80"/>
  <c r="CD3" i="80"/>
  <c r="CC3" i="80"/>
  <c r="CB3" i="80"/>
  <c r="CA3" i="80"/>
  <c r="BZ3" i="80"/>
  <c r="BY3" i="80"/>
  <c r="BX3" i="80"/>
  <c r="BW3" i="80"/>
  <c r="BV3" i="80"/>
  <c r="BU3" i="80"/>
  <c r="BT3" i="80"/>
  <c r="BS3" i="80"/>
  <c r="BR3" i="80"/>
  <c r="BQ3" i="80"/>
  <c r="BP3" i="80"/>
  <c r="BO3" i="80"/>
  <c r="BN3" i="80"/>
  <c r="BM3" i="80"/>
  <c r="BL3" i="80"/>
  <c r="BK3" i="80"/>
  <c r="BJ3" i="80"/>
  <c r="BI3" i="80"/>
  <c r="BH3" i="80"/>
  <c r="BG3" i="80"/>
  <c r="BF3" i="80"/>
  <c r="BE3" i="80"/>
  <c r="BD3" i="80"/>
  <c r="BC3" i="80"/>
  <c r="BB3" i="80"/>
  <c r="BA3" i="80"/>
  <c r="AZ3" i="80"/>
  <c r="AY3" i="80"/>
  <c r="AX3" i="80"/>
  <c r="AW3" i="80"/>
  <c r="AV3" i="80"/>
  <c r="AU3" i="80"/>
  <c r="AT3" i="80"/>
  <c r="AS3" i="80"/>
  <c r="AR3" i="80"/>
  <c r="AQ3" i="80"/>
  <c r="AP3" i="80"/>
  <c r="AO3" i="80"/>
  <c r="AN3" i="80"/>
  <c r="AM3" i="80"/>
  <c r="AL3" i="80"/>
  <c r="AK3" i="80"/>
  <c r="AJ3" i="80"/>
  <c r="AI3" i="80"/>
  <c r="AH3" i="80"/>
  <c r="AG3" i="80"/>
  <c r="AF3" i="80"/>
  <c r="AE3" i="80"/>
  <c r="AD3" i="80"/>
  <c r="AC3" i="80"/>
  <c r="AB3" i="80"/>
  <c r="AA3" i="80"/>
  <c r="Z3" i="80"/>
  <c r="Y3" i="80"/>
  <c r="X3" i="80"/>
  <c r="W3" i="80"/>
  <c r="V3" i="80"/>
  <c r="U3" i="80"/>
  <c r="T3" i="80"/>
  <c r="S3" i="80"/>
  <c r="R3" i="80"/>
  <c r="Q3" i="80"/>
  <c r="P3" i="80"/>
  <c r="N3" i="80"/>
  <c r="A66" i="82"/>
  <c r="A65" i="82"/>
  <c r="A64" i="82"/>
  <c r="A63" i="82"/>
  <c r="A62" i="82"/>
  <c r="A61" i="82"/>
  <c r="L60" i="82"/>
  <c r="K60" i="82"/>
  <c r="I60" i="82"/>
  <c r="H60" i="82"/>
  <c r="G60" i="82"/>
  <c r="F60" i="82"/>
  <c r="E60" i="82"/>
  <c r="D60" i="82"/>
  <c r="C60" i="82"/>
  <c r="A60" i="82"/>
  <c r="L59" i="82"/>
  <c r="K59" i="82"/>
  <c r="I59" i="82"/>
  <c r="H59" i="82"/>
  <c r="G59" i="82"/>
  <c r="F59" i="82"/>
  <c r="E59" i="82"/>
  <c r="D59" i="82"/>
  <c r="C59" i="82"/>
  <c r="A59" i="82"/>
  <c r="L58" i="82"/>
  <c r="K58" i="82"/>
  <c r="I58" i="82"/>
  <c r="H58" i="82"/>
  <c r="G58" i="82"/>
  <c r="F58" i="82"/>
  <c r="E58" i="82"/>
  <c r="D58" i="82"/>
  <c r="C58" i="82"/>
  <c r="A58" i="82"/>
  <c r="L57" i="82"/>
  <c r="K57" i="82"/>
  <c r="I57" i="82"/>
  <c r="H57" i="82"/>
  <c r="G57" i="82"/>
  <c r="F57" i="82"/>
  <c r="E57" i="82"/>
  <c r="D57" i="82"/>
  <c r="C57" i="82"/>
  <c r="A57" i="82"/>
  <c r="A56" i="82"/>
  <c r="A55" i="82"/>
  <c r="A54" i="82"/>
  <c r="A53" i="82"/>
  <c r="A52" i="82"/>
  <c r="A51" i="82"/>
  <c r="A50" i="82"/>
  <c r="A49" i="82"/>
  <c r="A48" i="82"/>
  <c r="A47" i="82"/>
  <c r="A46" i="82"/>
  <c r="A45" i="82"/>
  <c r="A44" i="82"/>
  <c r="A43" i="82"/>
  <c r="A42" i="82"/>
  <c r="M41" i="82"/>
  <c r="A41" i="82"/>
  <c r="L40" i="82"/>
  <c r="A40" i="82"/>
  <c r="L39" i="82"/>
  <c r="A39" i="82"/>
  <c r="A38" i="82"/>
  <c r="A37" i="82"/>
  <c r="A36" i="82"/>
  <c r="M38" i="82"/>
  <c r="A35" i="82"/>
  <c r="A34" i="82"/>
  <c r="A33" i="82"/>
  <c r="A32" i="82"/>
  <c r="L31" i="82"/>
  <c r="K31" i="82"/>
  <c r="I31" i="82"/>
  <c r="H31" i="82"/>
  <c r="G31" i="82"/>
  <c r="F31" i="82"/>
  <c r="E31" i="82"/>
  <c r="D31" i="82"/>
  <c r="C31" i="82"/>
  <c r="A31" i="82"/>
  <c r="A30" i="82"/>
  <c r="K29" i="82"/>
  <c r="I29" i="82"/>
  <c r="H29" i="82"/>
  <c r="G29" i="82"/>
  <c r="F29" i="82"/>
  <c r="E29" i="82"/>
  <c r="D29" i="82"/>
  <c r="C29" i="82"/>
  <c r="A29" i="82"/>
  <c r="L28" i="82"/>
  <c r="K28" i="82"/>
  <c r="I28" i="82"/>
  <c r="H28" i="82"/>
  <c r="G28" i="82"/>
  <c r="F28" i="82"/>
  <c r="E28" i="82"/>
  <c r="D28" i="82"/>
  <c r="C28" i="82"/>
  <c r="A28" i="82"/>
  <c r="L27" i="82"/>
  <c r="K27" i="82"/>
  <c r="I27" i="82"/>
  <c r="H27" i="82"/>
  <c r="G27" i="82"/>
  <c r="F27" i="82"/>
  <c r="E27" i="82"/>
  <c r="D27" i="82"/>
  <c r="C27" i="82"/>
  <c r="A27" i="82"/>
  <c r="L26" i="82"/>
  <c r="K26" i="82"/>
  <c r="I26" i="82"/>
  <c r="H26" i="82"/>
  <c r="G26" i="82"/>
  <c r="F26" i="82"/>
  <c r="E26" i="82"/>
  <c r="D26" i="82"/>
  <c r="C26" i="82"/>
  <c r="A26" i="82"/>
  <c r="L25" i="82"/>
  <c r="K25" i="82"/>
  <c r="I25" i="82"/>
  <c r="H25" i="82"/>
  <c r="G25" i="82"/>
  <c r="F25" i="82"/>
  <c r="E25" i="82"/>
  <c r="D25" i="82"/>
  <c r="A25" i="82"/>
  <c r="L24" i="82"/>
  <c r="K24" i="82"/>
  <c r="I24" i="82"/>
  <c r="H24" i="82"/>
  <c r="G24" i="82"/>
  <c r="F24" i="82"/>
  <c r="E24" i="82"/>
  <c r="D24" i="82"/>
  <c r="C24" i="82"/>
  <c r="A24" i="82"/>
  <c r="A23" i="82"/>
  <c r="A2" i="82"/>
  <c r="A22" i="82"/>
  <c r="A21" i="82"/>
  <c r="L20" i="82"/>
  <c r="K20" i="82"/>
  <c r="I20" i="82"/>
  <c r="H20" i="82"/>
  <c r="G20" i="82"/>
  <c r="F20" i="82"/>
  <c r="E20" i="82"/>
  <c r="D20" i="82"/>
  <c r="C20" i="82"/>
  <c r="A20" i="82"/>
  <c r="L19" i="82"/>
  <c r="L30" i="82" s="1"/>
  <c r="K19" i="82"/>
  <c r="K30" i="82" s="1"/>
  <c r="I19" i="82"/>
  <c r="I30" i="82" s="1"/>
  <c r="H19" i="82"/>
  <c r="H30" i="82" s="1"/>
  <c r="G19" i="82"/>
  <c r="G30" i="82" s="1"/>
  <c r="F19" i="82"/>
  <c r="F30" i="82" s="1"/>
  <c r="E19" i="82"/>
  <c r="E30" i="82" s="1"/>
  <c r="D19" i="82"/>
  <c r="D30" i="82" s="1"/>
  <c r="C30" i="82"/>
  <c r="A19" i="82"/>
  <c r="L18" i="82"/>
  <c r="K18" i="82"/>
  <c r="I18" i="82"/>
  <c r="H18" i="82"/>
  <c r="G18" i="82"/>
  <c r="F18" i="82"/>
  <c r="E18" i="82"/>
  <c r="D18" i="82"/>
  <c r="A18" i="82"/>
  <c r="A17" i="82"/>
  <c r="A12" i="82"/>
  <c r="A11" i="82"/>
  <c r="A10" i="82"/>
  <c r="A9" i="82"/>
  <c r="I8" i="82"/>
  <c r="H8" i="82"/>
  <c r="G8" i="82"/>
  <c r="F8" i="82"/>
  <c r="E8" i="82"/>
  <c r="D8" i="82"/>
  <c r="C8" i="82"/>
  <c r="A8" i="82"/>
  <c r="L7" i="82"/>
  <c r="K7" i="82"/>
  <c r="I7" i="82"/>
  <c r="H7" i="82"/>
  <c r="G7" i="82"/>
  <c r="F7" i="82"/>
  <c r="E7" i="82"/>
  <c r="D7" i="82"/>
  <c r="C7" i="82"/>
  <c r="A7" i="82"/>
  <c r="L6" i="82"/>
  <c r="K6" i="82"/>
  <c r="I6" i="82"/>
  <c r="H6" i="82"/>
  <c r="G6" i="82"/>
  <c r="F6" i="82"/>
  <c r="E6" i="82"/>
  <c r="D6" i="82"/>
  <c r="C6" i="82"/>
  <c r="B6" i="82"/>
  <c r="A6" i="82"/>
  <c r="I5" i="82"/>
  <c r="H5" i="82"/>
  <c r="G5" i="82"/>
  <c r="F5" i="82"/>
  <c r="E5" i="82"/>
  <c r="D5" i="82"/>
  <c r="C5" i="82"/>
  <c r="B66" i="99"/>
  <c r="B65" i="99"/>
  <c r="B64" i="99"/>
  <c r="B63" i="99"/>
  <c r="B62" i="99"/>
  <c r="B61" i="99"/>
  <c r="B60" i="99"/>
  <c r="B59" i="99"/>
  <c r="B58" i="99"/>
  <c r="B57" i="99"/>
  <c r="B56" i="99"/>
  <c r="B55" i="99"/>
  <c r="I46" i="99"/>
  <c r="I35" i="99"/>
  <c r="I34" i="99"/>
  <c r="I33" i="99"/>
  <c r="I32" i="99"/>
  <c r="I31" i="99"/>
  <c r="B30" i="99"/>
  <c r="B29" i="99"/>
  <c r="I27" i="99"/>
  <c r="I26" i="99"/>
  <c r="I25" i="99"/>
  <c r="I24" i="99"/>
  <c r="I23" i="99"/>
  <c r="I22" i="99"/>
  <c r="I21" i="99"/>
  <c r="I20" i="99"/>
  <c r="I19" i="99"/>
  <c r="I18" i="99"/>
  <c r="I17" i="99"/>
  <c r="I16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E15" i="79"/>
  <c r="I13" i="79"/>
  <c r="E13" i="79"/>
  <c r="E14" i="79"/>
  <c r="I12" i="79"/>
  <c r="E12" i="79"/>
  <c r="N21" i="82" l="1"/>
  <c r="N23" i="82"/>
  <c r="N22" i="82"/>
  <c r="J23" i="82"/>
  <c r="M36" i="82"/>
  <c r="M37" i="82"/>
  <c r="K21" i="82"/>
  <c r="M23" i="82"/>
  <c r="M21" i="82"/>
  <c r="M22" i="82"/>
  <c r="J21" i="82"/>
  <c r="L22" i="82"/>
  <c r="L21" i="82"/>
  <c r="K22" i="82"/>
  <c r="J22" i="82"/>
  <c r="M39" i="82"/>
  <c r="M40" i="82"/>
  <c r="J38" i="82"/>
  <c r="J41" i="82"/>
  <c r="H23" i="82"/>
  <c r="C23" i="82"/>
  <c r="D22" i="82"/>
  <c r="G38" i="82"/>
  <c r="G37" i="82" s="1"/>
  <c r="L38" i="82"/>
  <c r="L37" i="82" s="1"/>
  <c r="E38" i="82"/>
  <c r="E37" i="82" s="1"/>
  <c r="H41" i="82"/>
  <c r="D38" i="82"/>
  <c r="D36" i="82" s="1"/>
  <c r="F38" i="82"/>
  <c r="F37" i="82" s="1"/>
  <c r="H38" i="82"/>
  <c r="C38" i="82"/>
  <c r="I38" i="82"/>
  <c r="K38" i="82"/>
  <c r="I41" i="82"/>
  <c r="D21" i="82"/>
  <c r="E22" i="82"/>
  <c r="F21" i="82"/>
  <c r="L23" i="82"/>
  <c r="F23" i="82"/>
  <c r="H22" i="82"/>
  <c r="K23" i="82"/>
  <c r="E23" i="82"/>
  <c r="G22" i="82"/>
  <c r="C22" i="82"/>
  <c r="I21" i="82"/>
  <c r="D23" i="82"/>
  <c r="F22" i="82"/>
  <c r="H21" i="82"/>
  <c r="C21" i="82"/>
  <c r="I22" i="82"/>
  <c r="E21" i="82"/>
  <c r="G23" i="82"/>
  <c r="G41" i="82"/>
  <c r="C41" i="82"/>
  <c r="F41" i="82"/>
  <c r="K41" i="82"/>
  <c r="E41" i="82"/>
  <c r="D41" i="82"/>
  <c r="G21" i="82"/>
  <c r="I23" i="82"/>
  <c r="DE66" i="79"/>
  <c r="DF66" i="79"/>
  <c r="DG66" i="79"/>
  <c r="DH66" i="79"/>
  <c r="DI66" i="79"/>
  <c r="DJ66" i="79"/>
  <c r="DK66" i="79"/>
  <c r="DY66" i="79"/>
  <c r="DZ66" i="79"/>
  <c r="EA66" i="79"/>
  <c r="EB66" i="79"/>
  <c r="EC66" i="79"/>
  <c r="ED66" i="79"/>
  <c r="EE66" i="79"/>
  <c r="FP69" i="79"/>
  <c r="FM29" i="79"/>
  <c r="FM28" i="79"/>
  <c r="FM27" i="79"/>
  <c r="FO29" i="79"/>
  <c r="FO28" i="79"/>
  <c r="FO27" i="79"/>
  <c r="FQ29" i="79"/>
  <c r="FQ28" i="79"/>
  <c r="FQ27" i="79"/>
  <c r="FS29" i="79"/>
  <c r="FS28" i="79"/>
  <c r="FS27" i="79"/>
  <c r="DA29" i="79"/>
  <c r="DA28" i="79"/>
  <c r="DA27" i="79"/>
  <c r="CY29" i="79"/>
  <c r="CY28" i="79"/>
  <c r="CY27" i="79"/>
  <c r="CW29" i="79"/>
  <c r="CW28" i="79"/>
  <c r="CW27" i="79"/>
  <c r="CU29" i="79"/>
  <c r="CU28" i="79"/>
  <c r="CU27" i="79"/>
  <c r="CQ31" i="79"/>
  <c r="CQ30" i="79"/>
  <c r="CO31" i="79"/>
  <c r="CO30" i="79"/>
  <c r="CY31" i="79" l="1"/>
  <c r="FO31" i="79"/>
  <c r="L36" i="82"/>
  <c r="FM30" i="79"/>
  <c r="FQ30" i="79"/>
  <c r="FM31" i="79"/>
  <c r="D37" i="82"/>
  <c r="DA31" i="79"/>
  <c r="CW31" i="79"/>
  <c r="J39" i="82"/>
  <c r="J40" i="82"/>
  <c r="J37" i="82"/>
  <c r="J36" i="82"/>
  <c r="E36" i="82"/>
  <c r="H37" i="82"/>
  <c r="H36" i="82"/>
  <c r="F36" i="82"/>
  <c r="I37" i="82"/>
  <c r="I36" i="82"/>
  <c r="K37" i="82"/>
  <c r="K36" i="82"/>
  <c r="H40" i="82"/>
  <c r="H39" i="82"/>
  <c r="G36" i="82"/>
  <c r="C37" i="82"/>
  <c r="C36" i="82"/>
  <c r="F39" i="82"/>
  <c r="F40" i="82"/>
  <c r="C39" i="82"/>
  <c r="C40" i="82"/>
  <c r="I40" i="82"/>
  <c r="I39" i="82"/>
  <c r="K39" i="82"/>
  <c r="K40" i="82"/>
  <c r="G39" i="82"/>
  <c r="G40" i="82"/>
  <c r="D39" i="82"/>
  <c r="D40" i="82"/>
  <c r="E39" i="82"/>
  <c r="E40" i="82"/>
  <c r="FQ31" i="79"/>
  <c r="CW30" i="79"/>
  <c r="FS30" i="79"/>
  <c r="DA30" i="79"/>
  <c r="CU31" i="79"/>
  <c r="CY30" i="79"/>
  <c r="FS31" i="79"/>
  <c r="FO30" i="79"/>
  <c r="CU30" i="79"/>
  <c r="CK31" i="79"/>
  <c r="CK30" i="79"/>
  <c r="CM31" i="79"/>
  <c r="CM30" i="79"/>
  <c r="EX20" i="79" l="1"/>
  <c r="EN20" i="79"/>
  <c r="I20" i="79"/>
  <c r="E20" i="79"/>
  <c r="DC22" i="79" l="1"/>
  <c r="DD22" i="79"/>
  <c r="DE22" i="79"/>
  <c r="DF22" i="79"/>
  <c r="DG22" i="79"/>
  <c r="DH22" i="79"/>
  <c r="DI22" i="79"/>
  <c r="DJ22" i="79"/>
  <c r="DK22" i="79"/>
  <c r="DB22" i="79"/>
  <c r="E21" i="79" l="1"/>
  <c r="EX69" i="79" l="1"/>
  <c r="DA69" i="79"/>
  <c r="CZ69" i="79"/>
  <c r="CY69" i="79"/>
  <c r="CW69" i="79"/>
  <c r="CV69" i="79"/>
  <c r="CU69" i="79"/>
  <c r="CT69" i="79"/>
  <c r="CS69" i="79"/>
  <c r="CR69" i="79"/>
  <c r="CN69" i="79"/>
  <c r="CX69" i="79" s="1"/>
  <c r="E69" i="79"/>
  <c r="EX68" i="79"/>
  <c r="EN68" i="79"/>
  <c r="CD68" i="79"/>
  <c r="O68" i="79"/>
  <c r="E68" i="79"/>
  <c r="EX67" i="79"/>
  <c r="EN67" i="79"/>
  <c r="CD67" i="79"/>
  <c r="O67" i="79"/>
  <c r="E67" i="79"/>
  <c r="EN66" i="79"/>
  <c r="EL66" i="79"/>
  <c r="EJ66" i="79"/>
  <c r="EH66" i="79"/>
  <c r="EG66" i="79"/>
  <c r="EF66" i="79"/>
  <c r="DX66" i="79"/>
  <c r="DW66" i="79"/>
  <c r="DV66" i="79"/>
  <c r="DD66" i="79"/>
  <c r="DC66" i="79"/>
  <c r="DB66" i="79"/>
  <c r="CQ66" i="79"/>
  <c r="CP66" i="79"/>
  <c r="CO66" i="79"/>
  <c r="CN66" i="79"/>
  <c r="CM66" i="79"/>
  <c r="CL66" i="79"/>
  <c r="CK66" i="79"/>
  <c r="CJ66" i="79"/>
  <c r="CI66" i="79"/>
  <c r="CH66" i="79"/>
  <c r="E66" i="79"/>
  <c r="EX65" i="79"/>
  <c r="EN65" i="79"/>
  <c r="E65" i="79"/>
  <c r="EX64" i="79"/>
  <c r="EV64" i="79"/>
  <c r="ET64" i="79"/>
  <c r="ER64" i="79"/>
  <c r="EQ64" i="79"/>
  <c r="EP64" i="79"/>
  <c r="EN64" i="79"/>
  <c r="O64" i="79"/>
  <c r="E64" i="79"/>
  <c r="O63" i="79"/>
  <c r="E63" i="79"/>
  <c r="CL62" i="79"/>
  <c r="O62" i="79"/>
  <c r="E62" i="79"/>
  <c r="O61" i="79"/>
  <c r="E61" i="79"/>
  <c r="O60" i="79"/>
  <c r="E60" i="79"/>
  <c r="EN59" i="79"/>
  <c r="EL59" i="79"/>
  <c r="EJ59" i="79"/>
  <c r="EH59" i="79"/>
  <c r="EG59" i="79"/>
  <c r="EF59" i="79"/>
  <c r="DK59" i="79"/>
  <c r="DJ59" i="79"/>
  <c r="DI59" i="79"/>
  <c r="DH59" i="79"/>
  <c r="DG59" i="79"/>
  <c r="DF59" i="79"/>
  <c r="DE59" i="79"/>
  <c r="DD59" i="79"/>
  <c r="DC59" i="79"/>
  <c r="DB59" i="79"/>
  <c r="O59" i="79"/>
  <c r="E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E54" i="79"/>
  <c r="B54" i="79"/>
  <c r="EX53" i="79"/>
  <c r="EN53" i="79"/>
  <c r="O53" i="79"/>
  <c r="E53" i="79"/>
  <c r="B53" i="79"/>
  <c r="EX52" i="79"/>
  <c r="EN52" i="79"/>
  <c r="O52" i="79"/>
  <c r="E52" i="79"/>
  <c r="B52" i="79"/>
  <c r="EX51" i="79"/>
  <c r="EN51" i="79"/>
  <c r="O51" i="79"/>
  <c r="E51" i="79"/>
  <c r="B51" i="79"/>
  <c r="EX50" i="79"/>
  <c r="EN50" i="79"/>
  <c r="O50" i="79"/>
  <c r="E50" i="79"/>
  <c r="B50" i="79"/>
  <c r="EX49" i="79"/>
  <c r="EN49" i="79"/>
  <c r="O49" i="79"/>
  <c r="E49" i="79"/>
  <c r="B49" i="79"/>
  <c r="EX48" i="79"/>
  <c r="EN48" i="79"/>
  <c r="O48" i="79"/>
  <c r="E48" i="79"/>
  <c r="B48" i="79"/>
  <c r="EX47" i="79"/>
  <c r="EN47" i="79"/>
  <c r="O47" i="79"/>
  <c r="E47" i="79"/>
  <c r="B47" i="79"/>
  <c r="EX46" i="79"/>
  <c r="EN46" i="79"/>
  <c r="O46" i="79"/>
  <c r="O37" i="79" s="1"/>
  <c r="E46" i="79"/>
  <c r="EX45" i="79"/>
  <c r="EN45" i="79"/>
  <c r="E45" i="79"/>
  <c r="EN44" i="79"/>
  <c r="DA44" i="79"/>
  <c r="CZ44" i="79"/>
  <c r="CY44" i="79"/>
  <c r="CX44" i="79"/>
  <c r="CW44" i="79"/>
  <c r="CV44" i="79"/>
  <c r="CU44" i="79"/>
  <c r="CT44" i="79"/>
  <c r="CS44" i="79"/>
  <c r="CR44" i="79"/>
  <c r="E44" i="79"/>
  <c r="O43" i="79"/>
  <c r="E43" i="79"/>
  <c r="E42" i="79"/>
  <c r="EX41" i="79"/>
  <c r="EN41" i="79"/>
  <c r="CZ41" i="79"/>
  <c r="CV41" i="79"/>
  <c r="CT41" i="79"/>
  <c r="CS41" i="79"/>
  <c r="CR41" i="79"/>
  <c r="CN41" i="79"/>
  <c r="CX41" i="79" s="1"/>
  <c r="E41" i="79"/>
  <c r="EX40" i="79"/>
  <c r="EN40" i="79"/>
  <c r="O40" i="79"/>
  <c r="E40" i="79"/>
  <c r="EX39" i="79"/>
  <c r="EN39" i="79"/>
  <c r="E39" i="79"/>
  <c r="EX38" i="79"/>
  <c r="EN38" i="79"/>
  <c r="O38" i="79"/>
  <c r="I38" i="79"/>
  <c r="E38" i="79"/>
  <c r="EX37" i="79"/>
  <c r="EN37" i="79"/>
  <c r="E37" i="79"/>
  <c r="EX36" i="79"/>
  <c r="EN36" i="79"/>
  <c r="O36" i="79"/>
  <c r="E36" i="79"/>
  <c r="EX35" i="79"/>
  <c r="EN35" i="79"/>
  <c r="O35" i="79"/>
  <c r="E35" i="79"/>
  <c r="E34" i="79"/>
  <c r="EX33" i="79"/>
  <c r="EN33" i="79"/>
  <c r="E33" i="79"/>
  <c r="EX32" i="79"/>
  <c r="EN32" i="79"/>
  <c r="O32" i="79"/>
  <c r="O33" i="79" s="1"/>
  <c r="E32" i="79"/>
  <c r="FI31" i="79"/>
  <c r="FH31" i="79"/>
  <c r="FG31" i="79"/>
  <c r="FF31" i="79"/>
  <c r="FE31" i="79"/>
  <c r="FD31" i="79"/>
  <c r="FC31" i="79"/>
  <c r="FB31" i="79"/>
  <c r="FA31" i="79"/>
  <c r="EZ31" i="79"/>
  <c r="ER31" i="79"/>
  <c r="EQ31" i="79"/>
  <c r="EP31" i="79"/>
  <c r="EH31" i="79"/>
  <c r="EG31" i="79"/>
  <c r="EF31" i="79"/>
  <c r="ED31" i="79"/>
  <c r="EB31" i="79"/>
  <c r="DZ31" i="79"/>
  <c r="DX31" i="79"/>
  <c r="DW31" i="79"/>
  <c r="DV31" i="79"/>
  <c r="DT31" i="79"/>
  <c r="DR31" i="79"/>
  <c r="DP31" i="79"/>
  <c r="DN31" i="79"/>
  <c r="DM31" i="79"/>
  <c r="DL31" i="79"/>
  <c r="DJ31" i="79"/>
  <c r="DH31" i="79"/>
  <c r="DF31" i="79"/>
  <c r="DD31" i="79"/>
  <c r="DC31" i="79"/>
  <c r="DB31" i="79"/>
  <c r="CP31" i="79"/>
  <c r="CL31" i="79"/>
  <c r="CJ31" i="79"/>
  <c r="CI31" i="79"/>
  <c r="CH31" i="79"/>
  <c r="CG31" i="79"/>
  <c r="CF31" i="79"/>
  <c r="CE31" i="79"/>
  <c r="CC31" i="79"/>
  <c r="CB31" i="79"/>
  <c r="CA31" i="79"/>
  <c r="BZ31" i="79"/>
  <c r="BY31" i="79"/>
  <c r="BX31" i="79"/>
  <c r="AS31" i="79"/>
  <c r="AR31" i="79"/>
  <c r="AQ31" i="79"/>
  <c r="AP31" i="79"/>
  <c r="AO31" i="79"/>
  <c r="AN31" i="79"/>
  <c r="AM31" i="79"/>
  <c r="AL31" i="79"/>
  <c r="AK31" i="79"/>
  <c r="AJ31" i="79"/>
  <c r="AI31" i="79"/>
  <c r="AH31" i="79"/>
  <c r="AG31" i="79"/>
  <c r="AF31" i="79"/>
  <c r="AE31" i="79"/>
  <c r="AD31" i="79"/>
  <c r="AC31" i="79"/>
  <c r="AB31" i="79"/>
  <c r="AA31" i="79"/>
  <c r="Z31" i="79"/>
  <c r="I31" i="79"/>
  <c r="E31" i="79"/>
  <c r="FI30" i="79"/>
  <c r="FH30" i="79"/>
  <c r="FG30" i="79"/>
  <c r="FF30" i="79"/>
  <c r="FE30" i="79"/>
  <c r="FD30" i="79"/>
  <c r="FC30" i="79"/>
  <c r="FB30" i="79"/>
  <c r="FA30" i="79"/>
  <c r="EZ30" i="79"/>
  <c r="ER30" i="79"/>
  <c r="EQ30" i="79"/>
  <c r="EP30" i="79"/>
  <c r="EH30" i="79"/>
  <c r="EG30" i="79"/>
  <c r="EF30" i="79"/>
  <c r="ED30" i="79"/>
  <c r="EB30" i="79"/>
  <c r="DZ30" i="79"/>
  <c r="DX30" i="79"/>
  <c r="DW30" i="79"/>
  <c r="DV30" i="79"/>
  <c r="DT30" i="79"/>
  <c r="DR30" i="79"/>
  <c r="DP30" i="79"/>
  <c r="DN30" i="79"/>
  <c r="DM30" i="79"/>
  <c r="DL30" i="79"/>
  <c r="DJ30" i="79"/>
  <c r="DH30" i="79"/>
  <c r="DF30" i="79"/>
  <c r="DD30" i="79"/>
  <c r="DC30" i="79"/>
  <c r="DB30" i="79"/>
  <c r="CP30" i="79"/>
  <c r="CL30" i="79"/>
  <c r="CJ30" i="79"/>
  <c r="CI30" i="79"/>
  <c r="CH30" i="79"/>
  <c r="CG30" i="79"/>
  <c r="CF30" i="79"/>
  <c r="CE30" i="79"/>
  <c r="CC30" i="79"/>
  <c r="CB30" i="79"/>
  <c r="CA30" i="79"/>
  <c r="BZ30" i="79"/>
  <c r="BY30" i="79"/>
  <c r="BX30" i="79"/>
  <c r="AS30" i="79"/>
  <c r="AR30" i="79"/>
  <c r="AQ30" i="79"/>
  <c r="AP30" i="79"/>
  <c r="AO30" i="79"/>
  <c r="AN30" i="79"/>
  <c r="AM30" i="79"/>
  <c r="AL30" i="79"/>
  <c r="AK30" i="79"/>
  <c r="AJ30" i="79"/>
  <c r="AI30" i="79"/>
  <c r="AH30" i="79"/>
  <c r="AG30" i="79"/>
  <c r="AF30" i="79"/>
  <c r="AE30" i="79"/>
  <c r="AD30" i="79"/>
  <c r="AC30" i="79"/>
  <c r="AB30" i="79"/>
  <c r="AA30" i="79"/>
  <c r="Z30" i="79"/>
  <c r="I30" i="79"/>
  <c r="E30" i="79"/>
  <c r="FR29" i="79"/>
  <c r="FP29" i="79"/>
  <c r="FN29" i="79"/>
  <c r="FL29" i="79"/>
  <c r="FK29" i="79"/>
  <c r="FJ29" i="79"/>
  <c r="EX29" i="79"/>
  <c r="EN29" i="79"/>
  <c r="CZ29" i="79"/>
  <c r="CV29" i="79"/>
  <c r="CT29" i="79"/>
  <c r="CS29" i="79"/>
  <c r="CR29" i="79"/>
  <c r="CN29" i="79"/>
  <c r="CX29" i="79" s="1"/>
  <c r="CD29" i="79"/>
  <c r="I29" i="79"/>
  <c r="E29" i="79"/>
  <c r="FR28" i="79"/>
  <c r="FP28" i="79"/>
  <c r="FN28" i="79"/>
  <c r="FL28" i="79"/>
  <c r="FK28" i="79"/>
  <c r="FJ28" i="79"/>
  <c r="EX28" i="79"/>
  <c r="EN28" i="79"/>
  <c r="CZ28" i="79"/>
  <c r="CV28" i="79"/>
  <c r="CT28" i="79"/>
  <c r="CS28" i="79"/>
  <c r="CR28" i="79"/>
  <c r="CN28" i="79"/>
  <c r="CX28" i="79" s="1"/>
  <c r="O28" i="79"/>
  <c r="O34" i="79" s="1"/>
  <c r="I28" i="79"/>
  <c r="E28" i="79"/>
  <c r="FR27" i="79"/>
  <c r="FP27" i="79"/>
  <c r="FN27" i="79"/>
  <c r="FL27" i="79"/>
  <c r="FK27" i="79"/>
  <c r="FJ27" i="79"/>
  <c r="EX27" i="79"/>
  <c r="EN27" i="79"/>
  <c r="CZ27" i="79"/>
  <c r="CV27" i="79"/>
  <c r="CT27" i="79"/>
  <c r="CS27" i="79"/>
  <c r="CR27" i="79"/>
  <c r="CN27" i="79"/>
  <c r="CX27" i="79" s="1"/>
  <c r="CD27" i="79"/>
  <c r="CD30" i="79" s="1"/>
  <c r="P27" i="79"/>
  <c r="I27" i="79"/>
  <c r="E27" i="79"/>
  <c r="EX26" i="79"/>
  <c r="EN26" i="79"/>
  <c r="DA26" i="79"/>
  <c r="CZ26" i="79"/>
  <c r="CY26" i="79"/>
  <c r="CX26" i="79"/>
  <c r="CW26" i="79"/>
  <c r="CV26" i="79"/>
  <c r="CU26" i="79"/>
  <c r="CT26" i="79"/>
  <c r="CS26" i="79"/>
  <c r="CR26" i="79"/>
  <c r="CG26" i="79"/>
  <c r="CF26" i="79"/>
  <c r="CE26" i="79"/>
  <c r="CD26" i="79"/>
  <c r="CC26" i="79"/>
  <c r="CA26" i="79"/>
  <c r="BZ26" i="79"/>
  <c r="BX26" i="79"/>
  <c r="E26" i="79"/>
  <c r="B26" i="79"/>
  <c r="EX25" i="79"/>
  <c r="EN25" i="79"/>
  <c r="DA25" i="79"/>
  <c r="CZ25" i="79"/>
  <c r="CY25" i="79"/>
  <c r="CX25" i="79"/>
  <c r="CW25" i="79"/>
  <c r="CV25" i="79"/>
  <c r="CU25" i="79"/>
  <c r="CT25" i="79"/>
  <c r="CS25" i="79"/>
  <c r="CR25" i="79"/>
  <c r="E25" i="79"/>
  <c r="B25" i="79"/>
  <c r="I16" i="79" s="1"/>
  <c r="EX24" i="79"/>
  <c r="EN24" i="79"/>
  <c r="DA24" i="79"/>
  <c r="CZ24" i="79"/>
  <c r="CY24" i="79"/>
  <c r="CX24" i="79"/>
  <c r="CW24" i="79"/>
  <c r="CV24" i="79"/>
  <c r="CU24" i="79"/>
  <c r="CT24" i="79"/>
  <c r="CS24" i="79"/>
  <c r="CR24" i="79"/>
  <c r="E24" i="79"/>
  <c r="I23" i="79"/>
  <c r="H23" i="79"/>
  <c r="E23" i="79"/>
  <c r="I22" i="79"/>
  <c r="E22" i="79"/>
  <c r="EX11" i="79"/>
  <c r="EN11" i="79"/>
  <c r="CT11" i="79"/>
  <c r="CS11" i="79"/>
  <c r="CR11" i="79"/>
  <c r="CQ11" i="79"/>
  <c r="DA11" i="79" s="1"/>
  <c r="CP11" i="79"/>
  <c r="CZ11" i="79" s="1"/>
  <c r="CO11" i="79"/>
  <c r="CY11" i="79" s="1"/>
  <c r="CM11" i="79"/>
  <c r="CW11" i="79" s="1"/>
  <c r="CL11" i="79"/>
  <c r="CV11" i="79" s="1"/>
  <c r="CK11" i="79"/>
  <c r="CU11" i="79" s="1"/>
  <c r="I11" i="79"/>
  <c r="E11" i="79"/>
  <c r="EX10" i="79"/>
  <c r="EN10" i="79"/>
  <c r="EB10" i="79"/>
  <c r="O10" i="79"/>
  <c r="O21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C3" i="79"/>
  <c r="B3" i="79"/>
  <c r="FP30" i="79" l="1"/>
  <c r="H34" i="80"/>
  <c r="H35" i="80"/>
  <c r="FN30" i="79"/>
  <c r="CX31" i="79"/>
  <c r="G7" i="79"/>
  <c r="H11" i="80" s="1"/>
  <c r="F11" i="80" s="1"/>
  <c r="O3" i="80"/>
  <c r="H29" i="80"/>
  <c r="H31" i="80"/>
  <c r="H28" i="80"/>
  <c r="H30" i="80"/>
  <c r="H20" i="80"/>
  <c r="H19" i="80"/>
  <c r="H21" i="80"/>
  <c r="H18" i="80"/>
  <c r="H26" i="80"/>
  <c r="H22" i="80"/>
  <c r="H17" i="80"/>
  <c r="H23" i="80"/>
  <c r="H16" i="80"/>
  <c r="H24" i="80"/>
  <c r="H15" i="80"/>
  <c r="H27" i="80"/>
  <c r="H25" i="80"/>
  <c r="H14" i="80"/>
  <c r="H13" i="80"/>
  <c r="CV31" i="79"/>
  <c r="FK30" i="79"/>
  <c r="ET56" i="79"/>
  <c r="ET20" i="79"/>
  <c r="EJ20" i="79"/>
  <c r="CZ31" i="79"/>
  <c r="FR31" i="79"/>
  <c r="EV65" i="79"/>
  <c r="EL20" i="79"/>
  <c r="EV20" i="79"/>
  <c r="EN31" i="79"/>
  <c r="FP31" i="79"/>
  <c r="BY26" i="79"/>
  <c r="CN30" i="79"/>
  <c r="CR30" i="79"/>
  <c r="FJ30" i="79"/>
  <c r="CS30" i="79"/>
  <c r="FK31" i="79"/>
  <c r="CT30" i="79"/>
  <c r="FL30" i="79"/>
  <c r="CT31" i="79"/>
  <c r="EX31" i="79"/>
  <c r="ET9" i="79"/>
  <c r="EL10" i="79"/>
  <c r="EJ24" i="79"/>
  <c r="ET26" i="79"/>
  <c r="EL27" i="79"/>
  <c r="EL28" i="79"/>
  <c r="EJ29" i="79"/>
  <c r="CV30" i="79"/>
  <c r="EX30" i="79"/>
  <c r="FR30" i="79"/>
  <c r="CD31" i="79"/>
  <c r="CN31" i="79"/>
  <c r="FJ31" i="79"/>
  <c r="EJ32" i="79"/>
  <c r="EJ33" i="79"/>
  <c r="EV37" i="79"/>
  <c r="ET38" i="79"/>
  <c r="EV39" i="79"/>
  <c r="EV40" i="79"/>
  <c r="EV48" i="79"/>
  <c r="ET49" i="79"/>
  <c r="EL51" i="79"/>
  <c r="EJ52" i="79"/>
  <c r="EV56" i="79"/>
  <c r="ET57" i="79"/>
  <c r="EV9" i="79"/>
  <c r="EJ11" i="79"/>
  <c r="EL24" i="79"/>
  <c r="EV26" i="79"/>
  <c r="EL29" i="79"/>
  <c r="CX30" i="79"/>
  <c r="EL32" i="79"/>
  <c r="EL33" i="79"/>
  <c r="EV38" i="79"/>
  <c r="EV49" i="79"/>
  <c r="ET50" i="79"/>
  <c r="EL52" i="79"/>
  <c r="EJ53" i="79"/>
  <c r="EV57" i="79"/>
  <c r="ET58" i="79"/>
  <c r="EJ64" i="79"/>
  <c r="EJ67" i="79"/>
  <c r="ET10" i="79"/>
  <c r="EL11" i="79"/>
  <c r="EJ25" i="79"/>
  <c r="ET27" i="79"/>
  <c r="ET28" i="79"/>
  <c r="CZ30" i="79"/>
  <c r="EN30" i="79"/>
  <c r="CR31" i="79"/>
  <c r="FL31" i="79"/>
  <c r="EJ35" i="79"/>
  <c r="EJ36" i="79"/>
  <c r="EJ41" i="79"/>
  <c r="EJ45" i="79"/>
  <c r="EJ46" i="79"/>
  <c r="EV50" i="79"/>
  <c r="ET51" i="79"/>
  <c r="EL53" i="79"/>
  <c r="EJ54" i="79"/>
  <c r="EV58" i="79"/>
  <c r="EL64" i="79"/>
  <c r="EL67" i="79"/>
  <c r="EJ68" i="79"/>
  <c r="EV10" i="79"/>
  <c r="CN11" i="79"/>
  <c r="CX11" i="79" s="1"/>
  <c r="ET24" i="79"/>
  <c r="EL25" i="79"/>
  <c r="EV27" i="79"/>
  <c r="EV28" i="79"/>
  <c r="ET29" i="79"/>
  <c r="CS31" i="79"/>
  <c r="FN31" i="79"/>
  <c r="ET32" i="79"/>
  <c r="ET33" i="79"/>
  <c r="EL35" i="79"/>
  <c r="EL36" i="79"/>
  <c r="EL41" i="79"/>
  <c r="EL45" i="79"/>
  <c r="EL46" i="79"/>
  <c r="EJ47" i="79"/>
  <c r="EV51" i="79"/>
  <c r="ET52" i="79"/>
  <c r="EL54" i="79"/>
  <c r="EJ55" i="79"/>
  <c r="EJ65" i="79"/>
  <c r="EL68" i="79"/>
  <c r="ET11" i="79"/>
  <c r="EV24" i="79"/>
  <c r="EV29" i="79"/>
  <c r="EV32" i="79"/>
  <c r="EV33" i="79"/>
  <c r="EJ37" i="79"/>
  <c r="EJ39" i="79"/>
  <c r="EJ40" i="79"/>
  <c r="EL47" i="79"/>
  <c r="EJ48" i="79"/>
  <c r="EV52" i="79"/>
  <c r="ET53" i="79"/>
  <c r="EL55" i="79"/>
  <c r="EJ56" i="79"/>
  <c r="EL65" i="79"/>
  <c r="ET67" i="79"/>
  <c r="ET69" i="79"/>
  <c r="EJ9" i="79"/>
  <c r="EV11" i="79"/>
  <c r="ET25" i="79"/>
  <c r="EJ26" i="79"/>
  <c r="O29" i="79"/>
  <c r="O31" i="79" s="1"/>
  <c r="ET35" i="79"/>
  <c r="ET36" i="79"/>
  <c r="EL37" i="79"/>
  <c r="EJ38" i="79"/>
  <c r="EL39" i="79"/>
  <c r="EL40" i="79"/>
  <c r="ET41" i="79"/>
  <c r="ET45" i="79"/>
  <c r="ET46" i="79"/>
  <c r="EL48" i="79"/>
  <c r="EJ49" i="79"/>
  <c r="EV53" i="79"/>
  <c r="ET54" i="79"/>
  <c r="EL56" i="79"/>
  <c r="EJ57" i="79"/>
  <c r="EV67" i="79"/>
  <c r="ET68" i="79"/>
  <c r="EV69" i="79"/>
  <c r="EL9" i="79"/>
  <c r="EV25" i="79"/>
  <c r="EL26" i="79"/>
  <c r="O30" i="79"/>
  <c r="EV35" i="79"/>
  <c r="EV36" i="79"/>
  <c r="EL38" i="79"/>
  <c r="EV41" i="79"/>
  <c r="EJ44" i="79"/>
  <c r="EV45" i="79"/>
  <c r="EV46" i="79"/>
  <c r="ET47" i="79"/>
  <c r="EL49" i="79"/>
  <c r="EJ50" i="79"/>
  <c r="EV54" i="79"/>
  <c r="ET55" i="79"/>
  <c r="EL57" i="79"/>
  <c r="EJ58" i="79"/>
  <c r="ET65" i="79"/>
  <c r="EV68" i="79"/>
  <c r="EJ10" i="79"/>
  <c r="EJ27" i="79"/>
  <c r="EJ28" i="79"/>
  <c r="ET37" i="79"/>
  <c r="ET39" i="79"/>
  <c r="ET40" i="79"/>
  <c r="EL44" i="79"/>
  <c r="EV47" i="79"/>
  <c r="ET48" i="79"/>
  <c r="EL50" i="79"/>
  <c r="EJ51" i="79"/>
  <c r="EV55" i="79"/>
  <c r="EL58" i="79"/>
  <c r="H10" i="80" l="1"/>
  <c r="F10" i="80" s="1"/>
  <c r="H8" i="80"/>
  <c r="H12" i="80"/>
  <c r="F12" i="80" s="1"/>
  <c r="H5" i="80"/>
  <c r="F5" i="80" s="1"/>
  <c r="H6" i="80"/>
  <c r="F6" i="80" s="1"/>
  <c r="H7" i="80"/>
  <c r="F7" i="80" s="1"/>
  <c r="H4" i="80"/>
  <c r="F4" i="80" s="1"/>
  <c r="H36" i="80"/>
  <c r="F36" i="80" s="1"/>
  <c r="H9" i="80"/>
  <c r="F9" i="80" s="1"/>
  <c r="H32" i="80"/>
  <c r="F32" i="80" s="1"/>
  <c r="H37" i="80"/>
  <c r="F37" i="80" s="1"/>
  <c r="H33" i="80"/>
  <c r="F33" i="80" s="1"/>
  <c r="EJ31" i="79"/>
  <c r="EJ30" i="79"/>
  <c r="EL31" i="79"/>
  <c r="EL30" i="79"/>
  <c r="EV30" i="79"/>
  <c r="EV31" i="79"/>
  <c r="ET30" i="79"/>
  <c r="ET31" i="79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H12" authorId="0" shapeId="0" xr:uid="{CE8C6ABD-9912-4F95-80FD-1376C34C9C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 Calculated from the biogas resource.</t>
        </r>
      </text>
    </comment>
    <comment ref="P12" authorId="0" shapeId="0" xr:uid="{8F4C1B56-44FE-4AE2-94C9-1961B65B92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Q12" authorId="0" shapeId="0" xr:uid="{55CA8E0D-0167-48BE-A789-91DA7F38F3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R12" authorId="0" shapeId="0" xr:uid="{3E5BE9B5-52F2-4298-A703-87B4F8270E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S12" authorId="0" shapeId="0" xr:uid="{327DFF14-80B2-4D5D-8907-185368C85F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T12" authorId="0" shapeId="0" xr:uid="{611B9455-A25C-43F9-AAA9-8454248A67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U12" authorId="0" shapeId="0" xr:uid="{AD9B1D45-FBEA-4BAB-B57F-85129E40B5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V12" authorId="0" shapeId="0" xr:uid="{8A86C4B0-4649-44CD-974F-EDE3648990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W12" authorId="0" shapeId="0" xr:uid="{06F56A14-E826-4C93-AEDB-C75DB799AB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X12" authorId="0" shapeId="0" xr:uid="{6D7E4C66-EDA0-433E-A37F-4704DF5119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Y12" authorId="0" shapeId="0" xr:uid="{7BAB1BD2-D5F1-4384-9A97-501EA41EE1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AT12" authorId="0" shapeId="0" xr:uid="{D7F1A477-875C-42F4-8B2B-87A27F3107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2" authorId="0" shapeId="0" xr:uid="{882A5B5B-02FA-4688-B2D0-838BACE8E7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2" authorId="0" shapeId="0" xr:uid="{1CE3A8C7-F7AE-4E57-9099-93E85E791F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2" authorId="0" shapeId="0" xr:uid="{8344224F-7696-4417-A9F7-29568EE8D3A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2" authorId="0" shapeId="0" xr:uid="{20AA5C68-0105-4AC4-A391-C64008D33D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2" authorId="0" shapeId="0" xr:uid="{6FF566F7-458A-4C0B-91BD-7800E16363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2" authorId="0" shapeId="0" xr:uid="{966B961C-4A53-47C5-ACE0-45C57392EF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2" authorId="0" shapeId="0" xr:uid="{AC8A0B3B-D2C9-4961-A0CA-42C2DBD40D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2" authorId="0" shapeId="0" xr:uid="{55E71B4F-C09A-4D55-A447-51CA269EBB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2" authorId="0" shapeId="0" xr:uid="{226F4645-2E21-4011-84BF-AF1EE03680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2" authorId="0" shapeId="0" xr:uid="{785789D4-27C5-49FC-9606-7FE225E269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2" authorId="0" shapeId="0" xr:uid="{E65C2EC6-D106-41DE-B7D3-56FE6E46AB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2" authorId="0" shapeId="0" xr:uid="{216E4CCB-6B77-465A-B233-5C96D9C347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2" authorId="0" shapeId="0" xr:uid="{4FC9080E-BF92-4D5D-AAF7-E5B41429DA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2" authorId="0" shapeId="0" xr:uid="{E4389408-34E9-444F-9B38-A90871B84B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2" authorId="0" shapeId="0" xr:uid="{36BA9B0D-5B18-483E-9910-34B2327C9B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2" authorId="0" shapeId="0" xr:uid="{C183243E-DD42-4343-8CA9-64C464763A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2" authorId="0" shapeId="0" xr:uid="{5CAFA0A9-6721-426D-B167-4F33609170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2" authorId="0" shapeId="0" xr:uid="{F815D269-D00E-413A-8CCB-0B25BDF61C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2" authorId="0" shapeId="0" xr:uid="{ABBF864F-E014-46E7-8435-2533C2AFAA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2" authorId="0" shapeId="0" xr:uid="{C3C83A8B-CBA2-4BBC-9D5B-E2D1BE4500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2" authorId="0" shapeId="0" xr:uid="{C91ED40C-DB15-477B-AC1A-4CBFF4539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2" authorId="0" shapeId="0" xr:uid="{02D0E3D0-DACB-4388-92C1-8F829F4940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2" authorId="0" shapeId="0" xr:uid="{3D189A8A-DF0C-487A-A9E7-8D5D08092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2" authorId="0" shapeId="0" xr:uid="{017F6CD3-AFF5-4DC3-83DD-9F7E3F72D2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2" authorId="0" shapeId="0" xr:uid="{F54A93E7-162E-4AB4-8912-11B20D6082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2" authorId="0" shapeId="0" xr:uid="{FC22AFAC-8B9A-42C7-9CD6-2A8772EC42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2" authorId="0" shapeId="0" xr:uid="{62EBDA8B-DDF4-40CB-AFD0-D9A51BADAB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2" authorId="0" shapeId="0" xr:uid="{F0C3003A-FC73-4F53-88BF-6A49528CF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2" authorId="0" shapeId="0" xr:uid="{7CBCCAEA-484E-445F-82F6-51873EA640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2" authorId="0" shapeId="0" xr:uid="{9042A0D5-4099-4F07-913D-10F0818627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I12" authorId="0" shapeId="0" xr:uid="{99FC3FC5-4E04-494B-9199-378DC3D291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J12" authorId="0" shapeId="0" xr:uid="{6AC36E62-1C21-4AA6-A04E-6D62119F6F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K12" authorId="0" shapeId="0" xr:uid="{362B4082-F273-48B7-A04C-A013DD7393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L12" authorId="0" shapeId="0" xr:uid="{EB9514D8-C25E-4EF2-85F8-64A5F0F4BB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M12" authorId="0" shapeId="0" xr:uid="{A1E41180-6E1F-4EFC-B1CB-1A4D19D7E9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N12" authorId="0" shapeId="0" xr:uid="{A188F2BC-4D6B-4B12-922D-7E2B12C872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O12" authorId="0" shapeId="0" xr:uid="{B8E12552-545B-4F8D-A1E6-2B67F96737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P12" authorId="0" shapeId="0" xr:uid="{1B34ECB6-5BB0-4A3F-A8A4-FA3544535A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Q12" authorId="0" shapeId="0" xr:uid="{E031039E-37D3-444B-96A1-1D2FC29998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R12" authorId="0" shapeId="0" xr:uid="{FAC29691-7ECB-434A-9397-555425E196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S12" authorId="0" shapeId="0" xr:uid="{7B9FA33F-C68E-4553-B0CB-AB6F02F844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T12" authorId="0" shapeId="0" xr:uid="{4994DAA6-9AA8-4FE4-A000-B3F33EF8EA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U12" authorId="0" shapeId="0" xr:uid="{89FA7E7C-6DDC-4486-902A-534777244D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V12" authorId="0" shapeId="0" xr:uid="{44D27A55-E2FA-4EA1-81CF-DF09C37FC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W12" authorId="0" shapeId="0" xr:uid="{B7E55C7A-43E7-4201-90B3-3E16C0B134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X12" authorId="0" shapeId="0" xr:uid="{C93A7142-ED13-49C1-8C06-86C8B18C5A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Y12" authorId="0" shapeId="0" xr:uid="{1A5D83E7-B077-41E0-A7B9-E7E34C2377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Z12" authorId="0" shapeId="0" xr:uid="{52F1F644-5B5B-4917-BCAA-A904D2CB68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DA12" authorId="0" shapeId="0" xr:uid="{2CD46D97-670E-4450-9EC4-3CCA4CAA13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H13" authorId="0" shapeId="0" xr:uid="{436A8E3A-E0CF-4BE7-9258-E6D142551B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</t>
        </r>
      </text>
    </comment>
    <comment ref="P13" authorId="0" shapeId="0" xr:uid="{C526969B-602D-4CD0-9DCD-D481F2E71E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Q13" authorId="0" shapeId="0" xr:uid="{391A5968-7C77-4D19-A791-D2FC07B77D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R13" authorId="0" shapeId="0" xr:uid="{C936D616-5E38-4D38-BE5D-9D9DE8274E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S13" authorId="0" shapeId="0" xr:uid="{67830528-714E-4EDF-8A02-847EEE5A6F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T13" authorId="0" shapeId="0" xr:uid="{C7DEF3C5-7584-41C4-8990-5513513686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U13" authorId="0" shapeId="0" xr:uid="{BC3EA70A-CA0A-4962-9E5E-114F3B987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V13" authorId="0" shapeId="0" xr:uid="{E58B25D2-5440-4641-B73D-D00898394C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W13" authorId="0" shapeId="0" xr:uid="{A2595901-3314-4D20-9063-0C6E873155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X13" authorId="0" shapeId="0" xr:uid="{39EEFFF1-3487-4787-8A79-877DD04E73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Y13" authorId="0" shapeId="0" xr:uid="{86BCE238-84B9-4081-B86E-D414D76FDD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DV13" authorId="0" shapeId="0" xr:uid="{0BCC1CAC-3BE0-41C1-909F-BFF7469808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3" authorId="0" shapeId="0" xr:uid="{096D8933-287F-4059-8FA5-21F4BB1B04C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3" authorId="0" shapeId="0" xr:uid="{614F398A-B10A-46AA-B524-B376F9784E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3" authorId="0" shapeId="0" xr:uid="{502E7F3B-7163-4D37-B738-264658A423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3" authorId="0" shapeId="0" xr:uid="{83F64101-8329-4D48-A26F-AE31FEED61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3" authorId="0" shapeId="0" xr:uid="{DE9FCA80-EF3A-471E-913C-6221FE1FA2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3" authorId="0" shapeId="0" xr:uid="{BEC086AD-ACD9-4C34-B85F-C3D21FD71A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 Carbon tax price is aded on top (100€/t), whereas CCS costs are deducted (35$/t). This is to resemble the opportunity cost of not using CO2 from biogas for carbon credits.</t>
        </r>
      </text>
    </comment>
    <comment ref="EC13" authorId="0" shapeId="0" xr:uid="{BFCBCE50-5CEC-49DB-B8EE-EB4BC3D212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3" authorId="0" shapeId="0" xr:uid="{0C0B988C-D39C-4A37-843B-EEE9EEF9B8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3" authorId="0" shapeId="0" xr:uid="{A2A662DF-60AF-4177-99EF-72BB6F4B5F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H14" authorId="0" shapeId="0" xr:uid="{D57C361E-B9DE-4DD8-B1EF-ABF194B18D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 Calculated from the biogas resource.</t>
        </r>
      </text>
    </comment>
    <comment ref="P14" authorId="0" shapeId="0" xr:uid="{916A3DF2-FA84-4123-8CB5-3FB79C07A2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Q14" authorId="0" shapeId="0" xr:uid="{ED5FCE69-439B-4658-AB80-B982EAE490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R14" authorId="0" shapeId="0" xr:uid="{5CAC2FB2-90C3-436F-BA26-71F28552EC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S14" authorId="0" shapeId="0" xr:uid="{9AEF2F6D-B239-47A7-A201-F9142962F4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T14" authorId="0" shapeId="0" xr:uid="{84C9E8D1-8371-49C3-ABF3-322F131CE2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U14" authorId="0" shapeId="0" xr:uid="{3BBED4E9-9535-486D-B205-AC78BB966A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V14" authorId="0" shapeId="0" xr:uid="{3D5F66DE-B727-4F0B-9CCE-BBB357E2F1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W14" authorId="0" shapeId="0" xr:uid="{B3FF7AA5-4AE8-4283-830B-4713FF4603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X14" authorId="0" shapeId="0" xr:uid="{2F344372-8318-49B6-A795-6E573DC74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Y14" authorId="0" shapeId="0" xr:uid="{2F9DAC63-B5DA-4668-991C-0876C4DF22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Z14" authorId="0" shapeId="0" xr:uid="{5E6725BF-D9C2-4858-942B-1FB72F416C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A14" authorId="0" shapeId="0" xr:uid="{31080028-527E-41F8-931C-C6AA49B77B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B14" authorId="0" shapeId="0" xr:uid="{65C7E49D-9CC7-43D9-9267-09CDC55A59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C14" authorId="0" shapeId="0" xr:uid="{663E6BFD-FA5E-4FE3-BAC4-A74D50832A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D14" authorId="0" shapeId="0" xr:uid="{E794C2F0-CD69-4865-8E60-4B4EDDAB39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E14" authorId="0" shapeId="0" xr:uid="{9858EB5B-F589-4B1C-9BDB-BE7287303A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F14" authorId="0" shapeId="0" xr:uid="{B519EB06-E6F1-4DB5-9BA4-115F0A0D85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G14" authorId="0" shapeId="0" xr:uid="{ADF22C8E-AC13-4445-B445-7F67B8D39A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H14" authorId="0" shapeId="0" xr:uid="{96285D23-E52A-4F8E-9B5C-9F9EE8EC51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I14" authorId="0" shapeId="0" xr:uid="{09A5A4AB-1562-4D2E-B211-07244FD7A6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T14" authorId="0" shapeId="0" xr:uid="{D309A57B-A702-4595-ABCD-5DAB91F2C4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4" authorId="0" shapeId="0" xr:uid="{515088EA-90DF-4F48-94DF-C721AB3AE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4" authorId="0" shapeId="0" xr:uid="{33471E1D-B123-47A1-B6D2-4738566EAF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4" authorId="0" shapeId="0" xr:uid="{0D87DDB7-C47A-4E1B-A0DA-48AFBDB763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4" authorId="0" shapeId="0" xr:uid="{3561EE74-0606-4F5F-BF65-AFABCF638D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4" authorId="0" shapeId="0" xr:uid="{7A7FEFA5-5FE1-4FAF-A9DE-5F7456EDC7A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4" authorId="0" shapeId="0" xr:uid="{98A206B2-5514-4C7E-BE0F-85BB362ED3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4" authorId="0" shapeId="0" xr:uid="{0DB0D966-8D8F-449E-B2C2-071222B24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4" authorId="0" shapeId="0" xr:uid="{C57A9AD8-57B9-4872-BA3C-64261B2C19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4" authorId="0" shapeId="0" xr:uid="{9FD018A2-A1A9-4B59-BB53-31CB4451CB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4" authorId="0" shapeId="0" xr:uid="{FBB4B7B0-9AAA-4E5B-8BA2-4C4C8472BF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4" authorId="0" shapeId="0" xr:uid="{304661A7-12EF-422B-BA00-865CF08EA5E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4" authorId="0" shapeId="0" xr:uid="{0F4BCCDD-945D-4113-913C-2E291797BC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4" authorId="0" shapeId="0" xr:uid="{BC231685-6138-4880-AC36-F199E8D08C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4" authorId="0" shapeId="0" xr:uid="{979AEA10-E00C-4A1C-A769-88C1473EDD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4" authorId="0" shapeId="0" xr:uid="{D1C4FDB8-A20A-47AA-AA4D-6E149A67F6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4" authorId="0" shapeId="0" xr:uid="{FF51D940-9A9C-4F76-96E9-740519FE4D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4" authorId="0" shapeId="0" xr:uid="{FB15706F-2E5A-4156-B83C-4E890D7641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4" authorId="0" shapeId="0" xr:uid="{83CCA4F3-32CC-4DD1-AAA8-9F76476EB8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4" authorId="0" shapeId="0" xr:uid="{776739D8-48B6-484A-A10E-783756C067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4" authorId="0" shapeId="0" xr:uid="{6671B30B-410A-4C6F-A3F4-BAE1E05B50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4" authorId="0" shapeId="0" xr:uid="{4DBF30BC-9C1E-4613-BB89-BF910CB0DC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4" authorId="0" shapeId="0" xr:uid="{85253D23-939E-49CC-890B-AE080633C2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4" authorId="0" shapeId="0" xr:uid="{FE4A3D39-6A0D-43A7-A475-F912CC4B93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4" authorId="0" shapeId="0" xr:uid="{41C725CD-F7FD-418D-833A-8187E50924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4" authorId="0" shapeId="0" xr:uid="{31CD9843-B630-4BF9-AE29-E6B60CCA73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4" authorId="0" shapeId="0" xr:uid="{57B1961B-A452-40AB-B712-FA3C4747A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4" authorId="0" shapeId="0" xr:uid="{D35713CC-8587-4A8F-8181-BED3650EF5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4" authorId="0" shapeId="0" xr:uid="{2D98CEFA-6BBB-4F22-8945-6E447753F9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4" authorId="0" shapeId="0" xr:uid="{46044133-6FDF-484C-9950-DCDE80535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4" authorId="0" shapeId="0" xr:uid="{B9BC9E2A-5854-4BD3-B2A5-EB4AF5B7C2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Y14" authorId="0" shapeId="0" xr:uid="{3C5DB128-0E55-4FE4-8F63-C10D263DEB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Z14" authorId="0" shapeId="0" xr:uid="{CBCF4F92-F47A-4B96-8094-AB6C89F59A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A14" authorId="0" shapeId="0" xr:uid="{177133B3-B14A-4934-A096-FC73C39C0E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B14" authorId="0" shapeId="0" xr:uid="{FF162629-1F8F-4916-B737-A75A818CBD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C14" authorId="0" shapeId="0" xr:uid="{805D5CB7-3629-4CB8-9BA6-89CED03E12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D14" authorId="0" shapeId="0" xr:uid="{3AA124B2-2176-42AC-98AB-681FBEAABA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E14" authorId="0" shapeId="0" xr:uid="{39AF748E-FA30-456F-8FF4-9E39CFD534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F14" authorId="0" shapeId="0" xr:uid="{EDD1B009-FB91-482F-9953-B3240131C1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G14" authorId="0" shapeId="0" xr:uid="{117D95E2-F87B-45E9-800E-6C0DE3008C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H14" authorId="0" shapeId="0" xr:uid="{D428F7EB-7688-4C1F-AC92-A6288CB3E1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I14" authorId="0" shapeId="0" xr:uid="{2451294C-8A9E-4E0F-92BC-917A5725BF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J14" authorId="0" shapeId="0" xr:uid="{BDEB1112-CE6A-4435-A1CB-20F1980B33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K14" authorId="0" shapeId="0" xr:uid="{2243C2AF-BDC1-48AF-BA5E-220C07448D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L14" authorId="0" shapeId="0" xr:uid="{685B1CD1-88DB-43AA-917A-E9CC701383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M14" authorId="0" shapeId="0" xr:uid="{9C2FFEBD-CCD6-4752-8473-480B1E18E7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N14" authorId="0" shapeId="0" xr:uid="{E3F8C1B1-4517-4931-B0E6-5B4066B706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O14" authorId="0" shapeId="0" xr:uid="{091432EB-D281-41E7-92F4-CDB142F1D3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P14" authorId="0" shapeId="0" xr:uid="{E87191E0-1B43-4743-970D-F5739C8663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Q14" authorId="0" shapeId="0" xr:uid="{D2C3CE48-27AD-4D90-9E32-2F7B090D43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R14" authorId="0" shapeId="0" xr:uid="{A22750B1-F912-47CB-A2C9-99D51423C9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S14" authorId="0" shapeId="0" xr:uid="{E07EC7EC-FBB8-41B7-BF8E-5FE58C3D6D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T14" authorId="0" shapeId="0" xr:uid="{49D0A897-59AD-47D7-B093-F97000758C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U14" authorId="0" shapeId="0" xr:uid="{90F86D51-F115-447D-B3C8-F09CF1CDF4F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V14" authorId="0" shapeId="0" xr:uid="{2643D12C-24C2-4343-8DEA-9D1F1B8C8D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W14" authorId="0" shapeId="0" xr:uid="{E2A1FD32-75F9-4CD6-869A-7FE6D58C34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X14" authorId="0" shapeId="0" xr:uid="{C9F258C4-2DFF-4463-88F9-A4E215D97B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Y14" authorId="0" shapeId="0" xr:uid="{7E552603-A012-463C-9F3A-D05889C046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Z14" authorId="0" shapeId="0" xr:uid="{EA5EA2AD-56F3-40E9-9ECC-F534041982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A14" authorId="0" shapeId="0" xr:uid="{85A64F9F-4F11-4B54-9333-FF7D451FBB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EP14" authorId="0" shapeId="0" xr:uid="{CFCA277A-58F7-412C-8FAF-62BC45E92A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Q14" authorId="0" shapeId="0" xr:uid="{9471939F-A5BD-493C-B204-078A5B46C4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R14" authorId="0" shapeId="0" xr:uid="{92052D43-89E6-4836-9641-814FFEB07D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S14" authorId="0" shapeId="0" xr:uid="{03676B41-B36F-4687-8A06-23E759B89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T14" authorId="0" shapeId="0" xr:uid="{3E6D0F1C-BF28-4742-B714-0F0ADBC86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U14" authorId="0" shapeId="0" xr:uid="{3EEC7B15-F017-4E57-B2BE-CDA2DA7B64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V14" authorId="0" shapeId="0" xr:uid="{77C0A2BE-8225-4CF6-9078-8AF4F39DE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W14" authorId="0" shapeId="0" xr:uid="{1CE62C7A-A932-4BCE-88AE-ADF6ED13AA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X14" authorId="0" shapeId="0" xr:uid="{F50F0FE7-B7F7-435D-A8A6-A65D9D928D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Y14" authorId="0" shapeId="0" xr:uid="{361316DF-54AF-40D8-B4D3-A2C7D70B76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H15" authorId="0" shapeId="0" xr:uid="{6092ECF4-4386-480A-8329-AD062A3785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</t>
        </r>
      </text>
    </comment>
    <comment ref="DV15" authorId="0" shapeId="0" xr:uid="{56EC61EB-C17B-42F7-836E-3D450950AB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5" authorId="0" shapeId="0" xr:uid="{091C63B1-B5B2-4B2B-B315-4B6ECD9856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5" authorId="0" shapeId="0" xr:uid="{0526E0B6-09BD-4A8D-B400-A81831DF7C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5" authorId="0" shapeId="0" xr:uid="{78D68F38-0B5B-468C-9618-D88107F270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5" authorId="0" shapeId="0" xr:uid="{519AF68C-6947-48CF-AA17-DD2F99A2E8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5" authorId="0" shapeId="0" xr:uid="{18B40BF8-DAC2-4231-90D1-C489661895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5" authorId="0" shapeId="0" xr:uid="{9F6A9B39-CBFA-4FA2-935E-E358E8509C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5" authorId="0" shapeId="0" xr:uid="{C2295B0F-7621-4A9F-9FEF-35569384D4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5" authorId="0" shapeId="0" xr:uid="{C83BD886-1F0B-4589-8EF7-71168623BD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5" authorId="0" shapeId="0" xr:uid="{E51B7337-DB0A-458E-AF20-582BD02213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AT16" authorId="0" shapeId="0" xr:uid="{2D04A93B-2115-411E-A6AA-A9D0B50CE8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6" authorId="0" shapeId="0" xr:uid="{3D6DD7BF-6942-47D0-AD18-AB6AC8CAC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6" authorId="0" shapeId="0" xr:uid="{DF466C61-CBFC-4018-A694-322D2088AA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6" authorId="0" shapeId="0" xr:uid="{5D400474-7849-4F09-B513-039B7C8459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6" authorId="0" shapeId="0" xr:uid="{2C81DF0B-CB55-4754-96DB-CD358013B1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6" authorId="0" shapeId="0" xr:uid="{4C35335A-0C6B-48C9-B6D0-E205EE7F3B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6" authorId="0" shapeId="0" xr:uid="{CB5BE964-E691-4433-A6BA-E209AEFA63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6" authorId="0" shapeId="0" xr:uid="{7C9FAF56-32B1-4CE7-BB4E-A82FE1E66B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6" authorId="0" shapeId="0" xr:uid="{D9A9BB81-A600-4211-8226-ADF2D186B3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6" authorId="0" shapeId="0" xr:uid="{BD0E395C-701E-4E28-A99C-807B09D058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6" authorId="0" shapeId="0" xr:uid="{763D653F-0A6F-495E-B084-F83CF29758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6" authorId="0" shapeId="0" xr:uid="{AD14C6D3-A28A-44DE-A926-5DA7F25494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6" authorId="0" shapeId="0" xr:uid="{0D58B0C2-9CFD-41A7-91BE-1D0DED7F52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6" authorId="0" shapeId="0" xr:uid="{692174BB-0DE5-43A7-9424-EC05C145E2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6" authorId="0" shapeId="0" xr:uid="{2B16DB70-7F0E-420D-A31A-A75F674BDB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6" authorId="0" shapeId="0" xr:uid="{35C7093C-0C75-4543-B033-E62634BB37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6" authorId="0" shapeId="0" xr:uid="{0A9FE888-C313-48CF-A6BA-8A30F4F7D4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6" authorId="0" shapeId="0" xr:uid="{32907A9C-5437-438A-BFEC-DB477968F8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6" authorId="0" shapeId="0" xr:uid="{3874D415-98B6-40CD-81F1-D7F856D5BC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6" authorId="0" shapeId="0" xr:uid="{D9CEFEFD-FEA1-4BC1-AE40-FF4F19D9DD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6" authorId="0" shapeId="0" xr:uid="{9BAC361F-5CB3-4AFA-BA1C-E27938EE20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6" authorId="0" shapeId="0" xr:uid="{17F81709-EA9E-4423-9479-8A6F6E08B6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6" authorId="0" shapeId="0" xr:uid="{6C72D8E7-7FC0-40F2-8948-DC636F474C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6" authorId="0" shapeId="0" xr:uid="{70A70F9B-A3B6-4F12-94C4-CC6D909FC5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6" authorId="0" shapeId="0" xr:uid="{729C3A72-F290-4FF3-887C-2765EBF6EE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6" authorId="0" shapeId="0" xr:uid="{F468667A-EA35-4A5C-89F3-D8B47C0B8D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6" authorId="0" shapeId="0" xr:uid="{8FEA28AD-0107-4EF8-B23C-94A001EEA1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6" authorId="0" shapeId="0" xr:uid="{01850D9C-6C57-4738-9FB4-77189E2A55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6" authorId="0" shapeId="0" xr:uid="{2C65775C-E46F-4F84-9B24-62E6DAF6C2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6" authorId="0" shapeId="0" xr:uid="{18DE2222-BD79-4711-92D6-A84A71922E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6" authorId="0" shapeId="0" xr:uid="{155CF5B6-70BD-4F1A-931D-66A5ED48EA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I16" authorId="0" shapeId="0" xr:uid="{F54A0D97-569B-4F7C-BA99-58FC4FA0F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J16" authorId="0" shapeId="0" xr:uid="{27892EF2-0D68-48C5-9119-A910FA35C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K16" authorId="0" shapeId="0" xr:uid="{BDEF4059-4E41-4116-9FE8-E524190F45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L16" authorId="0" shapeId="0" xr:uid="{970C6539-88F6-4590-87A6-09460429EC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M16" authorId="0" shapeId="0" xr:uid="{45DFDEEB-9305-456B-90E3-85FBA3224F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N16" authorId="0" shapeId="0" xr:uid="{D3A9D549-7341-44A7-A152-670C5AAE96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O16" authorId="0" shapeId="0" xr:uid="{56E605C5-520F-4EF9-8C2E-96D2B2FF55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P16" authorId="0" shapeId="0" xr:uid="{70CCEC4C-BC02-4946-8013-28802D841B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Q16" authorId="0" shapeId="0" xr:uid="{754DDC25-1DEF-40B8-8B2E-97B7F4000A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R16" authorId="0" shapeId="0" xr:uid="{B0FF8135-C5FA-4618-BF72-29C89C278E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S16" authorId="0" shapeId="0" xr:uid="{B5EA0E12-0E60-4594-87E0-3C39176E7C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T16" authorId="0" shapeId="0" xr:uid="{587D7639-19EA-444A-973E-68AF2B6959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U16" authorId="0" shapeId="0" xr:uid="{AB80CD17-B03F-4D9D-9A90-E3F9DE84EF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V16" authorId="0" shapeId="0" xr:uid="{F2605919-9A49-45F7-B443-FD517ECF81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W16" authorId="0" shapeId="0" xr:uid="{E69FD4B8-51D7-4B71-85C9-45A30E3E6A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X16" authorId="0" shapeId="0" xr:uid="{24B929E5-739B-4B08-816A-B72DA5F802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Y16" authorId="0" shapeId="0" xr:uid="{E60F572F-C7A2-487C-B821-69C329B7D1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Z16" authorId="0" shapeId="0" xr:uid="{98906D0B-C7AA-4B09-95DE-86CA678C5C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A16" authorId="0" shapeId="0" xr:uid="{D0B48AC3-5A05-4B55-9183-6E9826C5A1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V17" authorId="0" shapeId="0" xr:uid="{291F4BDC-494B-4A2A-B6ED-E1DCA5D982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7" authorId="0" shapeId="0" xr:uid="{95BB28BA-D814-43D1-A29B-5D2ED53305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7" authorId="0" shapeId="0" xr:uid="{5D5B9971-81B8-4FBE-9DF8-71BD131C50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7" authorId="0" shapeId="0" xr:uid="{1D555AAF-B1CD-4624-A8D2-46F44315D6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7" authorId="0" shapeId="0" xr:uid="{DE3CDC89-2EC9-476D-962F-6EA8E09795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7" authorId="0" shapeId="0" xr:uid="{424F9709-6A79-4D7F-B241-CB6A9216EF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7" authorId="0" shapeId="0" xr:uid="{45B2E949-D984-4564-AE3C-4004E66F02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7" authorId="0" shapeId="0" xr:uid="{E5182BBC-6339-4838-894A-45934B5D88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7" authorId="0" shapeId="0" xr:uid="{B7F183CC-963E-4AAD-9097-5C1F4BAB1D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7" authorId="0" shapeId="0" xr:uid="{E17AEA1B-728E-47E3-A878-B11BB53284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AT18" authorId="0" shapeId="0" xr:uid="{38ECA92C-CC79-4C2D-BD99-83A9D196C6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8" authorId="0" shapeId="0" xr:uid="{76A26234-DBB2-4083-9B87-03E370ECC9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8" authorId="0" shapeId="0" xr:uid="{878ADA5F-0BF4-4C2A-8A53-3841E267D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8" authorId="0" shapeId="0" xr:uid="{C0C1392C-9615-4467-B42C-E98D02844A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8" authorId="0" shapeId="0" xr:uid="{D931287F-9409-4472-88D1-255F96D23E2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8" authorId="0" shapeId="0" xr:uid="{3D504A8F-009F-4D96-B6DD-475C5829E9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8" authorId="0" shapeId="0" xr:uid="{424ADFE7-D7F6-4C01-9035-AB94FFB27D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8" authorId="0" shapeId="0" xr:uid="{F376B818-F342-4BF0-91A0-2BE648974F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8" authorId="0" shapeId="0" xr:uid="{40E1A49E-F205-4032-9969-10B1DC01DB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8" authorId="0" shapeId="0" xr:uid="{41021A05-98B3-4C29-937F-543F1785E7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8" authorId="0" shapeId="0" xr:uid="{302A67FD-8927-49DB-8BF3-B47610DF3BA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8" authorId="0" shapeId="0" xr:uid="{F3B6F1E6-ACBA-43CF-867D-6B8D7F4E6B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8" authorId="0" shapeId="0" xr:uid="{53A98DD1-1359-4F99-98BD-31A2F3685A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8" authorId="0" shapeId="0" xr:uid="{34D321E9-3BC3-4FD2-8619-2955198CC6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8" authorId="0" shapeId="0" xr:uid="{18C81501-F638-4049-A15E-C5FB622E4FA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8" authorId="0" shapeId="0" xr:uid="{4598C1C1-F5F9-487C-820F-F85863A428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8" authorId="0" shapeId="0" xr:uid="{4E96EFD4-DD08-47E1-8D36-AF66B0CA96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8" authorId="0" shapeId="0" xr:uid="{94757916-989F-4432-AB2F-8E9A55104D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8" authorId="0" shapeId="0" xr:uid="{9EFEF826-7656-4B8A-898C-486B6061F1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8" authorId="0" shapeId="0" xr:uid="{7C205578-1D6B-4A62-9D96-649FC3ED481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8" authorId="0" shapeId="0" xr:uid="{5B8C5BD1-1C61-4650-A5BC-53FF5DBCA3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8" authorId="0" shapeId="0" xr:uid="{3761CBD7-813C-4AC4-9840-096CC4F190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8" authorId="0" shapeId="0" xr:uid="{C1B41217-D845-44D5-9774-494AF54B03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8" authorId="0" shapeId="0" xr:uid="{A985FCD0-9A42-4358-9766-D4DB14602F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8" authorId="0" shapeId="0" xr:uid="{5A879EF0-C1EF-421B-AA55-5A98836D7C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8" authorId="0" shapeId="0" xr:uid="{A2882B7D-0066-4315-AF08-75873C9C10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8" authorId="0" shapeId="0" xr:uid="{A37FBB68-C72E-40A2-B585-3A0A9E44BB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8" authorId="0" shapeId="0" xr:uid="{F46A64C4-E65B-4C55-A148-1D05B6B85C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8" authorId="0" shapeId="0" xr:uid="{C054A503-F7FD-4BA6-ACA1-A679747725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8" authorId="0" shapeId="0" xr:uid="{759B5C56-4264-402A-89C6-A1EB1BBB5C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20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1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1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1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1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1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1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1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1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2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2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2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2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2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2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2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2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2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2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2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2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2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2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2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2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2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2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2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2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2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2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2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2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2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2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2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2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2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2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2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2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2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2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2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2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2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2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2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2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2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2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2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2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2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2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2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2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2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2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2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2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2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2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2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2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2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2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2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2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2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2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2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2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2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2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2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2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2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2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2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2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2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2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2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2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2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2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2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2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2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2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2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2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2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2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2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2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2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2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2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2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2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2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2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2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2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2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2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2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2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2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2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2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2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2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2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2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2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2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2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2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2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2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2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2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2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2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2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2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2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2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2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2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2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2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2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2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2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2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2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2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2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2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2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2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2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2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2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2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2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2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2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2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2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2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2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2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2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2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2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2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2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2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2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2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2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2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2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2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3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3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3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3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3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3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3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3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3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3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3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3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3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3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3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3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3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3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3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3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3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3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3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3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3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3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3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3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3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3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4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4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4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4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4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4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4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4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4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4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4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4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4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4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4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4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4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4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4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4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4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4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4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4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4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4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4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4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4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5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5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5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5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5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5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5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5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5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5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5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5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5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5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5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5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5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5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5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5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5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5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5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5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5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5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5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5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5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5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5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5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5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5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5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5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5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5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26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6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6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6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6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6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6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6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6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6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6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6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6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6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6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6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6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6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6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6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6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6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6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6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6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6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6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6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6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6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6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6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6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6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6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6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6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6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27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27" authorId="0" shapeId="0" xr:uid="{9C31F0F6-570D-4A90-8657-AAB015288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27" authorId="0" shapeId="0" xr:uid="{B88B302B-7EBA-411D-A3F8-7997B20767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27" authorId="0" shapeId="0" xr:uid="{2A471841-68E2-410C-9E0B-94778D367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27" authorId="0" shapeId="0" xr:uid="{487A2661-868D-4250-A721-AA0192AF63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27" authorId="0" shapeId="0" xr:uid="{2FDA8006-EB69-4D29-9BA7-1F4A499BDA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27" authorId="0" shapeId="0" xr:uid="{34D24FD6-12F6-48AB-B9C7-E73B47F661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27" authorId="0" shapeId="0" xr:uid="{CB240832-046B-4452-9E0B-AD22EDF692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27" authorId="0" shapeId="0" xr:uid="{38B578DE-AA23-48CA-869F-8C9D6BDEA2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27" authorId="0" shapeId="0" xr:uid="{CCB480EA-21B4-43FD-989A-11AE30AB09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27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27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27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27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27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27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7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27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27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27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7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7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7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27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27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27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27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27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27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27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27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27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28" authorId="0" shapeId="0" xr:uid="{9F8A19BF-686B-468A-97D2-3D9FCBA6E6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28" authorId="0" shapeId="0" xr:uid="{3B056564-C2DB-4714-8333-7FD442AC9F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28" authorId="0" shapeId="0" xr:uid="{82C4ABF3-89D3-4DF4-BC09-687A57FCBA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28" authorId="0" shapeId="0" xr:uid="{70A52F90-D66B-4A8C-AA5B-94CD3909EF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28" authorId="0" shapeId="0" xr:uid="{AE6B7B20-C1A5-4265-B46B-980DF6EECF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28" authorId="0" shapeId="0" xr:uid="{9850C6EB-13A7-4B87-B209-65C56CF380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28" authorId="0" shapeId="0" xr:uid="{1C7F6D03-0CBD-4707-AB8B-620FBCB5B9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28" authorId="0" shapeId="0" xr:uid="{3DBB2D62-F402-4262-ADFD-469AF74D58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28" authorId="0" shapeId="0" xr:uid="{F472CF8E-26EF-444A-9CEB-000B1CD8B9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28" authorId="0" shapeId="0" xr:uid="{82FA748D-8F18-41CE-A534-57D96F4034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28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28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28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28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28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28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28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28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28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28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28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8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8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8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8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8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8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8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8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8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8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8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8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8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8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8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8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29" authorId="0" shapeId="0" xr:uid="{38615923-CC46-4D0E-8E95-F2F4C662B8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29" authorId="0" shapeId="0" xr:uid="{898FC987-9E62-4C5D-965E-4AB53B3DC1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29" authorId="0" shapeId="0" xr:uid="{0D4B39DE-315F-4BD1-8996-5DCC66C7DA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29" authorId="0" shapeId="0" xr:uid="{34653067-F382-4CAD-AD58-60B1323E8E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29" authorId="0" shapeId="0" xr:uid="{AA4A4FCE-109A-4DCA-A87E-D9C4A87F49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29" authorId="0" shapeId="0" xr:uid="{405FBCEE-D001-4C80-9CA9-51635EC144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29" authorId="0" shapeId="0" xr:uid="{B3580D6A-CEF3-42F4-912D-909C941E9C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29" authorId="0" shapeId="0" xr:uid="{C2181870-19B1-47BA-A69C-FA01FB348B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29" authorId="0" shapeId="0" xr:uid="{11B641F7-B622-47CA-B533-7CBAFA23B0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29" authorId="0" shapeId="0" xr:uid="{CB113C52-B824-4A7C-BB11-A735325748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29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9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9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9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9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9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9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9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9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9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29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29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29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29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29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29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29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29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29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29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29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29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29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29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29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29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29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0" authorId="0" shapeId="0" xr:uid="{B4AA62D4-C76F-4EE3-9605-DADF306B88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0" authorId="0" shapeId="0" xr:uid="{91C51C26-4FAD-43FC-800F-A763D10191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0" authorId="0" shapeId="0" xr:uid="{E56D9AB4-ECC1-4C50-9C22-220E57BD66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0" authorId="0" shapeId="0" xr:uid="{884AA593-C8CE-4D4B-9B5A-5073556859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0" authorId="0" shapeId="0" xr:uid="{CA383C8E-907A-43DB-9493-2FAC124B7A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0" authorId="0" shapeId="0" xr:uid="{92712949-D5C1-456A-B282-C62B44E870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0" authorId="0" shapeId="0" xr:uid="{44AFDED6-0127-451F-8446-7D4A908E04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0" authorId="0" shapeId="0" xr:uid="{835F37B3-2D82-4C9D-B517-5019631E10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0" authorId="0" shapeId="0" xr:uid="{EF37DC23-CC24-4C1A-BB41-143A1382EB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0" authorId="0" shapeId="0" xr:uid="{2DB55340-FC3E-415B-8D76-AEADBF964F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P31" authorId="0" shapeId="0" xr:uid="{B6802D0C-7DC8-4ABE-829E-C24439FCFE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1" authorId="0" shapeId="0" xr:uid="{9C84401B-0CA6-468E-93ED-19FE9803FD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1" authorId="0" shapeId="0" xr:uid="{9706AFCE-AD69-4AFA-8AC5-8B589700E8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1" authorId="0" shapeId="0" xr:uid="{308DA88A-F7E6-4E90-89F8-FF1CD99C46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1" authorId="0" shapeId="0" xr:uid="{01DB05C0-82B3-4331-855B-6847BADB84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1" authorId="0" shapeId="0" xr:uid="{446452C6-567A-4B1D-8A3A-A2B7BB92AE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1" authorId="0" shapeId="0" xr:uid="{FB2E084C-9E98-4839-9527-E887CF8E69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1" authorId="0" shapeId="0" xr:uid="{A2C5A1C7-404B-497E-A952-13D61C7CED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1" authorId="0" shapeId="0" xr:uid="{3D1A8A04-93AD-47AC-AB2A-16E9981E48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1" authorId="0" shapeId="0" xr:uid="{CC7A55C9-2F41-484E-9DDF-DA41E1237C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P38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38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38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38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38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38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38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38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38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38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39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39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39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39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39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39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39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39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39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39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1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1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1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1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1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1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1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1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1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1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1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1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1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1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1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1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1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1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1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1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1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1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1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1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1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1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1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1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1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42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42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42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42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42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42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42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42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42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42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44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44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44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44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44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44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44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44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44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44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44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44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44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44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44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44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44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44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44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44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44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4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4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4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4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4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4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4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4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4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45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5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5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5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5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5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5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5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5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5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5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5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5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5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5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5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5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5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5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5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5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5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5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5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5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5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5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5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5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5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46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6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6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6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6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6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6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6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6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6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6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6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6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6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6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6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6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6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6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6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6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6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6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6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6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6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6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6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6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6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47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7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7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7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7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7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7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7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7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7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7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7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7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7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7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7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7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7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7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7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7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7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7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7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7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7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7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7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7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7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48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8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8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8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8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8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8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8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8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8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8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8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8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8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8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8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8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8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8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8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8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8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8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8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8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8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8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8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8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8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49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49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49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49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49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49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49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49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49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49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49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49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49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49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49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49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49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49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49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49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49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49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49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49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49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49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49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49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49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49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0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0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0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0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0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0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0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0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0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0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0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0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0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0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0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0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0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0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0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0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0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0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0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0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0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0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0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0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0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0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1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1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1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1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1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1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1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1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1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1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1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1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1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1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1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1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1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1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1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1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1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1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1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1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1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1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1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1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1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1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2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2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2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2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2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2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2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2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2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2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2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2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2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2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2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2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2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2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2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2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2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2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2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2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2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2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2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2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2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2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3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59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67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67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67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67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67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67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67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67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67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67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68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68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68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68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68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68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68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68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68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68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69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69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69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69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69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69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69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69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69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69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69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69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69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69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69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69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69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69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69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69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69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69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69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69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69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69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69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69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69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<sst xmlns="http://schemas.openxmlformats.org/spreadsheetml/2006/main" count="5343" uniqueCount="540">
  <si>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</si>
  <si>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</si>
  <si>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</si>
  <si>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</si>
  <si>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</si>
  <si>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</si>
  <si>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</si>
  <si>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</si>
  <si>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</si>
  <si>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</si>
  <si>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</si>
  <si>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</si>
  <si>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</si>
  <si>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</si>
  <si>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</si>
  <si>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</si>
  <si>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</si>
  <si>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</si>
  <si>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</si>
  <si>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</si>
  <si>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</si>
  <si>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</si>
  <si>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</si>
  <si>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</si>
  <si>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</si>
  <si>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</si>
  <si>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</si>
  <si>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</si>
  <si>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</si>
  <si>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</si>
  <si>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</si>
  <si>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</si>
  <si>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</si>
  <si>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</si>
  <si>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</si>
  <si>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</si>
  <si>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</si>
  <si>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</si>
  <si>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</si>
  <si>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</si>
  <si>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</si>
  <si>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</si>
  <si>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</si>
  <si>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</si>
  <si>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</si>
  <si>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</si>
  <si>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</si>
  <si>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</si>
  <si>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</si>
  <si>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</si>
  <si>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</si>
  <si>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</si>
  <si>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</si>
  <si>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</si>
  <si>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</si>
  <si>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</si>
  <si>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</si>
  <si>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</si>
  <si>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</si>
  <si>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</si>
  <si>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</si>
  <si>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</si>
  <si>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</si>
  <si>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</si>
  <si>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</si>
  <si>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</si>
  <si>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</si>
  <si>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</si>
  <si>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</si>
  <si>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</si>
  <si>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</si>
  <si>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</si>
  <si>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</si>
  <si>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</si>
  <si>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</si>
  <si>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</si>
  <si>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</si>
  <si>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</si>
  <si>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</si>
  <si>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</si>
  <si>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</si>
  <si>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</si>
  <si>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</si>
  <si>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</si>
  <si>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</si>
  <si>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</si>
  <si>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</si>
  <si>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</si>
  <si>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</si>
  <si>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</si>
  <si>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</si>
  <si>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</si>
  <si>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</si>
  <si>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</si>
  <si>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</si>
  <si>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</si>
  <si>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</si>
  <si>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</si>
  <si>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</si>
  <si>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</si>
  <si>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</si>
  <si>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</si>
  <si>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</si>
  <si>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</si>
  <si>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</si>
  <si>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</si>
  <si>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</si>
  <si>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</si>
  <si>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</si>
  <si>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</si>
  <si>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</si>
  <si>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</si>
  <si>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</si>
  <si>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</si>
  <si>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</si>
  <si>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</si>
  <si>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</si>
  <si>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</si>
  <si>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</si>
  <si>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</si>
  <si>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</si>
  <si>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</si>
  <si>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</si>
  <si>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</si>
  <si>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</si>
  <si>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</si>
  <si>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</si>
  <si>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</si>
  <si>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</si>
  <si>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</si>
  <si>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</si>
  <si>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</si>
  <si>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</si>
  <si>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</si>
  <si>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</si>
  <si>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</si>
  <si>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</si>
  <si>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</si>
  <si>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</si>
  <si>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</si>
  <si>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</si>
  <si>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</si>
  <si>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</si>
  <si>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</si>
  <si>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</si>
  <si>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</si>
  <si>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</si>
  <si>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</si>
  <si>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</si>
  <si>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</si>
  <si>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</si>
  <si>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</si>
  <si>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</si>
  <si>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</si>
  <si>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</si>
  <si>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</si>
  <si>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</si>
  <si>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</si>
  <si>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</si>
  <si>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</si>
  <si>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</si>
  <si>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</si>
  <si>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</si>
  <si>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</si>
  <si>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</si>
  <si>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</si>
  <si>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</si>
  <si>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</si>
  <si>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</si>
  <si>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</si>
  <si>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</si>
  <si>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</si>
  <si>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</si>
  <si>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</si>
  <si>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</si>
  <si>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</si>
  <si>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</si>
  <si>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</si>
  <si>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</si>
  <si>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</si>
  <si>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</si>
  <si>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</si>
  <si>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</si>
  <si>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</si>
  <si>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</si>
  <si>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</si>
  <si>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</si>
  <si>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</si>
  <si>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</si>
  <si>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</si>
  <si>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</si>
  <si>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</si>
  <si>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</si>
  <si>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</si>
  <si>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</si>
  <si>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</si>
  <si>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</si>
  <si>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</si>
  <si>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</si>
  <si>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</si>
  <si>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</si>
  <si>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</si>
  <si>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</si>
  <si>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</si>
  <si>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</si>
  <si>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</si>
  <si>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</si>
  <si>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</si>
  <si>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</si>
  <si>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</si>
  <si>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</si>
  <si>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</si>
  <si>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</si>
  <si>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</si>
  <si>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</si>
  <si>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</si>
  <si>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</si>
  <si>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</si>
  <si>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</si>
  <si>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</si>
  <si>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</si>
  <si>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</si>
  <si>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</si>
  <si>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</si>
  <si>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</si>
  <si>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</si>
  <si>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</si>
  <si>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</si>
  <si>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</si>
  <si>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</si>
  <si>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</si>
  <si>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</si>
  <si>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</si>
  <si>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</si>
  <si>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</si>
  <si>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</si>
  <si>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</si>
  <si>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</si>
  <si>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</si>
  <si>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</si>
  <si>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</si>
  <si>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</si>
  <si>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</si>
  <si>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</si>
  <si>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</si>
  <si>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</si>
  <si>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</si>
  <si>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</si>
  <si>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</si>
  <si>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</si>
  <si>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</si>
  <si>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</si>
  <si>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</si>
  <si>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</si>
  <si>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</si>
  <si>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</si>
  <si>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</si>
  <si>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</si>
  <si>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</si>
  <si>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</si>
  <si>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</si>
  <si>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</si>
  <si>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</si>
  <si>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</si>
  <si>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</si>
  <si>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</si>
  <si>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</si>
  <si>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</si>
  <si>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</si>
  <si>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</si>
  <si>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</si>
  <si>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</si>
  <si>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</si>
  <si>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</si>
  <si>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</si>
  <si>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</si>
  <si>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</si>
  <si>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</si>
  <si>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</si>
  <si>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</si>
  <si>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</si>
  <si>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</si>
  <si>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</si>
  <si>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</si>
  <si>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</si>
  <si>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</si>
  <si>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</si>
  <si>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</si>
  <si>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</si>
  <si>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</si>
  <si>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</si>
  <si>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</si>
  <si>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</si>
  <si>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</si>
  <si>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</si>
  <si>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</si>
  <si>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</si>
  <si>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</si>
  <si>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</si>
  <si>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</si>
  <si>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</si>
  <si>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</si>
  <si>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</si>
  <si>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</si>
  <si>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</si>
  <si>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</si>
  <si>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</si>
  <si>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</si>
  <si>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</si>
  <si>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</si>
  <si>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</si>
  <si>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</si>
  <si>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</si>
  <si>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</si>
  <si>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</si>
  <si>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</si>
  <si>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</si>
  <si>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</si>
  <si>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</si>
  <si>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</si>
  <si>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</si>
  <si>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</si>
  <si>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</si>
  <si>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</si>
  <si>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</si>
  <si>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</si>
  <si>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</si>
  <si>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</si>
  <si>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</si>
  <si>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</si>
  <si>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</si>
  <si>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</si>
  <si>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</si>
  <si>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</si>
  <si>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</si>
  <si>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</si>
  <si>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</si>
  <si>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</si>
  <si>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</si>
  <si>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</si>
  <si>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</si>
  <si>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</si>
  <si>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</si>
  <si>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</si>
  <si>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</si>
  <si>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</si>
  <si>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</si>
  <si>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</si>
  <si>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</si>
  <si>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</si>
  <si>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</si>
  <si>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</si>
  <si>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</si>
  <si>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</si>
  <si>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</si>
  <si>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</si>
  <si>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</si>
  <si>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</si>
  <si>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</si>
  <si>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</si>
  <si>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</si>
  <si>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</si>
  <si>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</si>
  <si>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</si>
  <si>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</si>
  <si>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</si>
  <si>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</si>
  <si>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</si>
  <si>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</si>
  <si>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</si>
  <si>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</si>
  <si>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</si>
  <si>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</si>
  <si>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</si>
  <si>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</si>
  <si>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</si>
  <si>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</si>
  <si>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</si>
  <si>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</si>
  <si>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</si>
  <si>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</si>
  <si>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</si>
  <si>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</si>
  <si>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</si>
  <si>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</si>
  <si>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</si>
  <si>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</si>
  <si>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</si>
  <si>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</si>
  <si>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</si>
  <si>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</si>
  <si>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</si>
  <si>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</si>
  <si>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</si>
  <si>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</si>
  <si>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</si>
  <si>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</si>
  <si>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</si>
  <si>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</si>
  <si>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</si>
  <si>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</si>
  <si>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</si>
  <si>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</si>
  <si>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</si>
  <si>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</si>
  <si>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</si>
  <si>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</si>
  <si>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</si>
  <si>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</si>
  <si>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</si>
  <si>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</si>
  <si>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</si>
  <si>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</si>
  <si>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</si>
  <si>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</si>
  <si>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</si>
  <si>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</si>
  <si>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</si>
  <si>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</si>
  <si>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</si>
  <si>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</si>
  <si>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</si>
  <si>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</si>
  <si>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</si>
  <si>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</si>
  <si>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</si>
  <si>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</si>
  <si>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</si>
  <si>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</si>
  <si>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</si>
  <si>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Islanded-W2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</si>
  <si>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</si>
  <si>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</si>
  <si>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</si>
  <si>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</si>
  <si>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</si>
  <si>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</si>
  <si>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</si>
  <si>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</si>
  <si>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Base-case</t>
  </si>
  <si>
    <t>Product/Reactant13</t>
  </si>
  <si>
    <t>MeOH - Biogas - SOEC</t>
  </si>
  <si>
    <t>MeOH biogas H2</t>
  </si>
  <si>
    <t>MeOH - Biogas - None</t>
  </si>
  <si>
    <t>MeOH biogas</t>
  </si>
  <si>
    <t>Biogas w H2</t>
  </si>
  <si>
    <t>Reactant14</t>
  </si>
  <si>
    <t>Biogas wo H2</t>
  </si>
  <si>
    <t>Based on Moioli2022</t>
  </si>
  <si>
    <t>Based on Moioli2022 case 1b.</t>
  </si>
  <si>
    <t>Based on Ghosh2019 - case 2</t>
  </si>
  <si>
    <t>Based on Ghosh2019 - case 2. Assuming biogas use as seen in Moioli2022.</t>
  </si>
  <si>
    <t>Based on Ghosh2019. Power generation is from turbines utilizing excess energy from combustion of biogas processes.</t>
  </si>
  <si>
    <t>Based on Moioli2022 case 1a.</t>
  </si>
  <si>
    <t>Based on Ghosh2019 - is CO2 sourced from biogas so not a net addition to the carbon cycle.</t>
  </si>
  <si>
    <t>Based on ENS2014. Higher range of biogas price estimate.</t>
  </si>
  <si>
    <t>Based on ENS2014. Average price level of biogas.</t>
  </si>
  <si>
    <t>Based on ENS2014. Lower range of biogas price estimate.</t>
  </si>
  <si>
    <t>BGH2-2030 MeOH from Biogas</t>
  </si>
  <si>
    <t>Moioli2022</t>
  </si>
  <si>
    <t>Eco-Techno-Economic Analysis of Methanol Production from Biogas and Power-to-X</t>
  </si>
  <si>
    <t>Moioli</t>
  </si>
  <si>
    <t>https://pubs.acs.org/doi/epdf/10.1021/acs.iecr.1c04682</t>
  </si>
  <si>
    <t>Ghosh2019</t>
  </si>
  <si>
    <t>Biogas to methanol: A comparison of conversion processes involving direct carbon dioxide hydrogenation and via reverse water gas shift reaction</t>
  </si>
  <si>
    <t>Ghosh</t>
  </si>
  <si>
    <t>ENS2014</t>
  </si>
  <si>
    <t>Biogas i Danmark – status, barrierer og perspektiver</t>
  </si>
  <si>
    <t>Energistyrelsen</t>
  </si>
  <si>
    <t>Numbers are perhaps outdated</t>
  </si>
  <si>
    <t>https://ens.dk/sites/ens.dk/files/Bioenergi/biogas_i_danmark_-_analyse_2014-final.pdf</t>
  </si>
  <si>
    <t>https://global-uploads.webflow.com/628dfad4d3a01f893b381f47/63ff3b262544944294815ea1_Biogasplan%20Bornholm%20Marts%202023%20Final.pdf</t>
  </si>
  <si>
    <t>Based on Biogasplan2023.</t>
  </si>
  <si>
    <t>Biogasplan2023</t>
  </si>
  <si>
    <t>Biogasplan Bornholm</t>
  </si>
  <si>
    <t>Bornholms Landbrug og Fødevarer</t>
  </si>
  <si>
    <t>Islanded-BG</t>
  </si>
  <si>
    <t>Islanded-BGH2</t>
  </si>
  <si>
    <t>Grid-BGH2</t>
  </si>
  <si>
    <t>MeOH Biogas only - Bench fuel</t>
  </si>
  <si>
    <t>MeOH Biogas only - Worst fuel</t>
  </si>
  <si>
    <t>MeOH Biogas only - Best fuel</t>
  </si>
  <si>
    <t>BG-2030 MeOH worst fuel</t>
  </si>
  <si>
    <t>BG-2030 MeOH best fuel</t>
  </si>
  <si>
    <t>BG-2030 MeOH bench fuel</t>
  </si>
  <si>
    <t>MeOH Biogas SOEC - Bench fuel</t>
  </si>
  <si>
    <t>MeOH Biogas AEC - Bench fuel</t>
  </si>
  <si>
    <t>MeOH Biogas SOEC - Worst fuel</t>
  </si>
  <si>
    <t>BGH2-2030 MeOH AEC</t>
  </si>
  <si>
    <t>BGH2-2030 MeOH SOEC</t>
  </si>
  <si>
    <t>MeOH Biogas SOEC - Best fuel</t>
  </si>
  <si>
    <t>BGH2-2030 MeOH worst fuel</t>
  </si>
  <si>
    <t>BGH2-2030 MeOH best fuel</t>
  </si>
  <si>
    <t>Consumption of non-purified water assuming a purification efficieny of 80% based on BhmWP12023. Conversion of purified water to hydrogen is stoichiometric (9 kg of water consumed per kg of hydrogen).</t>
  </si>
  <si>
    <t>MeOH Biogas - Grid conn.</t>
  </si>
  <si>
    <t>BGH2-2030 MeOH SOEC - grid</t>
  </si>
  <si>
    <t>BGH2-2030 MeOH AEC - grid</t>
  </si>
  <si>
    <t>BGH2-2030 MeOH worst fuel - grid</t>
  </si>
  <si>
    <t>BGH2-2030 MeOH best fuel - grid</t>
  </si>
  <si>
    <t>2030hgp</t>
  </si>
  <si>
    <t>2030lgp</t>
  </si>
  <si>
    <t>MeOH Biogas - Grid conn. 2030hgp</t>
  </si>
  <si>
    <t>MeOH Biogas - Grid conn. 2030lgp</t>
  </si>
  <si>
    <t>MeOH Biogas - 2030hgp ren crit</t>
  </si>
  <si>
    <t>MeOH Biogas - 2030lgp ren crit</t>
  </si>
  <si>
    <t>2030hgp_DE</t>
  </si>
  <si>
    <t>2030lgp_DE</t>
  </si>
  <si>
    <t>https://doi.org/10.1016/j.jclepro.2019.01.171</t>
  </si>
  <si>
    <t>High biomass price</t>
  </si>
  <si>
    <t>W2-Best wheat price</t>
  </si>
  <si>
    <t>W2-Worst wheat price</t>
  </si>
  <si>
    <t>Low biomass price</t>
  </si>
  <si>
    <t>HT</t>
  </si>
  <si>
    <t>MeOH HT</t>
  </si>
  <si>
    <t>Biogas HT</t>
  </si>
  <si>
    <t>Product/Reactant15</t>
  </si>
  <si>
    <t>HT-test</t>
  </si>
  <si>
    <t>Islanded-HT</t>
  </si>
  <si>
    <t>MeOH Biogas SOEC - CO2 tax</t>
  </si>
  <si>
    <t>BGH2-2030 MeOH SOEC - CT</t>
  </si>
  <si>
    <t>Without byproduct sale</t>
  </si>
  <si>
    <t>W2-no byproducts</t>
  </si>
  <si>
    <t>High biochar value</t>
  </si>
  <si>
    <t>W2-positive biochar</t>
  </si>
  <si>
    <t>Product/Reactant16</t>
  </si>
  <si>
    <t>MeOH-straw</t>
  </si>
  <si>
    <t>MeOH CCU</t>
  </si>
  <si>
    <t>Biomass wood</t>
  </si>
  <si>
    <t>Biomass</t>
  </si>
  <si>
    <t>Biogas</t>
  </si>
  <si>
    <t>MeOH Biomass</t>
  </si>
  <si>
    <t>Wood-MeOH</t>
  </si>
  <si>
    <t>DME</t>
  </si>
  <si>
    <t>W2</t>
  </si>
  <si>
    <t>H2 pipeline to MeOH plant</t>
  </si>
  <si>
    <t>Base case</t>
  </si>
  <si>
    <t>MeOH plant - Biogas</t>
  </si>
  <si>
    <t>MeOH plant - Biogas only</t>
  </si>
  <si>
    <t>MeOH plant - Topsoe</t>
  </si>
  <si>
    <t>MeOH plant 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</si>
</sst>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"/>
    <numFmt numFmtId="167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10" borderId="7" applyNumberFormat="0" applyAlignment="0" applyProtection="0"/>
    <xf numFmtId="0" fontId="23" fillId="11" borderId="8" applyNumberFormat="0" applyAlignment="0" applyProtection="0"/>
    <xf numFmtId="0" fontId="24" fillId="11" borderId="7" applyNumberFormat="0" applyAlignment="0" applyProtection="0"/>
    <xf numFmtId="0" fontId="25" fillId="0" borderId="9" applyNumberFormat="0" applyFill="0" applyAlignment="0" applyProtection="0"/>
    <xf numFmtId="0" fontId="26" fillId="12" borderId="10" applyNumberFormat="0" applyAlignment="0" applyProtection="0"/>
    <xf numFmtId="0" fontId="2" fillId="0" borderId="0" applyNumberFormat="0" applyFill="0" applyBorder="0" applyAlignment="0" applyProtection="0"/>
    <xf numFmtId="0" fontId="1" fillId="13" borderId="11" applyNumberFormat="0" applyFont="0" applyAlignment="0" applyProtection="0"/>
    <xf numFmtId="0" fontId="27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9" fillId="9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</cellStyleXfs>
  <cellXfs count="195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15" fillId="0" borderId="0" xfId="0" applyFont="1" applyAlignment="1">
      <alignment horizontal="center" vertical="center" wrapText="1"/>
    </xf>
    <xf numFmtId="0" fontId="9" fillId="0" borderId="0" xfId="2" applyAlignment="1">
      <alignment vertical="center"/>
    </xf>
    <xf numFmtId="0" fontId="4" fillId="0" borderId="3" xfId="0" applyFont="1" applyBorder="1"/>
    <xf numFmtId="0" fontId="0" fillId="38" borderId="0" xfId="0" applyFill="1" applyAlignment="1">
      <alignment horizontal="center"/>
    </xf>
    <xf numFmtId="0" fontId="3" fillId="38" borderId="0" xfId="0" applyFont="1" applyFill="1" applyAlignment="1">
      <alignment horizontal="center"/>
    </xf>
    <xf numFmtId="0" fontId="0" fillId="38" borderId="0" xfId="0" applyFill="1"/>
    <xf numFmtId="0" fontId="3" fillId="38" borderId="0" xfId="0" applyFont="1" applyFill="1"/>
    <xf numFmtId="0" fontId="0" fillId="38" borderId="1" xfId="0" applyFill="1" applyBorder="1"/>
    <xf numFmtId="0" fontId="0" fillId="38" borderId="2" xfId="0" applyFill="1" applyBorder="1"/>
    <xf numFmtId="0" fontId="0" fillId="4" borderId="0" xfId="0" applyFill="1" applyAlignment="1">
      <alignment horizontal="center"/>
    </xf>
    <xf numFmtId="0" fontId="3" fillId="38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4" borderId="0" xfId="0" applyFont="1" applyFill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9" fontId="0" fillId="4" borderId="0" xfId="1" applyFont="1" applyFill="1"/>
    <xf numFmtId="0" fontId="0" fillId="4" borderId="0" xfId="1" applyNumberFormat="1" applyFont="1" applyFill="1"/>
    <xf numFmtId="0" fontId="4" fillId="4" borderId="0" xfId="1" applyNumberFormat="1" applyFont="1" applyFill="1"/>
    <xf numFmtId="165" fontId="0" fillId="4" borderId="0" xfId="0" applyNumberFormat="1" applyFill="1"/>
    <xf numFmtId="0" fontId="2" fillId="4" borderId="0" xfId="0" applyFont="1" applyFill="1" applyAlignment="1">
      <alignment horizontal="center"/>
    </xf>
    <xf numFmtId="1" fontId="0" fillId="4" borderId="0" xfId="0" applyNumberFormat="1" applyFill="1"/>
    <xf numFmtId="0" fontId="2" fillId="38" borderId="0" xfId="0" applyFont="1" applyFill="1"/>
    <xf numFmtId="0" fontId="2" fillId="38" borderId="0" xfId="0" applyFont="1" applyFill="1" applyAlignment="1">
      <alignment horizontal="center"/>
    </xf>
    <xf numFmtId="1" fontId="0" fillId="38" borderId="0" xfId="0" applyNumberFormat="1" applyFill="1"/>
    <xf numFmtId="0" fontId="0" fillId="38" borderId="0" xfId="0" applyFill="1" applyAlignment="1">
      <alignment horizontal="right"/>
    </xf>
    <xf numFmtId="2" fontId="0" fillId="38" borderId="0" xfId="0" applyNumberFormat="1" applyFill="1"/>
    <xf numFmtId="9" fontId="0" fillId="38" borderId="0" xfId="1" applyFont="1" applyFill="1"/>
    <xf numFmtId="0" fontId="0" fillId="38" borderId="0" xfId="1" applyNumberFormat="1" applyFont="1" applyFill="1"/>
    <xf numFmtId="167" fontId="0" fillId="38" borderId="0" xfId="0" applyNumberFormat="1" applyFill="1"/>
    <xf numFmtId="0" fontId="4" fillId="38" borderId="0" xfId="1" applyNumberFormat="1" applyFont="1" applyFill="1"/>
    <xf numFmtId="0" fontId="4" fillId="38" borderId="0" xfId="0" applyFont="1" applyFill="1" applyAlignment="1">
      <alignment horizontal="center"/>
    </xf>
    <xf numFmtId="0" fontId="2" fillId="39" borderId="0" xfId="0" applyFont="1" applyFill="1"/>
    <xf numFmtId="0" fontId="2" fillId="39" borderId="0" xfId="0" applyFont="1" applyFill="1" applyAlignment="1">
      <alignment horizontal="center"/>
    </xf>
    <xf numFmtId="0" fontId="3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" fontId="0" fillId="39" borderId="0" xfId="0" applyNumberFormat="1" applyFill="1"/>
    <xf numFmtId="0" fontId="0" fillId="39" borderId="0" xfId="0" applyFill="1" applyAlignment="1">
      <alignment horizontal="right"/>
    </xf>
    <xf numFmtId="0" fontId="0" fillId="39" borderId="0" xfId="0" applyFill="1"/>
    <xf numFmtId="2" fontId="0" fillId="39" borderId="0" xfId="0" applyNumberFormat="1" applyFill="1"/>
    <xf numFmtId="166" fontId="0" fillId="39" borderId="0" xfId="0" applyNumberFormat="1" applyFill="1"/>
    <xf numFmtId="9" fontId="0" fillId="39" borderId="0" xfId="1" applyFont="1" applyFill="1"/>
    <xf numFmtId="167" fontId="0" fillId="39" borderId="0" xfId="0" applyNumberFormat="1" applyFill="1"/>
    <xf numFmtId="0" fontId="4" fillId="39" borderId="0" xfId="1" applyNumberFormat="1" applyFont="1" applyFill="1"/>
    <xf numFmtId="0" fontId="0" fillId="39" borderId="0" xfId="1" applyNumberFormat="1" applyFont="1" applyFill="1"/>
    <xf numFmtId="0" fontId="2" fillId="40" borderId="0" xfId="0" applyFont="1" applyFill="1"/>
    <xf numFmtId="0" fontId="2" fillId="40" borderId="0" xfId="0" applyFont="1" applyFill="1" applyAlignment="1">
      <alignment horizontal="center"/>
    </xf>
    <xf numFmtId="0" fontId="3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1" fontId="0" fillId="40" borderId="0" xfId="0" applyNumberFormat="1" applyFill="1"/>
    <xf numFmtId="0" fontId="0" fillId="40" borderId="0" xfId="0" applyFill="1" applyAlignment="1">
      <alignment horizontal="right"/>
    </xf>
    <xf numFmtId="0" fontId="0" fillId="40" borderId="0" xfId="0" applyFill="1"/>
    <xf numFmtId="166" fontId="0" fillId="40" borderId="0" xfId="0" applyNumberFormat="1" applyFill="1"/>
    <xf numFmtId="2" fontId="0" fillId="40" borderId="0" xfId="0" applyNumberFormat="1" applyFill="1"/>
    <xf numFmtId="9" fontId="0" fillId="40" borderId="0" xfId="1" applyFont="1" applyFill="1"/>
    <xf numFmtId="0" fontId="0" fillId="40" borderId="0" xfId="1" applyNumberFormat="1" applyFont="1" applyFill="1"/>
    <xf numFmtId="167" fontId="0" fillId="40" borderId="0" xfId="0" applyNumberFormat="1" applyFill="1"/>
    <xf numFmtId="0" fontId="4" fillId="40" borderId="0" xfId="1" applyNumberFormat="1" applyFont="1" applyFill="1"/>
    <xf numFmtId="0" fontId="2" fillId="41" borderId="0" xfId="0" applyFont="1" applyFill="1"/>
    <xf numFmtId="0" fontId="4" fillId="41" borderId="0" xfId="0" applyFont="1" applyFill="1" applyAlignment="1">
      <alignment horizontal="center"/>
    </xf>
    <xf numFmtId="0" fontId="3" fillId="41" borderId="0" xfId="0" applyFont="1" applyFill="1" applyAlignment="1">
      <alignment horizontal="center"/>
    </xf>
    <xf numFmtId="0" fontId="0" fillId="41" borderId="0" xfId="0" applyFill="1" applyAlignment="1">
      <alignment horizontal="center"/>
    </xf>
    <xf numFmtId="0" fontId="0" fillId="41" borderId="0" xfId="0" applyFill="1"/>
    <xf numFmtId="0" fontId="0" fillId="41" borderId="0" xfId="0" applyFill="1" applyAlignment="1">
      <alignment horizontal="right"/>
    </xf>
    <xf numFmtId="9" fontId="0" fillId="41" borderId="0" xfId="1" applyFont="1" applyFill="1"/>
    <xf numFmtId="0" fontId="0" fillId="41" borderId="0" xfId="1" applyNumberFormat="1" applyFont="1" applyFill="1"/>
    <xf numFmtId="0" fontId="2" fillId="41" borderId="0" xfId="0" applyFont="1" applyFill="1" applyAlignment="1">
      <alignment horizontal="center"/>
    </xf>
    <xf numFmtId="1" fontId="0" fillId="41" borderId="0" xfId="0" applyNumberFormat="1" applyFill="1"/>
    <xf numFmtId="0" fontId="3" fillId="40" borderId="0" xfId="0" applyFont="1" applyFill="1"/>
    <xf numFmtId="0" fontId="3" fillId="40" borderId="0" xfId="0" applyFont="1" applyFill="1" applyAlignment="1">
      <alignment horizontal="left"/>
    </xf>
    <xf numFmtId="0" fontId="0" fillId="40" borderId="1" xfId="0" applyFill="1" applyBorder="1"/>
    <xf numFmtId="0" fontId="0" fillId="40" borderId="2" xfId="0" applyFill="1" applyBorder="1"/>
    <xf numFmtId="0" fontId="3" fillId="39" borderId="0" xfId="0" applyFont="1" applyFill="1"/>
    <xf numFmtId="0" fontId="0" fillId="39" borderId="1" xfId="0" applyFill="1" applyBorder="1"/>
    <xf numFmtId="0" fontId="0" fillId="39" borderId="2" xfId="0" applyFill="1" applyBorder="1"/>
    <xf numFmtId="0" fontId="3" fillId="41" borderId="0" xfId="0" applyFont="1" applyFill="1"/>
    <xf numFmtId="0" fontId="0" fillId="41" borderId="1" xfId="0" applyFill="1" applyBorder="1"/>
    <xf numFmtId="0" fontId="0" fillId="41" borderId="2" xfId="0" applyFill="1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0" fillId="38" borderId="0" xfId="0" applyFill="1" applyBorder="1"/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38" borderId="0" xfId="0" applyFill="1" applyBorder="1" applyAlignment="1">
      <alignment horizontal="left"/>
    </xf>
    <xf numFmtId="0" fontId="2" fillId="42" borderId="0" xfId="0" applyFont="1" applyFill="1"/>
    <xf numFmtId="0" fontId="0" fillId="42" borderId="0" xfId="0" applyFill="1" applyAlignment="1">
      <alignment horizontal="center"/>
    </xf>
    <xf numFmtId="0" fontId="3" fillId="42" borderId="0" xfId="0" applyFont="1" applyFill="1" applyAlignment="1">
      <alignment horizontal="center"/>
    </xf>
    <xf numFmtId="1" fontId="0" fillId="42" borderId="0" xfId="0" applyNumberFormat="1" applyFill="1"/>
    <xf numFmtId="0" fontId="0" fillId="42" borderId="0" xfId="0" applyFill="1" applyAlignment="1">
      <alignment horizontal="right"/>
    </xf>
    <xf numFmtId="0" fontId="0" fillId="42" borderId="0" xfId="0" applyFill="1"/>
    <xf numFmtId="166" fontId="0" fillId="42" borderId="0" xfId="0" applyNumberFormat="1" applyFill="1"/>
    <xf numFmtId="2" fontId="0" fillId="42" borderId="0" xfId="0" applyNumberFormat="1" applyFill="1"/>
    <xf numFmtId="9" fontId="0" fillId="42" borderId="0" xfId="1" applyFont="1" applyFill="1"/>
    <xf numFmtId="0" fontId="0" fillId="42" borderId="0" xfId="1" applyNumberFormat="1" applyFont="1" applyFill="1"/>
    <xf numFmtId="0" fontId="4" fillId="42" borderId="0" xfId="1" applyNumberFormat="1" applyFont="1" applyFill="1"/>
    <xf numFmtId="2" fontId="0" fillId="42" borderId="0" xfId="1" applyNumberFormat="1" applyFont="1" applyFill="1"/>
    <xf numFmtId="1" fontId="0" fillId="42" borderId="0" xfId="1" applyNumberFormat="1" applyFont="1" applyFill="1"/>
    <xf numFmtId="166" fontId="4" fillId="42" borderId="0" xfId="1" applyNumberFormat="1" applyFont="1" applyFill="1"/>
    <xf numFmtId="0" fontId="3" fillId="42" borderId="0" xfId="0" applyFont="1" applyFill="1"/>
    <xf numFmtId="0" fontId="0" fillId="42" borderId="1" xfId="0" applyFill="1" applyBorder="1"/>
    <xf numFmtId="0" fontId="0" fillId="42" borderId="2" xfId="0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4" fillId="41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0" fillId="41" borderId="0" xfId="0" applyFill="1" applyBorder="1"/>
    <xf numFmtId="0" fontId="0" fillId="40" borderId="0" xfId="0" applyFill="1" applyBorder="1"/>
    <xf numFmtId="0" fontId="0" fillId="39" borderId="0" xfId="0" applyFill="1" applyBorder="1"/>
    <xf numFmtId="0" fontId="4" fillId="42" borderId="0" xfId="0" applyFont="1" applyFill="1"/>
    <xf numFmtId="0" fontId="6" fillId="41" borderId="0" xfId="0" applyFont="1" applyFill="1" applyAlignment="1">
      <alignment horizontal="center"/>
    </xf>
  </cellXfs>
  <cellStyles count="44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 xr:uid="{7E8EAC49-FEE3-4E83-B96D-D6D986406565}"/>
    <cellStyle name="60% - Accent2 2" xfId="39" xr:uid="{61EC3771-E369-4209-9DFA-FF7ABDE99D04}"/>
    <cellStyle name="60% - Accent3 2" xfId="40" xr:uid="{2C96BD72-B71F-4220-ABA5-C51F4B2A5CB2}"/>
    <cellStyle name="60% - Accent4 2" xfId="41" xr:uid="{539F7731-FA0F-4489-AE5B-EB2284AD8F37}"/>
    <cellStyle name="60% - Accent5 2" xfId="42" xr:uid="{AC2C3745-296D-4311-802F-A2F84EB1DA51}"/>
    <cellStyle name="60% - Accent6 2" xfId="43" xr:uid="{53754796-09D2-42FB-B49F-F53E2B40C14B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0" builtinId="20" customBuiltin="1"/>
    <cellStyle name="Linked Cell" xfId="13" builtinId="24" customBuiltin="1"/>
    <cellStyle name="Neutral 2" xfId="37" xr:uid="{ECFF19EE-E461-4B29-AF30-03EBF2A09DD4}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3" builtinId="15" customBuiltin="1"/>
    <cellStyle name="Total" xfId="18" builtinId="25" customBuiltin="1"/>
    <cellStyle name="Warning Text" xfId="15" builtinId="11" customBuiltin="1"/>
  </cellStyles>
  <dxfs count="18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26" Type="http://schemas.openxmlformats.org/officeDocument/2006/relationships/hyperlink" Target="https://doi.org/10.1016/j.jclepro.2019.01.171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Relationship Id="rId27" Type="http://schemas.openxmlformats.org/officeDocument/2006/relationships/hyperlink" Target="https://pubs.acs.org/doi/epdf/10.1021/acs.iecr.1c046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69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D18" sqref="D18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8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6">
        <v>1</v>
      </c>
      <c r="B3" s="14">
        <f>$A$3+(($D$3-$A$3)/($D$2-2020))*(B2-2020)</f>
        <v>1</v>
      </c>
      <c r="C3" s="14">
        <f>$A$3+(($D$3-$A$3)/($D$2-2020))*(C2-2020)</f>
        <v>1</v>
      </c>
      <c r="D3" s="26">
        <v>1</v>
      </c>
      <c r="E3" s="13"/>
    </row>
    <row r="4" spans="1:175" ht="16.05" customHeight="1" x14ac:dyDescent="0.3">
      <c r="A4" s="84" t="s">
        <v>0</v>
      </c>
      <c r="B4" s="84"/>
      <c r="C4" s="84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406</v>
      </c>
      <c r="M4" s="29" t="s">
        <v>3</v>
      </c>
      <c r="N4" s="29" t="s">
        <v>269</v>
      </c>
      <c r="O4" s="5" t="s">
        <v>6</v>
      </c>
      <c r="P4" s="82" t="s">
        <v>79</v>
      </c>
      <c r="Q4" s="82"/>
      <c r="R4" s="82"/>
      <c r="S4" s="82"/>
      <c r="T4" s="82"/>
      <c r="U4" s="82"/>
      <c r="V4" s="82"/>
      <c r="W4" s="82"/>
      <c r="X4" s="82"/>
      <c r="Y4" s="82"/>
      <c r="Z4" s="82" t="s">
        <v>80</v>
      </c>
      <c r="AA4" s="82"/>
      <c r="AB4" s="82"/>
      <c r="AC4" s="82"/>
      <c r="AD4" s="82"/>
      <c r="AE4" s="82"/>
      <c r="AF4" s="82"/>
      <c r="AG4" s="82"/>
      <c r="AH4" s="82"/>
      <c r="AI4" s="82"/>
      <c r="AJ4" s="82" t="s">
        <v>405</v>
      </c>
      <c r="AK4" s="82"/>
      <c r="AL4" s="82"/>
      <c r="AM4" s="82"/>
      <c r="AN4" s="82"/>
      <c r="AO4" s="82"/>
      <c r="AP4" s="82"/>
      <c r="AQ4" s="82"/>
      <c r="AR4" s="82"/>
      <c r="AS4" s="82"/>
      <c r="AT4" s="82" t="s">
        <v>81</v>
      </c>
      <c r="AU4" s="82"/>
      <c r="AV4" s="82"/>
      <c r="AW4" s="82"/>
      <c r="AX4" s="82"/>
      <c r="AY4" s="82"/>
      <c r="AZ4" s="82"/>
      <c r="BA4" s="82"/>
      <c r="BB4" s="82"/>
      <c r="BC4" s="29"/>
      <c r="BD4" s="82" t="s">
        <v>82</v>
      </c>
      <c r="BE4" s="82"/>
      <c r="BF4" s="82"/>
      <c r="BG4" s="82"/>
      <c r="BH4" s="82"/>
      <c r="BI4" s="82"/>
      <c r="BJ4" s="82"/>
      <c r="BK4" s="82"/>
      <c r="BL4" s="82"/>
      <c r="BM4" s="29"/>
      <c r="BN4" s="82" t="s">
        <v>83</v>
      </c>
      <c r="BO4" s="82"/>
      <c r="BP4" s="82"/>
      <c r="BQ4" s="82"/>
      <c r="BR4" s="82"/>
      <c r="BS4" s="82"/>
      <c r="BT4" s="82"/>
      <c r="BU4" s="82"/>
      <c r="BV4" s="82"/>
      <c r="BW4" s="29"/>
      <c r="BX4" s="82" t="s">
        <v>84</v>
      </c>
      <c r="BY4" s="82"/>
      <c r="BZ4" s="82"/>
      <c r="CA4" s="82"/>
      <c r="CB4" s="82"/>
      <c r="CC4" s="82"/>
      <c r="CD4" s="82"/>
      <c r="CE4" s="82"/>
      <c r="CF4" s="82"/>
      <c r="CG4" s="29"/>
      <c r="CH4" s="82" t="s">
        <v>183</v>
      </c>
      <c r="CI4" s="82"/>
      <c r="CJ4" s="82"/>
      <c r="CK4" s="82"/>
      <c r="CL4" s="82"/>
      <c r="CM4" s="82"/>
      <c r="CN4" s="82"/>
      <c r="CO4" s="82"/>
      <c r="CP4" s="82"/>
      <c r="CQ4" s="29"/>
      <c r="CR4" s="82" t="s">
        <v>184</v>
      </c>
      <c r="CS4" s="82"/>
      <c r="CT4" s="82"/>
      <c r="CU4" s="82"/>
      <c r="CV4" s="82"/>
      <c r="CW4" s="82"/>
      <c r="CX4" s="82"/>
      <c r="CY4" s="82"/>
      <c r="CZ4" s="82"/>
      <c r="DA4" s="29"/>
      <c r="DB4" s="82" t="s">
        <v>185</v>
      </c>
      <c r="DC4" s="82"/>
      <c r="DD4" s="82"/>
      <c r="DE4" s="82"/>
      <c r="DF4" s="82"/>
      <c r="DG4" s="82"/>
      <c r="DH4" s="82"/>
      <c r="DI4" s="82"/>
      <c r="DJ4" s="82"/>
      <c r="DK4" s="29"/>
      <c r="DL4" s="82" t="s">
        <v>186</v>
      </c>
      <c r="DM4" s="82"/>
      <c r="DN4" s="82"/>
      <c r="DO4" s="82"/>
      <c r="DP4" s="82"/>
      <c r="DQ4" s="82"/>
      <c r="DR4" s="82"/>
      <c r="DS4" s="82"/>
      <c r="DT4" s="82"/>
      <c r="DU4" s="29"/>
      <c r="DV4" s="82" t="s">
        <v>187</v>
      </c>
      <c r="DW4" s="82"/>
      <c r="DX4" s="82"/>
      <c r="DY4" s="82"/>
      <c r="DZ4" s="82"/>
      <c r="EA4" s="82"/>
      <c r="EB4" s="82"/>
      <c r="EC4" s="82"/>
      <c r="ED4" s="82"/>
      <c r="EE4" s="29"/>
      <c r="EF4" s="82" t="s">
        <v>132</v>
      </c>
      <c r="EG4" s="82"/>
      <c r="EH4" s="82"/>
      <c r="EI4" s="82"/>
      <c r="EJ4" s="82"/>
      <c r="EK4" s="82"/>
      <c r="EL4" s="82"/>
      <c r="EM4" s="82"/>
      <c r="EN4" s="82"/>
      <c r="EO4" s="29"/>
      <c r="EP4" s="82" t="s">
        <v>85</v>
      </c>
      <c r="EQ4" s="82"/>
      <c r="ER4" s="82"/>
      <c r="ES4" s="82"/>
      <c r="ET4" s="82"/>
      <c r="EU4" s="82"/>
      <c r="EV4" s="82"/>
      <c r="EW4" s="82"/>
      <c r="EX4" s="82"/>
      <c r="EY4" s="29"/>
      <c r="EZ4" s="82" t="s">
        <v>178</v>
      </c>
      <c r="FA4" s="82"/>
      <c r="FB4" s="82"/>
      <c r="FC4" s="82"/>
      <c r="FD4" s="82"/>
      <c r="FE4" s="82"/>
      <c r="FF4" s="82"/>
      <c r="FG4" s="82"/>
      <c r="FH4" s="82"/>
      <c r="FI4" s="29"/>
      <c r="FJ4" s="82" t="s">
        <v>86</v>
      </c>
      <c r="FK4" s="82"/>
      <c r="FL4" s="82"/>
      <c r="FM4" s="82"/>
      <c r="FN4" s="82"/>
      <c r="FO4" s="82"/>
      <c r="FP4" s="82"/>
      <c r="FQ4" s="82"/>
      <c r="FR4" s="82"/>
      <c r="FS4" s="82"/>
    </row>
    <row r="5" spans="1:175" s="5" customFormat="1" ht="15" customHeight="1" x14ac:dyDescent="0.3">
      <c r="A5" s="37"/>
      <c r="B5" s="85" t="s">
        <v>7</v>
      </c>
      <c r="C5" s="86" t="s">
        <v>8</v>
      </c>
      <c r="D5" s="85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406</v>
      </c>
      <c r="M5" s="23" t="s">
        <v>3</v>
      </c>
      <c r="N5" s="23" t="s">
        <v>269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405</v>
      </c>
      <c r="AK5" s="23" t="s">
        <v>405</v>
      </c>
      <c r="AL5" s="23" t="s">
        <v>405</v>
      </c>
      <c r="AM5" s="23" t="s">
        <v>405</v>
      </c>
      <c r="AN5" s="23" t="s">
        <v>405</v>
      </c>
      <c r="AO5" s="23" t="s">
        <v>405</v>
      </c>
      <c r="AP5" s="23" t="s">
        <v>405</v>
      </c>
      <c r="AQ5" s="23" t="s">
        <v>405</v>
      </c>
      <c r="AR5" s="23" t="s">
        <v>405</v>
      </c>
      <c r="AS5" s="23" t="s">
        <v>405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85"/>
      <c r="C6" s="86"/>
      <c r="D6" s="85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316</v>
      </c>
      <c r="Q6" s="67" t="s">
        <v>321</v>
      </c>
      <c r="R6" s="17" t="s">
        <v>317</v>
      </c>
      <c r="S6" s="17" t="s">
        <v>284</v>
      </c>
      <c r="T6" s="67" t="s">
        <v>322</v>
      </c>
      <c r="U6" s="17" t="s">
        <v>318</v>
      </c>
      <c r="V6" s="67" t="s">
        <v>323</v>
      </c>
      <c r="W6" s="17" t="s">
        <v>319</v>
      </c>
      <c r="X6" s="67" t="s">
        <v>324</v>
      </c>
      <c r="Y6" s="17" t="s">
        <v>320</v>
      </c>
      <c r="Z6" s="17" t="s">
        <v>316</v>
      </c>
      <c r="AA6" s="67" t="s">
        <v>321</v>
      </c>
      <c r="AB6" s="17" t="s">
        <v>317</v>
      </c>
      <c r="AC6" s="17" t="s">
        <v>284</v>
      </c>
      <c r="AD6" s="67" t="s">
        <v>322</v>
      </c>
      <c r="AE6" s="17" t="s">
        <v>318</v>
      </c>
      <c r="AF6" s="67" t="s">
        <v>323</v>
      </c>
      <c r="AG6" s="17" t="s">
        <v>319</v>
      </c>
      <c r="AH6" s="67" t="s">
        <v>324</v>
      </c>
      <c r="AI6" s="17" t="s">
        <v>320</v>
      </c>
      <c r="AJ6" s="17" t="s">
        <v>316</v>
      </c>
      <c r="AK6" s="67" t="s">
        <v>321</v>
      </c>
      <c r="AL6" s="17" t="s">
        <v>317</v>
      </c>
      <c r="AM6" s="17" t="s">
        <v>284</v>
      </c>
      <c r="AN6" s="67" t="s">
        <v>322</v>
      </c>
      <c r="AO6" s="17" t="s">
        <v>318</v>
      </c>
      <c r="AP6" s="67" t="s">
        <v>323</v>
      </c>
      <c r="AQ6" s="17" t="s">
        <v>319</v>
      </c>
      <c r="AR6" s="67" t="s">
        <v>324</v>
      </c>
      <c r="AS6" s="17" t="s">
        <v>320</v>
      </c>
      <c r="AT6" s="17" t="s">
        <v>316</v>
      </c>
      <c r="AU6" s="67" t="s">
        <v>321</v>
      </c>
      <c r="AV6" s="17" t="s">
        <v>317</v>
      </c>
      <c r="AW6" s="17" t="s">
        <v>284</v>
      </c>
      <c r="AX6" s="67" t="s">
        <v>322</v>
      </c>
      <c r="AY6" s="17" t="s">
        <v>318</v>
      </c>
      <c r="AZ6" s="67" t="s">
        <v>323</v>
      </c>
      <c r="BA6" s="17" t="s">
        <v>319</v>
      </c>
      <c r="BB6" s="67" t="s">
        <v>324</v>
      </c>
      <c r="BC6" s="17" t="s">
        <v>320</v>
      </c>
      <c r="BD6" s="17" t="s">
        <v>316</v>
      </c>
      <c r="BE6" s="67" t="s">
        <v>321</v>
      </c>
      <c r="BF6" s="17" t="s">
        <v>317</v>
      </c>
      <c r="BG6" s="17" t="s">
        <v>284</v>
      </c>
      <c r="BH6" s="67" t="s">
        <v>322</v>
      </c>
      <c r="BI6" s="17" t="s">
        <v>318</v>
      </c>
      <c r="BJ6" s="67" t="s">
        <v>323</v>
      </c>
      <c r="BK6" s="17" t="s">
        <v>319</v>
      </c>
      <c r="BL6" s="67" t="s">
        <v>324</v>
      </c>
      <c r="BM6" s="17" t="s">
        <v>320</v>
      </c>
      <c r="BN6" s="17" t="s">
        <v>316</v>
      </c>
      <c r="BO6" s="67" t="s">
        <v>321</v>
      </c>
      <c r="BP6" s="17" t="s">
        <v>317</v>
      </c>
      <c r="BQ6" s="17" t="s">
        <v>284</v>
      </c>
      <c r="BR6" s="67" t="s">
        <v>322</v>
      </c>
      <c r="BS6" s="17" t="s">
        <v>318</v>
      </c>
      <c r="BT6" s="67" t="s">
        <v>323</v>
      </c>
      <c r="BU6" s="17" t="s">
        <v>319</v>
      </c>
      <c r="BV6" s="67" t="s">
        <v>324</v>
      </c>
      <c r="BW6" s="17" t="s">
        <v>320</v>
      </c>
      <c r="BX6" s="17" t="s">
        <v>316</v>
      </c>
      <c r="BY6" s="67" t="s">
        <v>321</v>
      </c>
      <c r="BZ6" s="17" t="s">
        <v>317</v>
      </c>
      <c r="CA6" s="17" t="s">
        <v>284</v>
      </c>
      <c r="CB6" s="67" t="s">
        <v>322</v>
      </c>
      <c r="CC6" s="17" t="s">
        <v>318</v>
      </c>
      <c r="CD6" s="67" t="s">
        <v>323</v>
      </c>
      <c r="CE6" s="17" t="s">
        <v>319</v>
      </c>
      <c r="CF6" s="67" t="s">
        <v>324</v>
      </c>
      <c r="CG6" s="17" t="s">
        <v>320</v>
      </c>
      <c r="CH6" s="17" t="s">
        <v>316</v>
      </c>
      <c r="CI6" s="67" t="s">
        <v>321</v>
      </c>
      <c r="CJ6" s="17" t="s">
        <v>317</v>
      </c>
      <c r="CK6" s="67" t="s">
        <v>284</v>
      </c>
      <c r="CL6" s="67" t="s">
        <v>322</v>
      </c>
      <c r="CM6" s="17" t="s">
        <v>318</v>
      </c>
      <c r="CN6" s="67" t="s">
        <v>323</v>
      </c>
      <c r="CO6" s="17" t="s">
        <v>319</v>
      </c>
      <c r="CP6" s="67" t="s">
        <v>324</v>
      </c>
      <c r="CQ6" s="17" t="s">
        <v>320</v>
      </c>
      <c r="CR6" s="17" t="s">
        <v>316</v>
      </c>
      <c r="CS6" s="67" t="s">
        <v>321</v>
      </c>
      <c r="CT6" s="17" t="s">
        <v>317</v>
      </c>
      <c r="CU6" s="17" t="s">
        <v>284</v>
      </c>
      <c r="CV6" s="67" t="s">
        <v>322</v>
      </c>
      <c r="CW6" s="17" t="s">
        <v>318</v>
      </c>
      <c r="CX6" s="67" t="s">
        <v>323</v>
      </c>
      <c r="CY6" s="17" t="s">
        <v>319</v>
      </c>
      <c r="CZ6" s="67" t="s">
        <v>324</v>
      </c>
      <c r="DA6" s="17" t="s">
        <v>320</v>
      </c>
      <c r="DB6" s="17" t="s">
        <v>316</v>
      </c>
      <c r="DC6" s="67" t="s">
        <v>321</v>
      </c>
      <c r="DD6" s="17" t="s">
        <v>317</v>
      </c>
      <c r="DE6" s="17" t="s">
        <v>284</v>
      </c>
      <c r="DF6" s="67" t="s">
        <v>322</v>
      </c>
      <c r="DG6" s="17" t="s">
        <v>318</v>
      </c>
      <c r="DH6" s="67" t="s">
        <v>323</v>
      </c>
      <c r="DI6" s="17" t="s">
        <v>319</v>
      </c>
      <c r="DJ6" s="67" t="s">
        <v>324</v>
      </c>
      <c r="DK6" s="17" t="s">
        <v>320</v>
      </c>
      <c r="DL6" s="17" t="s">
        <v>316</v>
      </c>
      <c r="DM6" s="67" t="s">
        <v>321</v>
      </c>
      <c r="DN6" s="17" t="s">
        <v>317</v>
      </c>
      <c r="DO6" s="17" t="s">
        <v>284</v>
      </c>
      <c r="DP6" s="67" t="s">
        <v>322</v>
      </c>
      <c r="DQ6" s="17" t="s">
        <v>318</v>
      </c>
      <c r="DR6" s="67" t="s">
        <v>323</v>
      </c>
      <c r="DS6" s="17" t="s">
        <v>319</v>
      </c>
      <c r="DT6" s="67" t="s">
        <v>324</v>
      </c>
      <c r="DU6" s="17" t="s">
        <v>320</v>
      </c>
      <c r="DV6" s="17" t="s">
        <v>316</v>
      </c>
      <c r="DW6" s="67" t="s">
        <v>321</v>
      </c>
      <c r="DX6" s="17" t="s">
        <v>317</v>
      </c>
      <c r="DY6" s="17" t="s">
        <v>284</v>
      </c>
      <c r="DZ6" s="67" t="s">
        <v>322</v>
      </c>
      <c r="EA6" s="17" t="s">
        <v>318</v>
      </c>
      <c r="EB6" s="67" t="s">
        <v>323</v>
      </c>
      <c r="EC6" s="17" t="s">
        <v>319</v>
      </c>
      <c r="ED6" s="67" t="s">
        <v>324</v>
      </c>
      <c r="EE6" s="17" t="s">
        <v>320</v>
      </c>
      <c r="EF6" s="17" t="s">
        <v>316</v>
      </c>
      <c r="EG6" s="67" t="s">
        <v>321</v>
      </c>
      <c r="EH6" s="17" t="s">
        <v>317</v>
      </c>
      <c r="EI6" s="17" t="s">
        <v>284</v>
      </c>
      <c r="EJ6" s="67" t="s">
        <v>322</v>
      </c>
      <c r="EK6" s="17" t="s">
        <v>318</v>
      </c>
      <c r="EL6" s="67" t="s">
        <v>323</v>
      </c>
      <c r="EM6" s="17" t="s">
        <v>319</v>
      </c>
      <c r="EN6" s="67" t="s">
        <v>324</v>
      </c>
      <c r="EO6" s="17" t="s">
        <v>320</v>
      </c>
      <c r="EP6" s="17" t="s">
        <v>316</v>
      </c>
      <c r="EQ6" s="67" t="s">
        <v>321</v>
      </c>
      <c r="ER6" s="17" t="s">
        <v>317</v>
      </c>
      <c r="ES6" s="17" t="s">
        <v>284</v>
      </c>
      <c r="ET6" s="67" t="s">
        <v>322</v>
      </c>
      <c r="EU6" s="17" t="s">
        <v>318</v>
      </c>
      <c r="EV6" s="67" t="s">
        <v>323</v>
      </c>
      <c r="EW6" s="17" t="s">
        <v>319</v>
      </c>
      <c r="EX6" s="67" t="s">
        <v>324</v>
      </c>
      <c r="EY6" s="17" t="s">
        <v>320</v>
      </c>
      <c r="EZ6" s="17" t="s">
        <v>316</v>
      </c>
      <c r="FA6" s="67" t="s">
        <v>321</v>
      </c>
      <c r="FB6" s="17" t="s">
        <v>317</v>
      </c>
      <c r="FC6" s="17" t="s">
        <v>284</v>
      </c>
      <c r="FD6" s="67" t="s">
        <v>322</v>
      </c>
      <c r="FE6" s="17" t="s">
        <v>318</v>
      </c>
      <c r="FF6" s="67" t="s">
        <v>323</v>
      </c>
      <c r="FG6" s="17" t="s">
        <v>319</v>
      </c>
      <c r="FH6" s="67" t="s">
        <v>324</v>
      </c>
      <c r="FI6" s="17" t="s">
        <v>320</v>
      </c>
      <c r="FJ6" s="17" t="s">
        <v>316</v>
      </c>
      <c r="FK6" s="67" t="s">
        <v>321</v>
      </c>
      <c r="FL6" s="17" t="s">
        <v>317</v>
      </c>
      <c r="FM6" s="17" t="s">
        <v>284</v>
      </c>
      <c r="FN6" s="67" t="s">
        <v>322</v>
      </c>
      <c r="FO6" s="17" t="s">
        <v>318</v>
      </c>
      <c r="FP6" s="67" t="s">
        <v>323</v>
      </c>
      <c r="FQ6" s="17" t="s">
        <v>319</v>
      </c>
      <c r="FR6" s="67" t="s">
        <v>324</v>
      </c>
      <c r="FS6" s="17" t="s">
        <v>320</v>
      </c>
    </row>
    <row r="7" spans="1:175" s="5" customFormat="1" ht="75" customHeight="1" x14ac:dyDescent="0.3">
      <c r="A7" s="45"/>
      <c r="B7" s="85"/>
      <c r="C7" s="86"/>
      <c r="D7" s="85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85"/>
      <c r="C8" s="86"/>
      <c r="D8" s="85"/>
      <c r="E8" s="68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s="53" customFormat="1" ht="14.55" customHeight="1" x14ac:dyDescent="0.3">
      <c r="A9" s="83" t="s">
        <v>11</v>
      </c>
      <c r="B9" s="93" t="s">
        <v>135</v>
      </c>
      <c r="C9" s="81" t="s">
        <v>276</v>
      </c>
      <c r="D9" s="94" t="s">
        <v>77</v>
      </c>
      <c r="E9" s="79">
        <f t="shared" ref="E9:E69" si="5">ROW(D9)-ROW($E$8)</f>
        <v>1</v>
      </c>
      <c r="F9" s="79">
        <v>1</v>
      </c>
      <c r="G9" s="79" t="s">
        <v>88</v>
      </c>
      <c r="H9" s="53">
        <v>0</v>
      </c>
      <c r="I9" s="95" t="str">
        <f>B11</f>
        <v>Product/Reactant12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40000</v>
      </c>
      <c r="P9" s="53">
        <v>1.37</v>
      </c>
      <c r="Q9" s="53">
        <v>1.37</v>
      </c>
      <c r="R9" s="53">
        <v>1.37</v>
      </c>
      <c r="S9" s="53">
        <v>1.37</v>
      </c>
      <c r="T9" s="53">
        <v>1.37</v>
      </c>
      <c r="U9" s="53">
        <v>1.37</v>
      </c>
      <c r="V9" s="53">
        <v>1.37</v>
      </c>
      <c r="W9" s="53">
        <v>1.37</v>
      </c>
      <c r="X9" s="53">
        <v>1.37</v>
      </c>
      <c r="Y9" s="53">
        <v>1.37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0</v>
      </c>
      <c r="AI9" s="53">
        <v>0</v>
      </c>
      <c r="AJ9" s="53">
        <v>0</v>
      </c>
      <c r="AK9" s="53">
        <v>0</v>
      </c>
      <c r="AL9" s="53">
        <v>0</v>
      </c>
      <c r="AM9" s="53">
        <v>0</v>
      </c>
      <c r="AN9" s="53">
        <v>0</v>
      </c>
      <c r="AO9" s="53">
        <v>0</v>
      </c>
      <c r="AP9" s="53">
        <v>0</v>
      </c>
      <c r="AQ9" s="53">
        <v>0</v>
      </c>
      <c r="AR9" s="53">
        <v>0</v>
      </c>
      <c r="AS9" s="53">
        <v>0</v>
      </c>
      <c r="AT9" s="96">
        <v>0</v>
      </c>
      <c r="AU9" s="96">
        <v>0</v>
      </c>
      <c r="AV9" s="96">
        <v>0</v>
      </c>
      <c r="AW9" s="96">
        <v>0</v>
      </c>
      <c r="AX9" s="96">
        <v>0</v>
      </c>
      <c r="AY9" s="96">
        <v>0</v>
      </c>
      <c r="AZ9" s="96">
        <v>0</v>
      </c>
      <c r="BA9" s="96">
        <v>0</v>
      </c>
      <c r="BB9" s="96">
        <v>0</v>
      </c>
      <c r="BC9" s="96">
        <v>0</v>
      </c>
      <c r="BD9" s="96">
        <v>1</v>
      </c>
      <c r="BE9" s="96">
        <v>1</v>
      </c>
      <c r="BF9" s="96">
        <v>1</v>
      </c>
      <c r="BG9" s="96">
        <v>1</v>
      </c>
      <c r="BH9" s="96">
        <v>1</v>
      </c>
      <c r="BI9" s="96">
        <v>1</v>
      </c>
      <c r="BJ9" s="96">
        <v>1</v>
      </c>
      <c r="BK9" s="96">
        <v>1</v>
      </c>
      <c r="BL9" s="96">
        <v>1</v>
      </c>
      <c r="BM9" s="96">
        <v>1</v>
      </c>
      <c r="BN9" s="96">
        <v>1</v>
      </c>
      <c r="BO9" s="96">
        <v>1</v>
      </c>
      <c r="BP9" s="96">
        <v>1</v>
      </c>
      <c r="BQ9" s="96">
        <v>1</v>
      </c>
      <c r="BR9" s="96">
        <v>1</v>
      </c>
      <c r="BS9" s="96">
        <v>1</v>
      </c>
      <c r="BT9" s="96">
        <v>1</v>
      </c>
      <c r="BU9" s="96">
        <v>1</v>
      </c>
      <c r="BV9" s="96">
        <v>1</v>
      </c>
      <c r="BW9" s="96">
        <v>1</v>
      </c>
      <c r="BX9" s="97">
        <v>0.5</v>
      </c>
      <c r="BY9" s="97">
        <v>0.5</v>
      </c>
      <c r="BZ9" s="97">
        <v>0.2</v>
      </c>
      <c r="CA9" s="97">
        <v>0.47</v>
      </c>
      <c r="CB9" s="97">
        <v>0.47</v>
      </c>
      <c r="CC9" s="97">
        <v>0.47</v>
      </c>
      <c r="CD9" s="97">
        <v>0.44999999999999996</v>
      </c>
      <c r="CE9" s="97">
        <v>0.43000000000000005</v>
      </c>
      <c r="CF9" s="97">
        <v>0.43000000000000005</v>
      </c>
      <c r="CG9" s="97">
        <v>0.43000000000000005</v>
      </c>
      <c r="CH9" s="53">
        <v>7000</v>
      </c>
      <c r="CI9" s="53">
        <v>7000</v>
      </c>
      <c r="CJ9" s="53">
        <v>7000</v>
      </c>
      <c r="CK9" s="53">
        <v>6000</v>
      </c>
      <c r="CL9" s="53">
        <v>6000</v>
      </c>
      <c r="CM9" s="53">
        <v>6000</v>
      </c>
      <c r="CN9" s="53">
        <v>5000</v>
      </c>
      <c r="CO9" s="53">
        <v>4000</v>
      </c>
      <c r="CP9" s="53">
        <v>4000</v>
      </c>
      <c r="CQ9" s="53">
        <v>4000</v>
      </c>
      <c r="CR9" s="53">
        <v>350</v>
      </c>
      <c r="CS9" s="53">
        <v>350</v>
      </c>
      <c r="CT9" s="53">
        <v>350</v>
      </c>
      <c r="CU9" s="53">
        <v>0</v>
      </c>
      <c r="CV9" s="53">
        <v>300</v>
      </c>
      <c r="CW9" s="53">
        <v>0</v>
      </c>
      <c r="CX9" s="53">
        <v>250</v>
      </c>
      <c r="CY9" s="53">
        <v>0</v>
      </c>
      <c r="CZ9" s="53">
        <v>200</v>
      </c>
      <c r="DA9" s="53">
        <v>0</v>
      </c>
      <c r="DB9" s="53">
        <v>0</v>
      </c>
      <c r="DC9" s="53">
        <v>0</v>
      </c>
      <c r="DD9" s="53">
        <v>0</v>
      </c>
      <c r="DE9" s="53">
        <v>0</v>
      </c>
      <c r="DF9" s="53">
        <v>0</v>
      </c>
      <c r="DG9" s="53">
        <v>0</v>
      </c>
      <c r="DH9" s="53">
        <v>0</v>
      </c>
      <c r="DI9" s="53">
        <v>0</v>
      </c>
      <c r="DJ9" s="53">
        <v>0</v>
      </c>
      <c r="DK9" s="53">
        <v>0</v>
      </c>
      <c r="DL9" s="53">
        <v>0</v>
      </c>
      <c r="DM9" s="53">
        <v>0</v>
      </c>
      <c r="DN9" s="53">
        <v>0</v>
      </c>
      <c r="DO9" s="53">
        <v>0</v>
      </c>
      <c r="DP9" s="53">
        <v>0</v>
      </c>
      <c r="DQ9" s="53">
        <v>0</v>
      </c>
      <c r="DR9" s="53">
        <v>0</v>
      </c>
      <c r="DS9" s="53">
        <v>0</v>
      </c>
      <c r="DT9" s="53">
        <v>0</v>
      </c>
      <c r="DU9" s="53">
        <v>0</v>
      </c>
      <c r="DV9" s="53">
        <v>0</v>
      </c>
      <c r="DW9" s="53">
        <v>0</v>
      </c>
      <c r="DX9" s="53">
        <v>0</v>
      </c>
      <c r="DY9" s="53">
        <v>0</v>
      </c>
      <c r="DZ9" s="53">
        <v>0</v>
      </c>
      <c r="EA9" s="53">
        <v>0</v>
      </c>
      <c r="EB9" s="53">
        <v>0</v>
      </c>
      <c r="EC9" s="53">
        <v>0</v>
      </c>
      <c r="ED9" s="53">
        <v>0</v>
      </c>
      <c r="EE9" s="53">
        <v>0</v>
      </c>
      <c r="EF9" s="53">
        <v>0</v>
      </c>
      <c r="EG9" s="53">
        <v>0</v>
      </c>
      <c r="EH9" s="53">
        <v>0</v>
      </c>
      <c r="EI9" s="53">
        <v>0</v>
      </c>
      <c r="EJ9" s="53">
        <f t="shared" ref="EJ9:EJ29" si="6">$EG9*B$3</f>
        <v>0</v>
      </c>
      <c r="EK9" s="53">
        <v>0</v>
      </c>
      <c r="EL9" s="53">
        <f t="shared" ref="EL9:EL29" si="7">$EG9*C$3</f>
        <v>0</v>
      </c>
      <c r="EM9" s="53">
        <v>0</v>
      </c>
      <c r="EN9" s="53">
        <f t="shared" ref="EN9" si="8">$EG9*E$3</f>
        <v>0</v>
      </c>
      <c r="EO9" s="53">
        <v>0</v>
      </c>
      <c r="EP9" s="53">
        <v>5.6800000000000002E-3</v>
      </c>
      <c r="EQ9" s="53">
        <v>5.6800000000000002E-3</v>
      </c>
      <c r="ER9" s="53">
        <v>5.6800000000000002E-3</v>
      </c>
      <c r="ES9" s="53">
        <v>0</v>
      </c>
      <c r="ET9" s="53">
        <f t="shared" ref="ET9:ET29" si="9">$EQ9*B$3</f>
        <v>5.6800000000000002E-3</v>
      </c>
      <c r="EU9" s="53">
        <v>0</v>
      </c>
      <c r="EV9" s="53">
        <f t="shared" ref="EV9:EV29" si="10">$EQ9*C$3</f>
        <v>5.6800000000000002E-3</v>
      </c>
      <c r="EW9" s="53">
        <v>0</v>
      </c>
      <c r="EX9" s="53">
        <f t="shared" ref="EX9:EX29" si="11">$EQ9*D$3</f>
        <v>5.6800000000000002E-3</v>
      </c>
      <c r="EY9" s="53">
        <v>0</v>
      </c>
      <c r="EZ9" s="53">
        <v>0</v>
      </c>
      <c r="FA9" s="53">
        <v>0</v>
      </c>
      <c r="FB9" s="53">
        <v>0</v>
      </c>
      <c r="FC9" s="53">
        <v>0</v>
      </c>
      <c r="FD9" s="53">
        <v>0</v>
      </c>
      <c r="FE9" s="53">
        <v>0</v>
      </c>
      <c r="FF9" s="53">
        <v>0</v>
      </c>
      <c r="FG9" s="53">
        <v>0</v>
      </c>
      <c r="FH9" s="53">
        <v>0</v>
      </c>
      <c r="FI9" s="53">
        <v>0</v>
      </c>
      <c r="FJ9" s="53">
        <v>0.10185220882315059</v>
      </c>
      <c r="FK9" s="53">
        <v>0.10185220882315059</v>
      </c>
      <c r="FL9" s="53">
        <v>0.10185220882315059</v>
      </c>
      <c r="FM9" s="53">
        <v>0.10185220882315059</v>
      </c>
      <c r="FN9" s="53">
        <v>0.10185220882315059</v>
      </c>
      <c r="FO9" s="53">
        <v>0.10185220882315059</v>
      </c>
      <c r="FP9" s="53">
        <v>0.10185220882315059</v>
      </c>
      <c r="FQ9" s="53">
        <v>0.10185220882315059</v>
      </c>
      <c r="FR9" s="53">
        <v>0.10185220882315059</v>
      </c>
      <c r="FS9" s="53">
        <v>0.10185220882315059</v>
      </c>
    </row>
    <row r="10" spans="1:175" s="53" customFormat="1" x14ac:dyDescent="0.3">
      <c r="A10" s="83"/>
      <c r="B10" s="93" t="s">
        <v>135</v>
      </c>
      <c r="C10" s="81" t="s">
        <v>276</v>
      </c>
      <c r="D10" s="94" t="s">
        <v>96</v>
      </c>
      <c r="E10" s="79">
        <f t="shared" si="5"/>
        <v>2</v>
      </c>
      <c r="F10" s="79">
        <v>1</v>
      </c>
      <c r="G10" s="79" t="s">
        <v>89</v>
      </c>
      <c r="H10" s="53">
        <v>0</v>
      </c>
      <c r="I10" s="95" t="str">
        <f>B11</f>
        <v>Product/Reactant12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f>O9</f>
        <v>40000</v>
      </c>
      <c r="P10" s="53">
        <v>1.37</v>
      </c>
      <c r="Q10" s="53">
        <v>1.37</v>
      </c>
      <c r="R10" s="53">
        <v>1.37</v>
      </c>
      <c r="S10" s="53">
        <v>1.37</v>
      </c>
      <c r="T10" s="53">
        <v>1.37</v>
      </c>
      <c r="U10" s="53">
        <v>1.37</v>
      </c>
      <c r="V10" s="53">
        <v>1.37</v>
      </c>
      <c r="W10" s="53">
        <v>1.37</v>
      </c>
      <c r="X10" s="53">
        <v>1.37</v>
      </c>
      <c r="Y10" s="53">
        <v>1.37</v>
      </c>
      <c r="Z10" s="53">
        <v>0</v>
      </c>
      <c r="AA10" s="53">
        <v>0</v>
      </c>
      <c r="AB10" s="53">
        <v>0</v>
      </c>
      <c r="AC10" s="53">
        <v>0</v>
      </c>
      <c r="AD10" s="53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53">
        <v>0</v>
      </c>
      <c r="AK10" s="53">
        <v>0</v>
      </c>
      <c r="AL10" s="53">
        <v>0</v>
      </c>
      <c r="AM10" s="53">
        <v>0</v>
      </c>
      <c r="AN10" s="53">
        <v>0</v>
      </c>
      <c r="AO10" s="53">
        <v>0</v>
      </c>
      <c r="AP10" s="53">
        <v>0</v>
      </c>
      <c r="AQ10" s="53">
        <v>0</v>
      </c>
      <c r="AR10" s="53">
        <v>0</v>
      </c>
      <c r="AS10" s="53">
        <v>0</v>
      </c>
      <c r="AT10" s="96">
        <v>0</v>
      </c>
      <c r="AU10" s="96">
        <v>0</v>
      </c>
      <c r="AV10" s="96">
        <v>0</v>
      </c>
      <c r="AW10" s="96">
        <v>0</v>
      </c>
      <c r="AX10" s="96">
        <v>0</v>
      </c>
      <c r="AY10" s="96">
        <v>0</v>
      </c>
      <c r="AZ10" s="96">
        <v>0</v>
      </c>
      <c r="BA10" s="96">
        <v>0</v>
      </c>
      <c r="BB10" s="96">
        <v>0</v>
      </c>
      <c r="BC10" s="96">
        <v>0</v>
      </c>
      <c r="BD10" s="96">
        <v>1</v>
      </c>
      <c r="BE10" s="96">
        <v>1</v>
      </c>
      <c r="BF10" s="96">
        <v>1</v>
      </c>
      <c r="BG10" s="96">
        <v>1</v>
      </c>
      <c r="BH10" s="96">
        <v>1</v>
      </c>
      <c r="BI10" s="96">
        <v>1</v>
      </c>
      <c r="BJ10" s="96">
        <v>1</v>
      </c>
      <c r="BK10" s="96">
        <v>1</v>
      </c>
      <c r="BL10" s="96">
        <v>1</v>
      </c>
      <c r="BM10" s="96">
        <v>1</v>
      </c>
      <c r="BN10" s="96">
        <v>1</v>
      </c>
      <c r="BO10" s="96">
        <v>1</v>
      </c>
      <c r="BP10" s="96">
        <v>1</v>
      </c>
      <c r="BQ10" s="96">
        <v>1</v>
      </c>
      <c r="BR10" s="96">
        <v>1</v>
      </c>
      <c r="BS10" s="96">
        <v>1</v>
      </c>
      <c r="BT10" s="96">
        <v>1</v>
      </c>
      <c r="BU10" s="96">
        <v>1</v>
      </c>
      <c r="BV10" s="96">
        <v>1</v>
      </c>
      <c r="BW10" s="96">
        <v>1</v>
      </c>
      <c r="BX10" s="98">
        <v>0</v>
      </c>
      <c r="BY10" s="98">
        <v>0</v>
      </c>
      <c r="BZ10" s="98">
        <v>0</v>
      </c>
      <c r="CA10" s="98">
        <v>0</v>
      </c>
      <c r="CB10" s="98">
        <v>0</v>
      </c>
      <c r="CC10" s="98">
        <v>0</v>
      </c>
      <c r="CD10" s="98">
        <v>0</v>
      </c>
      <c r="CE10" s="98">
        <v>0</v>
      </c>
      <c r="CF10" s="98">
        <v>0</v>
      </c>
      <c r="CG10" s="98">
        <v>0</v>
      </c>
      <c r="CH10" s="98">
        <v>0</v>
      </c>
      <c r="CI10" s="98">
        <v>0</v>
      </c>
      <c r="CJ10" s="98">
        <v>0</v>
      </c>
      <c r="CK10" s="98">
        <v>0</v>
      </c>
      <c r="CL10" s="98">
        <v>0</v>
      </c>
      <c r="CM10" s="98">
        <v>0</v>
      </c>
      <c r="CN10" s="98">
        <v>0</v>
      </c>
      <c r="CO10" s="98">
        <v>0</v>
      </c>
      <c r="CP10" s="98">
        <v>0</v>
      </c>
      <c r="CQ10" s="98">
        <v>0</v>
      </c>
      <c r="CR10" s="98">
        <v>0</v>
      </c>
      <c r="CS10" s="98">
        <v>0</v>
      </c>
      <c r="CT10" s="98">
        <v>0</v>
      </c>
      <c r="CU10" s="53">
        <v>0</v>
      </c>
      <c r="CV10" s="98">
        <v>0</v>
      </c>
      <c r="CW10" s="53">
        <v>0</v>
      </c>
      <c r="CX10" s="98">
        <v>0</v>
      </c>
      <c r="CY10" s="53">
        <v>0</v>
      </c>
      <c r="CZ10" s="98">
        <v>0</v>
      </c>
      <c r="DA10" s="53">
        <v>0</v>
      </c>
      <c r="DB10" s="98">
        <v>0</v>
      </c>
      <c r="DC10" s="98">
        <v>0</v>
      </c>
      <c r="DD10" s="98">
        <v>0</v>
      </c>
      <c r="DE10" s="53">
        <v>0</v>
      </c>
      <c r="DF10" s="98">
        <v>0</v>
      </c>
      <c r="DG10" s="53">
        <v>0</v>
      </c>
      <c r="DH10" s="98">
        <v>0</v>
      </c>
      <c r="DI10" s="53">
        <v>0</v>
      </c>
      <c r="DJ10" s="98">
        <v>0</v>
      </c>
      <c r="DK10" s="53">
        <v>0</v>
      </c>
      <c r="DL10" s="53">
        <v>0</v>
      </c>
      <c r="DM10" s="53">
        <v>0</v>
      </c>
      <c r="DN10" s="53">
        <v>0</v>
      </c>
      <c r="DO10" s="53">
        <v>0</v>
      </c>
      <c r="DP10" s="53">
        <v>0</v>
      </c>
      <c r="DQ10" s="53">
        <v>0</v>
      </c>
      <c r="DR10" s="53">
        <v>0</v>
      </c>
      <c r="DS10" s="53">
        <v>0</v>
      </c>
      <c r="DT10" s="53">
        <v>0</v>
      </c>
      <c r="DU10" s="53">
        <v>0</v>
      </c>
      <c r="DV10" s="53">
        <v>0.154</v>
      </c>
      <c r="DW10" s="53">
        <v>0.154</v>
      </c>
      <c r="DX10" s="53">
        <v>0.154</v>
      </c>
      <c r="DY10" s="53">
        <v>0.13100000000000001</v>
      </c>
      <c r="DZ10" s="53">
        <v>0.13100000000000001</v>
      </c>
      <c r="EA10" s="53">
        <v>0.13100000000000001</v>
      </c>
      <c r="EB10" s="53">
        <f>(DZ10+ED10)/2</f>
        <v>9.7500000000000003E-2</v>
      </c>
      <c r="EC10" s="53">
        <v>6.4000000000000001E-2</v>
      </c>
      <c r="ED10" s="53">
        <v>6.4000000000000001E-2</v>
      </c>
      <c r="EE10" s="53">
        <v>6.4000000000000001E-2</v>
      </c>
      <c r="EF10" s="53">
        <v>0</v>
      </c>
      <c r="EG10" s="53">
        <v>0</v>
      </c>
      <c r="EH10" s="53">
        <v>0</v>
      </c>
      <c r="EI10" s="53">
        <v>0</v>
      </c>
      <c r="EJ10" s="53">
        <f t="shared" si="6"/>
        <v>0</v>
      </c>
      <c r="EK10" s="53">
        <v>0</v>
      </c>
      <c r="EL10" s="53">
        <f t="shared" si="7"/>
        <v>0</v>
      </c>
      <c r="EM10" s="53">
        <v>0</v>
      </c>
      <c r="EN10" s="53">
        <f t="shared" ref="EN10:EN29" si="12">$EG10*D$3</f>
        <v>0</v>
      </c>
      <c r="EO10" s="53">
        <v>0</v>
      </c>
      <c r="EP10" s="99">
        <v>2.8400000000000002E-4</v>
      </c>
      <c r="EQ10" s="99">
        <v>2.8400000000000002E-4</v>
      </c>
      <c r="ER10" s="99">
        <v>2.8400000000000002E-4</v>
      </c>
      <c r="ES10" s="53">
        <v>0</v>
      </c>
      <c r="ET10" s="53">
        <f t="shared" si="9"/>
        <v>2.8400000000000002E-4</v>
      </c>
      <c r="EU10" s="53">
        <v>0</v>
      </c>
      <c r="EV10" s="53">
        <f t="shared" si="10"/>
        <v>2.8400000000000002E-4</v>
      </c>
      <c r="EW10" s="53">
        <v>0</v>
      </c>
      <c r="EX10" s="53">
        <f t="shared" si="11"/>
        <v>2.8400000000000002E-4</v>
      </c>
      <c r="EY10" s="53">
        <v>0</v>
      </c>
      <c r="EZ10" s="53">
        <v>0</v>
      </c>
      <c r="FA10" s="53">
        <v>0</v>
      </c>
      <c r="FB10" s="53">
        <v>0</v>
      </c>
      <c r="FC10" s="53">
        <v>0</v>
      </c>
      <c r="FD10" s="53">
        <v>0</v>
      </c>
      <c r="FE10" s="53">
        <v>0</v>
      </c>
      <c r="FF10" s="53">
        <v>0</v>
      </c>
      <c r="FG10" s="53">
        <v>0</v>
      </c>
      <c r="FH10" s="53">
        <v>0</v>
      </c>
      <c r="FI10" s="53">
        <v>0</v>
      </c>
      <c r="FJ10" s="53">
        <v>0</v>
      </c>
      <c r="FK10" s="53">
        <v>0</v>
      </c>
      <c r="FL10" s="53">
        <v>0</v>
      </c>
      <c r="FM10" s="53">
        <v>0</v>
      </c>
      <c r="FN10" s="53">
        <v>0</v>
      </c>
      <c r="FO10" s="53">
        <v>0</v>
      </c>
      <c r="FP10" s="53">
        <v>0</v>
      </c>
      <c r="FQ10" s="53">
        <v>0</v>
      </c>
      <c r="FR10" s="53">
        <v>0</v>
      </c>
      <c r="FS10" s="53">
        <v>0</v>
      </c>
    </row>
    <row r="11" spans="1:175" s="53" customFormat="1" x14ac:dyDescent="0.3">
      <c r="A11" s="83"/>
      <c r="B11" s="93" t="s">
        <v>429</v>
      </c>
      <c r="C11" s="100" t="s">
        <v>171</v>
      </c>
      <c r="D11" s="94" t="s">
        <v>229</v>
      </c>
      <c r="E11" s="79">
        <f t="shared" si="5"/>
        <v>3</v>
      </c>
      <c r="F11" s="79">
        <v>1</v>
      </c>
      <c r="G11" s="79" t="s">
        <v>526</v>
      </c>
      <c r="H11" s="101">
        <v>13300000</v>
      </c>
      <c r="I11" s="95" t="str">
        <f>B32</f>
        <v>Reactant2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20000</v>
      </c>
      <c r="P11" s="53">
        <v>5.26</v>
      </c>
      <c r="Q11" s="53">
        <v>5.26</v>
      </c>
      <c r="R11" s="53">
        <v>5.26</v>
      </c>
      <c r="S11" s="53">
        <v>5.26</v>
      </c>
      <c r="T11" s="53">
        <v>5.26</v>
      </c>
      <c r="U11" s="53">
        <v>5.26</v>
      </c>
      <c r="V11" s="53">
        <v>5.26</v>
      </c>
      <c r="W11" s="53">
        <v>5.26</v>
      </c>
      <c r="X11" s="53">
        <v>5.26</v>
      </c>
      <c r="Y11" s="53">
        <v>5.26</v>
      </c>
      <c r="Z11" s="53">
        <v>0.68</v>
      </c>
      <c r="AA11" s="53">
        <v>0.68</v>
      </c>
      <c r="AB11" s="53">
        <v>0.68</v>
      </c>
      <c r="AC11" s="53">
        <v>0.68</v>
      </c>
      <c r="AD11" s="53">
        <v>0.68</v>
      </c>
      <c r="AE11" s="53">
        <v>0.68</v>
      </c>
      <c r="AF11" s="53">
        <v>0.68</v>
      </c>
      <c r="AG11" s="53">
        <v>0.68</v>
      </c>
      <c r="AH11" s="53">
        <v>0.68</v>
      </c>
      <c r="AI11" s="53">
        <v>0.68</v>
      </c>
      <c r="AJ11" s="53">
        <v>0.68</v>
      </c>
      <c r="AK11" s="53">
        <v>0.68</v>
      </c>
      <c r="AL11" s="53">
        <v>0.68</v>
      </c>
      <c r="AM11" s="53">
        <v>0.68</v>
      </c>
      <c r="AN11" s="53">
        <v>0.68</v>
      </c>
      <c r="AO11" s="53">
        <v>0.68</v>
      </c>
      <c r="AP11" s="53">
        <v>0.68</v>
      </c>
      <c r="AQ11" s="53">
        <v>0.68</v>
      </c>
      <c r="AR11" s="53">
        <v>0.68</v>
      </c>
      <c r="AS11" s="53">
        <v>0.68</v>
      </c>
      <c r="AT11" s="96">
        <v>0.4</v>
      </c>
      <c r="AU11" s="96">
        <v>0.4</v>
      </c>
      <c r="AV11" s="96">
        <v>0.2</v>
      </c>
      <c r="AW11" s="96">
        <v>0.4</v>
      </c>
      <c r="AX11" s="96">
        <v>0.2</v>
      </c>
      <c r="AY11" s="96">
        <v>0.1</v>
      </c>
      <c r="AZ11" s="96">
        <v>0.1</v>
      </c>
      <c r="BA11" s="96">
        <v>0.1</v>
      </c>
      <c r="BB11" s="96">
        <v>0.1</v>
      </c>
      <c r="BC11" s="96">
        <v>0.1</v>
      </c>
      <c r="BD11" s="96">
        <v>0.2</v>
      </c>
      <c r="BE11" s="96">
        <v>0.2</v>
      </c>
      <c r="BF11" s="96">
        <v>0.2</v>
      </c>
      <c r="BG11" s="96">
        <v>0.6</v>
      </c>
      <c r="BH11" s="96">
        <v>1</v>
      </c>
      <c r="BI11" s="96">
        <v>1</v>
      </c>
      <c r="BJ11" s="96">
        <v>1</v>
      </c>
      <c r="BK11" s="96">
        <v>1</v>
      </c>
      <c r="BL11" s="96">
        <v>1</v>
      </c>
      <c r="BM11" s="96">
        <v>1</v>
      </c>
      <c r="BN11" s="96">
        <v>0.2</v>
      </c>
      <c r="BO11" s="96">
        <v>0.2</v>
      </c>
      <c r="BP11" s="96">
        <v>0.2</v>
      </c>
      <c r="BQ11" s="96">
        <v>0.6</v>
      </c>
      <c r="BR11" s="96">
        <v>1</v>
      </c>
      <c r="BS11" s="96">
        <v>1</v>
      </c>
      <c r="BT11" s="96">
        <v>1</v>
      </c>
      <c r="BU11" s="96">
        <v>1</v>
      </c>
      <c r="BV11" s="96">
        <v>1</v>
      </c>
      <c r="BW11" s="96">
        <v>1</v>
      </c>
      <c r="BX11" s="97">
        <v>1.7</v>
      </c>
      <c r="BY11" s="97">
        <v>1.7</v>
      </c>
      <c r="BZ11" s="97">
        <v>1.7</v>
      </c>
      <c r="CA11" s="97">
        <v>1.7</v>
      </c>
      <c r="CB11" s="97">
        <v>1.7</v>
      </c>
      <c r="CC11" s="97">
        <v>1.7</v>
      </c>
      <c r="CD11" s="97">
        <v>1.7</v>
      </c>
      <c r="CE11" s="97">
        <v>1.7</v>
      </c>
      <c r="CF11" s="97">
        <v>1.7</v>
      </c>
      <c r="CG11" s="97">
        <v>1.7</v>
      </c>
      <c r="CH11" s="53">
        <v>23668.2</v>
      </c>
      <c r="CI11" s="53">
        <v>23668.2</v>
      </c>
      <c r="CJ11" s="53">
        <v>23668.2</v>
      </c>
      <c r="CK11" s="101">
        <f>2000*(365.25*24)/1000</f>
        <v>17532</v>
      </c>
      <c r="CL11" s="101">
        <f>2000*(365.25*24)/1000</f>
        <v>17532</v>
      </c>
      <c r="CM11" s="101">
        <f>2000*(365.25*24)/1000</f>
        <v>17532</v>
      </c>
      <c r="CN11" s="53">
        <f>(CL11+CP11)/2</f>
        <v>12929.85</v>
      </c>
      <c r="CO11" s="101">
        <f>950*(365.25*24)/1000</f>
        <v>8327.7000000000007</v>
      </c>
      <c r="CP11" s="101">
        <f>950*(365.25*24)/1000</f>
        <v>8327.7000000000007</v>
      </c>
      <c r="CQ11" s="101">
        <f>950*(365.25*24)/1000</f>
        <v>8327.7000000000007</v>
      </c>
      <c r="CR11" s="53">
        <f t="shared" ref="CR11:DA11" si="13">CH11*4%</f>
        <v>946.72800000000007</v>
      </c>
      <c r="CS11" s="53">
        <f t="shared" si="13"/>
        <v>946.72800000000007</v>
      </c>
      <c r="CT11" s="53">
        <f t="shared" si="13"/>
        <v>946.72800000000007</v>
      </c>
      <c r="CU11" s="53">
        <f t="shared" si="13"/>
        <v>701.28</v>
      </c>
      <c r="CV11" s="53">
        <f t="shared" si="13"/>
        <v>701.28</v>
      </c>
      <c r="CW11" s="53">
        <f t="shared" si="13"/>
        <v>701.28</v>
      </c>
      <c r="CX11" s="53">
        <f t="shared" si="13"/>
        <v>517.19400000000007</v>
      </c>
      <c r="CY11" s="53">
        <f t="shared" si="13"/>
        <v>333.10800000000006</v>
      </c>
      <c r="CZ11" s="53">
        <f t="shared" si="13"/>
        <v>333.10800000000006</v>
      </c>
      <c r="DA11" s="53">
        <f t="shared" si="13"/>
        <v>333.10800000000006</v>
      </c>
      <c r="DB11" s="98">
        <v>0</v>
      </c>
      <c r="DC11" s="98">
        <v>0</v>
      </c>
      <c r="DD11" s="98">
        <v>0</v>
      </c>
      <c r="DE11" s="53">
        <v>0</v>
      </c>
      <c r="DF11" s="98">
        <v>0</v>
      </c>
      <c r="DG11" s="53">
        <v>0</v>
      </c>
      <c r="DH11" s="98">
        <v>0</v>
      </c>
      <c r="DI11" s="53">
        <v>0</v>
      </c>
      <c r="DJ11" s="98">
        <v>0</v>
      </c>
      <c r="DK11" s="53">
        <v>0</v>
      </c>
      <c r="DL11" s="53">
        <v>0</v>
      </c>
      <c r="DM11" s="53">
        <v>0</v>
      </c>
      <c r="DN11" s="53">
        <v>0</v>
      </c>
      <c r="DO11" s="53">
        <v>0</v>
      </c>
      <c r="DP11" s="53">
        <v>0</v>
      </c>
      <c r="DQ11" s="53">
        <v>0</v>
      </c>
      <c r="DR11" s="53">
        <v>0</v>
      </c>
      <c r="DS11" s="53">
        <v>0</v>
      </c>
      <c r="DT11" s="53">
        <v>0</v>
      </c>
      <c r="DU11" s="53">
        <v>0</v>
      </c>
      <c r="DV11" s="53">
        <v>0</v>
      </c>
      <c r="DW11" s="53">
        <v>0</v>
      </c>
      <c r="DX11" s="53">
        <v>0</v>
      </c>
      <c r="DY11" s="53">
        <v>0</v>
      </c>
      <c r="DZ11" s="53">
        <v>0</v>
      </c>
      <c r="EA11" s="53">
        <v>0</v>
      </c>
      <c r="EB11" s="53">
        <v>0</v>
      </c>
      <c r="EC11" s="53">
        <v>0</v>
      </c>
      <c r="ED11" s="53">
        <v>0</v>
      </c>
      <c r="EE11" s="53">
        <v>0</v>
      </c>
      <c r="EF11" s="53">
        <v>18.474666666666668</v>
      </c>
      <c r="EG11" s="53">
        <v>18.474666666666668</v>
      </c>
      <c r="EH11" s="53">
        <v>18.474666666666668</v>
      </c>
      <c r="EI11" s="53">
        <v>0</v>
      </c>
      <c r="EJ11" s="53">
        <f t="shared" si="6"/>
        <v>18.474666666666668</v>
      </c>
      <c r="EK11" s="53">
        <v>0</v>
      </c>
      <c r="EL11" s="53">
        <f t="shared" si="7"/>
        <v>18.474666666666668</v>
      </c>
      <c r="EM11" s="53">
        <v>0</v>
      </c>
      <c r="EN11" s="53">
        <f t="shared" si="12"/>
        <v>18.474666666666668</v>
      </c>
      <c r="EO11" s="53">
        <v>0</v>
      </c>
      <c r="EP11" s="53">
        <v>0</v>
      </c>
      <c r="EQ11" s="53">
        <v>0</v>
      </c>
      <c r="ER11" s="53">
        <v>0</v>
      </c>
      <c r="ES11" s="53">
        <v>0</v>
      </c>
      <c r="ET11" s="53">
        <f t="shared" si="9"/>
        <v>0</v>
      </c>
      <c r="EU11" s="53">
        <v>0</v>
      </c>
      <c r="EV11" s="53">
        <f t="shared" si="10"/>
        <v>0</v>
      </c>
      <c r="EW11" s="53">
        <v>0</v>
      </c>
      <c r="EX11" s="53">
        <f t="shared" si="11"/>
        <v>0</v>
      </c>
      <c r="EY11" s="53">
        <v>0</v>
      </c>
      <c r="EZ11" s="53">
        <v>0</v>
      </c>
      <c r="FA11" s="53">
        <v>0</v>
      </c>
      <c r="FB11" s="53">
        <v>0</v>
      </c>
      <c r="FC11" s="53">
        <v>0</v>
      </c>
      <c r="FD11" s="53">
        <v>0</v>
      </c>
      <c r="FE11" s="53">
        <v>0</v>
      </c>
      <c r="FF11" s="53">
        <v>0</v>
      </c>
      <c r="FG11" s="53">
        <v>0</v>
      </c>
      <c r="FH11" s="53">
        <v>0</v>
      </c>
      <c r="FI11" s="53">
        <v>0</v>
      </c>
      <c r="FJ11" s="53">
        <v>8.8495575221238937E-2</v>
      </c>
      <c r="FK11" s="53">
        <v>8.8495575221238937E-2</v>
      </c>
      <c r="FL11" s="53">
        <v>8.8495575221238937E-2</v>
      </c>
      <c r="FM11" s="53">
        <v>8.8495575221238937E-2</v>
      </c>
      <c r="FN11" s="53">
        <v>8.8495575221238937E-2</v>
      </c>
      <c r="FO11" s="53">
        <v>8.8495575221238937E-2</v>
      </c>
      <c r="FP11" s="53">
        <v>8.8495575221238937E-2</v>
      </c>
      <c r="FQ11" s="53">
        <v>8.8495575221238937E-2</v>
      </c>
      <c r="FR11" s="53">
        <v>8.8495575221238937E-2</v>
      </c>
      <c r="FS11" s="53">
        <v>8.8495575221238937E-2</v>
      </c>
    </row>
    <row r="12" spans="1:175" s="75" customFormat="1" x14ac:dyDescent="0.3">
      <c r="A12" s="83"/>
      <c r="B12" s="102" t="s">
        <v>440</v>
      </c>
      <c r="C12" s="103" t="s">
        <v>171</v>
      </c>
      <c r="D12" s="74" t="s">
        <v>536</v>
      </c>
      <c r="E12" s="73">
        <f t="shared" si="5"/>
        <v>4</v>
      </c>
      <c r="F12" s="73">
        <v>1</v>
      </c>
      <c r="G12" s="73" t="s">
        <v>442</v>
      </c>
      <c r="H12" s="104">
        <f>H13/P13</f>
        <v>29280000.000000004</v>
      </c>
      <c r="I12" s="105" t="str">
        <f>B32</f>
        <v>Reactant2</v>
      </c>
      <c r="J12" s="75">
        <v>0</v>
      </c>
      <c r="K12" s="75">
        <v>1</v>
      </c>
      <c r="L12" s="75">
        <v>0</v>
      </c>
      <c r="M12" s="75">
        <v>0</v>
      </c>
      <c r="N12" s="75">
        <v>0</v>
      </c>
      <c r="O12" s="75">
        <v>20000</v>
      </c>
      <c r="P12" s="106">
        <v>26.350782437758895</v>
      </c>
      <c r="Q12" s="106">
        <v>26.350782437758895</v>
      </c>
      <c r="R12" s="106">
        <v>26.350782437758895</v>
      </c>
      <c r="S12" s="106">
        <v>26.350782437758895</v>
      </c>
      <c r="T12" s="106">
        <v>26.350782437758895</v>
      </c>
      <c r="U12" s="106">
        <v>26.350782437758895</v>
      </c>
      <c r="V12" s="106">
        <v>26.350782437758895</v>
      </c>
      <c r="W12" s="106">
        <v>26.350782437758895</v>
      </c>
      <c r="X12" s="106">
        <v>26.350782437758895</v>
      </c>
      <c r="Y12" s="106">
        <v>26.350782437758895</v>
      </c>
      <c r="Z12" s="106">
        <v>0</v>
      </c>
      <c r="AA12" s="106">
        <v>0</v>
      </c>
      <c r="AB12" s="106">
        <v>0</v>
      </c>
      <c r="AC12" s="106">
        <v>0</v>
      </c>
      <c r="AD12" s="106">
        <v>0</v>
      </c>
      <c r="AE12" s="106">
        <v>0</v>
      </c>
      <c r="AF12" s="106">
        <v>0</v>
      </c>
      <c r="AG12" s="106">
        <v>0</v>
      </c>
      <c r="AH12" s="106">
        <v>0</v>
      </c>
      <c r="AI12" s="106">
        <v>0</v>
      </c>
      <c r="AJ12" s="106">
        <v>0</v>
      </c>
      <c r="AK12" s="106">
        <v>0</v>
      </c>
      <c r="AL12" s="106">
        <v>0</v>
      </c>
      <c r="AM12" s="106">
        <v>0</v>
      </c>
      <c r="AN12" s="106">
        <v>0</v>
      </c>
      <c r="AO12" s="106">
        <v>0</v>
      </c>
      <c r="AP12" s="106">
        <v>0</v>
      </c>
      <c r="AQ12" s="106">
        <v>0</v>
      </c>
      <c r="AR12" s="106">
        <v>0</v>
      </c>
      <c r="AS12" s="106">
        <v>0</v>
      </c>
      <c r="AT12" s="107">
        <v>0.4</v>
      </c>
      <c r="AU12" s="107">
        <v>0.4</v>
      </c>
      <c r="AV12" s="107">
        <v>0.2</v>
      </c>
      <c r="AW12" s="107">
        <v>0.4</v>
      </c>
      <c r="AX12" s="107">
        <v>0.2</v>
      </c>
      <c r="AY12" s="107">
        <v>0.1</v>
      </c>
      <c r="AZ12" s="107">
        <v>0.1</v>
      </c>
      <c r="BA12" s="107">
        <v>0.1</v>
      </c>
      <c r="BB12" s="107">
        <v>0.1</v>
      </c>
      <c r="BC12" s="107">
        <v>0.1</v>
      </c>
      <c r="BD12" s="107">
        <v>0.2</v>
      </c>
      <c r="BE12" s="107">
        <v>0.2</v>
      </c>
      <c r="BF12" s="107">
        <v>0.2</v>
      </c>
      <c r="BG12" s="107">
        <v>0.6</v>
      </c>
      <c r="BH12" s="107">
        <v>1</v>
      </c>
      <c r="BI12" s="107">
        <v>1</v>
      </c>
      <c r="BJ12" s="107">
        <v>1</v>
      </c>
      <c r="BK12" s="107">
        <v>1</v>
      </c>
      <c r="BL12" s="107">
        <v>1</v>
      </c>
      <c r="BM12" s="107">
        <v>1</v>
      </c>
      <c r="BN12" s="107">
        <v>0.2</v>
      </c>
      <c r="BO12" s="107">
        <v>0.2</v>
      </c>
      <c r="BP12" s="107">
        <v>0.2</v>
      </c>
      <c r="BQ12" s="107">
        <v>0.6</v>
      </c>
      <c r="BR12" s="107">
        <v>1</v>
      </c>
      <c r="BS12" s="107">
        <v>1</v>
      </c>
      <c r="BT12" s="107">
        <v>1</v>
      </c>
      <c r="BU12" s="107">
        <v>1</v>
      </c>
      <c r="BV12" s="107">
        <v>1</v>
      </c>
      <c r="BW12" s="107">
        <v>1</v>
      </c>
      <c r="BX12" s="108">
        <v>0</v>
      </c>
      <c r="BY12" s="108">
        <v>0</v>
      </c>
      <c r="BZ12" s="108">
        <v>0</v>
      </c>
      <c r="CA12" s="108">
        <v>0</v>
      </c>
      <c r="CB12" s="108">
        <v>0</v>
      </c>
      <c r="CC12" s="108">
        <v>0</v>
      </c>
      <c r="CD12" s="108">
        <v>0</v>
      </c>
      <c r="CE12" s="108">
        <v>0</v>
      </c>
      <c r="CF12" s="108">
        <v>0</v>
      </c>
      <c r="CG12" s="108">
        <v>0</v>
      </c>
      <c r="CH12" s="104">
        <v>15110.907103825137</v>
      </c>
      <c r="CI12" s="104">
        <v>15110.907103825137</v>
      </c>
      <c r="CJ12" s="104">
        <v>15110.907103825137</v>
      </c>
      <c r="CK12" s="104">
        <v>15110.907103825137</v>
      </c>
      <c r="CL12" s="104">
        <v>15110.907103825137</v>
      </c>
      <c r="CM12" s="104">
        <v>15110.907103825137</v>
      </c>
      <c r="CN12" s="104">
        <v>15110.907103825137</v>
      </c>
      <c r="CO12" s="104">
        <v>15110.907103825137</v>
      </c>
      <c r="CP12" s="104">
        <v>15110.907103825137</v>
      </c>
      <c r="CQ12" s="104">
        <v>15110.9071038251</v>
      </c>
      <c r="CR12" s="109">
        <v>655.73770491803282</v>
      </c>
      <c r="CS12" s="109">
        <v>655.73770491803282</v>
      </c>
      <c r="CT12" s="109">
        <v>655.73770491803282</v>
      </c>
      <c r="CU12" s="109">
        <v>655.73770491803282</v>
      </c>
      <c r="CV12" s="109">
        <v>655.73770491803282</v>
      </c>
      <c r="CW12" s="109">
        <v>655.73770491803282</v>
      </c>
      <c r="CX12" s="109">
        <v>655.73770491803282</v>
      </c>
      <c r="CY12" s="109">
        <v>655.73770491803282</v>
      </c>
      <c r="CZ12" s="109">
        <v>655.73770491803282</v>
      </c>
      <c r="DA12" s="109">
        <v>655.73770491803282</v>
      </c>
      <c r="DB12" s="110">
        <v>0</v>
      </c>
      <c r="DC12" s="110">
        <v>0</v>
      </c>
      <c r="DD12" s="110">
        <v>0</v>
      </c>
      <c r="DE12" s="75">
        <v>0</v>
      </c>
      <c r="DF12" s="110">
        <v>0</v>
      </c>
      <c r="DG12" s="75">
        <v>0</v>
      </c>
      <c r="DH12" s="110">
        <v>0</v>
      </c>
      <c r="DI12" s="75">
        <v>0</v>
      </c>
      <c r="DJ12" s="110">
        <v>0</v>
      </c>
      <c r="DK12" s="75">
        <v>0</v>
      </c>
      <c r="DL12" s="75">
        <v>0</v>
      </c>
      <c r="DM12" s="75">
        <v>0</v>
      </c>
      <c r="DN12" s="75">
        <v>0</v>
      </c>
      <c r="DO12" s="75">
        <v>0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0</v>
      </c>
      <c r="DW12" s="75">
        <v>0</v>
      </c>
      <c r="DX12" s="75">
        <v>0</v>
      </c>
      <c r="DY12" s="75">
        <v>0</v>
      </c>
      <c r="DZ12" s="75">
        <v>0</v>
      </c>
      <c r="EA12" s="75">
        <v>0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0</v>
      </c>
      <c r="EI12" s="75">
        <v>0</v>
      </c>
      <c r="EJ12" s="75">
        <v>0</v>
      </c>
      <c r="EK12" s="75">
        <v>0</v>
      </c>
      <c r="EL12" s="75">
        <v>0</v>
      </c>
      <c r="EM12" s="75">
        <v>0</v>
      </c>
      <c r="EN12" s="75">
        <v>0</v>
      </c>
      <c r="EO12" s="75">
        <v>0</v>
      </c>
      <c r="EP12" s="75">
        <v>0</v>
      </c>
      <c r="EQ12" s="75">
        <v>0</v>
      </c>
      <c r="ER12" s="75">
        <v>0</v>
      </c>
      <c r="ES12" s="75">
        <v>0</v>
      </c>
      <c r="ET12" s="75">
        <v>0</v>
      </c>
      <c r="EU12" s="75">
        <v>0</v>
      </c>
      <c r="EV12" s="75">
        <v>0</v>
      </c>
      <c r="EW12" s="75">
        <v>0</v>
      </c>
      <c r="EX12" s="75">
        <v>0</v>
      </c>
      <c r="EY12" s="75">
        <v>0</v>
      </c>
      <c r="EZ12" s="75">
        <v>0</v>
      </c>
      <c r="FA12" s="75">
        <v>0</v>
      </c>
      <c r="FB12" s="75">
        <v>0</v>
      </c>
      <c r="FC12" s="75">
        <v>0</v>
      </c>
      <c r="FD12" s="75">
        <v>0</v>
      </c>
      <c r="FE12" s="75">
        <v>0</v>
      </c>
      <c r="FF12" s="75">
        <v>0</v>
      </c>
      <c r="FG12" s="75">
        <v>0</v>
      </c>
      <c r="FH12" s="75">
        <v>0</v>
      </c>
      <c r="FI12" s="75">
        <v>0</v>
      </c>
      <c r="FJ12" s="75">
        <v>8.8495575221238937E-2</v>
      </c>
      <c r="FK12" s="75">
        <v>8.8495575221238937E-2</v>
      </c>
      <c r="FL12" s="75">
        <v>8.8495575221238937E-2</v>
      </c>
      <c r="FM12" s="75">
        <v>8.8495575221238937E-2</v>
      </c>
      <c r="FN12" s="75">
        <v>8.8495575221238937E-2</v>
      </c>
      <c r="FO12" s="75">
        <v>8.8495575221238937E-2</v>
      </c>
      <c r="FP12" s="75">
        <v>8.8495575221238937E-2</v>
      </c>
      <c r="FQ12" s="75">
        <v>8.8495575221238937E-2</v>
      </c>
      <c r="FR12" s="75">
        <v>8.8495575221238937E-2</v>
      </c>
      <c r="FS12" s="75">
        <v>8.8495575221238937E-2</v>
      </c>
    </row>
    <row r="13" spans="1:175" s="75" customFormat="1" x14ac:dyDescent="0.3">
      <c r="A13" s="83"/>
      <c r="B13" s="102" t="s">
        <v>135</v>
      </c>
      <c r="C13" s="111" t="s">
        <v>276</v>
      </c>
      <c r="D13" s="74" t="s">
        <v>445</v>
      </c>
      <c r="E13" s="73">
        <f t="shared" si="5"/>
        <v>5</v>
      </c>
      <c r="F13" s="73">
        <v>1</v>
      </c>
      <c r="G13" s="73" t="s">
        <v>445</v>
      </c>
      <c r="H13" s="104">
        <v>36800000</v>
      </c>
      <c r="I13" s="105" t="str">
        <f>B12</f>
        <v>Product/Reactant13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40000</v>
      </c>
      <c r="P13" s="106">
        <v>1.256830601092896</v>
      </c>
      <c r="Q13" s="106">
        <v>1.256830601092896</v>
      </c>
      <c r="R13" s="106">
        <v>1.256830601092896</v>
      </c>
      <c r="S13" s="106">
        <v>1.256830601092896</v>
      </c>
      <c r="T13" s="106">
        <v>1.256830601092896</v>
      </c>
      <c r="U13" s="106">
        <v>1.256830601092896</v>
      </c>
      <c r="V13" s="106">
        <v>1.256830601092896</v>
      </c>
      <c r="W13" s="106">
        <v>1.256830601092896</v>
      </c>
      <c r="X13" s="106">
        <v>1.256830601092896</v>
      </c>
      <c r="Y13" s="106">
        <v>1.256830601092896</v>
      </c>
      <c r="Z13" s="106">
        <v>0</v>
      </c>
      <c r="AA13" s="106">
        <v>0</v>
      </c>
      <c r="AB13" s="106">
        <v>0</v>
      </c>
      <c r="AC13" s="106">
        <v>0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</v>
      </c>
      <c r="AJ13" s="106">
        <v>0</v>
      </c>
      <c r="AK13" s="106">
        <v>0</v>
      </c>
      <c r="AL13" s="106">
        <v>0</v>
      </c>
      <c r="AM13" s="106">
        <v>0</v>
      </c>
      <c r="AN13" s="106">
        <v>0</v>
      </c>
      <c r="AO13" s="106">
        <v>0</v>
      </c>
      <c r="AP13" s="106">
        <v>0</v>
      </c>
      <c r="AQ13" s="106">
        <v>0</v>
      </c>
      <c r="AR13" s="106">
        <v>0</v>
      </c>
      <c r="AS13" s="106">
        <v>0</v>
      </c>
      <c r="AT13" s="107">
        <v>0</v>
      </c>
      <c r="AU13" s="107">
        <v>0</v>
      </c>
      <c r="AV13" s="107">
        <v>0</v>
      </c>
      <c r="AW13" s="107">
        <v>0</v>
      </c>
      <c r="AX13" s="107">
        <v>0</v>
      </c>
      <c r="AY13" s="107">
        <v>0</v>
      </c>
      <c r="AZ13" s="107">
        <v>0</v>
      </c>
      <c r="BA13" s="107">
        <v>0</v>
      </c>
      <c r="BB13" s="107">
        <v>0</v>
      </c>
      <c r="BC13" s="107">
        <v>0</v>
      </c>
      <c r="BD13" s="107">
        <v>1</v>
      </c>
      <c r="BE13" s="107">
        <v>1</v>
      </c>
      <c r="BF13" s="107">
        <v>1</v>
      </c>
      <c r="BG13" s="107">
        <v>1</v>
      </c>
      <c r="BH13" s="107">
        <v>1</v>
      </c>
      <c r="BI13" s="107">
        <v>1</v>
      </c>
      <c r="BJ13" s="107">
        <v>1</v>
      </c>
      <c r="BK13" s="107">
        <v>1</v>
      </c>
      <c r="BL13" s="107">
        <v>1</v>
      </c>
      <c r="BM13" s="107">
        <v>1</v>
      </c>
      <c r="BN13" s="107">
        <v>1</v>
      </c>
      <c r="BO13" s="107">
        <v>1</v>
      </c>
      <c r="BP13" s="107">
        <v>1</v>
      </c>
      <c r="BQ13" s="107">
        <v>1</v>
      </c>
      <c r="BR13" s="107">
        <v>1</v>
      </c>
      <c r="BS13" s="107">
        <v>1</v>
      </c>
      <c r="BT13" s="107">
        <v>1</v>
      </c>
      <c r="BU13" s="107">
        <v>1</v>
      </c>
      <c r="BV13" s="107">
        <v>1</v>
      </c>
      <c r="BW13" s="107">
        <v>1</v>
      </c>
      <c r="BX13" s="108">
        <v>0</v>
      </c>
      <c r="BY13" s="108">
        <v>0</v>
      </c>
      <c r="BZ13" s="108">
        <v>0</v>
      </c>
      <c r="CA13" s="108">
        <v>0</v>
      </c>
      <c r="CB13" s="108">
        <v>0</v>
      </c>
      <c r="CC13" s="108">
        <v>0</v>
      </c>
      <c r="CD13" s="108">
        <v>0</v>
      </c>
      <c r="CE13" s="108">
        <v>0</v>
      </c>
      <c r="CF13" s="108">
        <v>0</v>
      </c>
      <c r="CG13" s="108">
        <v>0</v>
      </c>
      <c r="CH13" s="108">
        <v>0</v>
      </c>
      <c r="CI13" s="108">
        <v>0</v>
      </c>
      <c r="CJ13" s="108">
        <v>0</v>
      </c>
      <c r="CK13" s="108">
        <v>0</v>
      </c>
      <c r="CL13" s="108">
        <v>0</v>
      </c>
      <c r="CM13" s="108">
        <v>0</v>
      </c>
      <c r="CN13" s="108">
        <v>0</v>
      </c>
      <c r="CO13" s="108">
        <v>0</v>
      </c>
      <c r="CP13" s="108">
        <v>0</v>
      </c>
      <c r="CQ13" s="108">
        <v>0</v>
      </c>
      <c r="CR13" s="108">
        <v>0</v>
      </c>
      <c r="CS13" s="108">
        <v>0</v>
      </c>
      <c r="CT13" s="108">
        <v>0</v>
      </c>
      <c r="CU13" s="108">
        <v>0</v>
      </c>
      <c r="CV13" s="108">
        <v>0</v>
      </c>
      <c r="CW13" s="108">
        <v>0</v>
      </c>
      <c r="CX13" s="108">
        <v>0</v>
      </c>
      <c r="CY13" s="108">
        <v>0</v>
      </c>
      <c r="CZ13" s="108">
        <v>0</v>
      </c>
      <c r="DA13" s="108">
        <v>0</v>
      </c>
      <c r="DB13" s="110">
        <v>0</v>
      </c>
      <c r="DC13" s="110">
        <v>0</v>
      </c>
      <c r="DD13" s="110">
        <v>0</v>
      </c>
      <c r="DE13" s="75">
        <v>0</v>
      </c>
      <c r="DF13" s="110">
        <v>0</v>
      </c>
      <c r="DG13" s="75">
        <v>0</v>
      </c>
      <c r="DH13" s="110">
        <v>0</v>
      </c>
      <c r="DI13" s="75">
        <v>0</v>
      </c>
      <c r="DJ13" s="110">
        <v>0</v>
      </c>
      <c r="DK13" s="75">
        <v>0</v>
      </c>
      <c r="DL13" s="75">
        <v>0</v>
      </c>
      <c r="DM13" s="75">
        <v>0</v>
      </c>
      <c r="DN13" s="75">
        <v>0</v>
      </c>
      <c r="DO13" s="75">
        <v>0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0.503</v>
      </c>
      <c r="DW13" s="75">
        <v>0.35699999999999998</v>
      </c>
      <c r="DX13" s="75">
        <v>0.27700000000000002</v>
      </c>
      <c r="DY13" s="75">
        <v>0.503</v>
      </c>
      <c r="DZ13" s="75">
        <v>0.35699999999999998</v>
      </c>
      <c r="EA13" s="75">
        <v>0.27700000000000002</v>
      </c>
      <c r="EB13" s="75">
        <f>0.357+0.6465*(150-33)/1000</f>
        <v>0.43264049999999998</v>
      </c>
      <c r="EC13" s="75">
        <v>0.503</v>
      </c>
      <c r="ED13" s="75">
        <v>0.35699999999999998</v>
      </c>
      <c r="EE13" s="75">
        <v>0.27700000000000002</v>
      </c>
      <c r="EF13" s="75">
        <v>0</v>
      </c>
      <c r="EG13" s="75">
        <v>0</v>
      </c>
      <c r="EH13" s="75">
        <v>0</v>
      </c>
      <c r="EI13" s="75">
        <v>0</v>
      </c>
      <c r="EJ13" s="75">
        <v>0</v>
      </c>
      <c r="EK13" s="75">
        <v>0</v>
      </c>
      <c r="EL13" s="75">
        <v>0</v>
      </c>
      <c r="EM13" s="75">
        <v>0</v>
      </c>
      <c r="EN13" s="75">
        <v>0</v>
      </c>
      <c r="EO13" s="75">
        <v>0</v>
      </c>
      <c r="EP13" s="75">
        <v>0</v>
      </c>
      <c r="EQ13" s="75">
        <v>0</v>
      </c>
      <c r="ER13" s="75">
        <v>0</v>
      </c>
      <c r="ES13" s="75">
        <v>0</v>
      </c>
      <c r="ET13" s="75">
        <v>0</v>
      </c>
      <c r="EU13" s="75">
        <v>0</v>
      </c>
      <c r="EV13" s="75">
        <v>0</v>
      </c>
      <c r="EW13" s="75">
        <v>0</v>
      </c>
      <c r="EX13" s="75">
        <v>0</v>
      </c>
      <c r="EY13" s="75">
        <v>0</v>
      </c>
      <c r="EZ13" s="75">
        <v>0</v>
      </c>
      <c r="FA13" s="75">
        <v>0</v>
      </c>
      <c r="FB13" s="75">
        <v>0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0</v>
      </c>
      <c r="FK13" s="75">
        <v>0</v>
      </c>
      <c r="FL13" s="75">
        <v>0</v>
      </c>
      <c r="FM13" s="75">
        <v>0</v>
      </c>
      <c r="FN13" s="75">
        <v>0</v>
      </c>
      <c r="FO13" s="75">
        <v>0</v>
      </c>
      <c r="FP13" s="75">
        <v>0</v>
      </c>
      <c r="FQ13" s="75">
        <v>0</v>
      </c>
      <c r="FR13" s="75">
        <v>0</v>
      </c>
      <c r="FS13" s="75">
        <v>0</v>
      </c>
    </row>
    <row r="14" spans="1:175" s="118" customFormat="1" x14ac:dyDescent="0.3">
      <c r="A14" s="83"/>
      <c r="B14" s="112" t="s">
        <v>135</v>
      </c>
      <c r="C14" s="113" t="s">
        <v>171</v>
      </c>
      <c r="D14" s="114" t="s">
        <v>537</v>
      </c>
      <c r="E14" s="115">
        <f>ROW(D14)-ROW($E$8)</f>
        <v>6</v>
      </c>
      <c r="F14" s="115">
        <v>1</v>
      </c>
      <c r="G14" s="115" t="s">
        <v>444</v>
      </c>
      <c r="H14" s="116">
        <f>H15/P15</f>
        <v>16019678.032611715</v>
      </c>
      <c r="I14" s="117" t="str">
        <f>B15</f>
        <v>Reactant14</v>
      </c>
      <c r="J14" s="118">
        <v>0</v>
      </c>
      <c r="K14" s="118">
        <v>1</v>
      </c>
      <c r="L14" s="118">
        <v>0</v>
      </c>
      <c r="M14" s="118">
        <v>0</v>
      </c>
      <c r="N14" s="118">
        <v>0</v>
      </c>
      <c r="O14" s="118">
        <v>20000</v>
      </c>
      <c r="P14" s="119">
        <v>0.43531733784270965</v>
      </c>
      <c r="Q14" s="119">
        <v>0.43531733784270965</v>
      </c>
      <c r="R14" s="119">
        <v>0.56999999999999995</v>
      </c>
      <c r="S14" s="119">
        <v>0.43531733784270965</v>
      </c>
      <c r="T14" s="119">
        <v>0.43531733784270965</v>
      </c>
      <c r="U14" s="119">
        <v>0.56999999999999995</v>
      </c>
      <c r="V14" s="119">
        <v>0.43531733784270965</v>
      </c>
      <c r="W14" s="119">
        <v>0.43531733784270965</v>
      </c>
      <c r="X14" s="119">
        <v>0.43531733784270965</v>
      </c>
      <c r="Y14" s="119">
        <v>0.56999999999999995</v>
      </c>
      <c r="Z14" s="120">
        <v>0.94348439947985208</v>
      </c>
      <c r="AA14" s="120">
        <v>0.94348439947985208</v>
      </c>
      <c r="AB14" s="120">
        <v>0.94348439947985208</v>
      </c>
      <c r="AC14" s="120">
        <v>0.94348439947985208</v>
      </c>
      <c r="AD14" s="120">
        <v>0.94348439947985208</v>
      </c>
      <c r="AE14" s="120">
        <v>0.94348439947985208</v>
      </c>
      <c r="AF14" s="120">
        <v>0.94348439947985208</v>
      </c>
      <c r="AG14" s="120">
        <v>0.94348439947985208</v>
      </c>
      <c r="AH14" s="120">
        <v>0.94348439947985208</v>
      </c>
      <c r="AI14" s="120">
        <v>0.94348439947985208</v>
      </c>
      <c r="AJ14" s="119">
        <v>0</v>
      </c>
      <c r="AK14" s="119">
        <v>0</v>
      </c>
      <c r="AL14" s="119">
        <v>0</v>
      </c>
      <c r="AM14" s="119">
        <v>0</v>
      </c>
      <c r="AN14" s="119">
        <v>0</v>
      </c>
      <c r="AO14" s="119">
        <v>0</v>
      </c>
      <c r="AP14" s="119">
        <v>0</v>
      </c>
      <c r="AQ14" s="119">
        <v>0</v>
      </c>
      <c r="AR14" s="119">
        <v>0</v>
      </c>
      <c r="AS14" s="119">
        <v>0</v>
      </c>
      <c r="AT14" s="121">
        <v>0.4</v>
      </c>
      <c r="AU14" s="121">
        <v>0.4</v>
      </c>
      <c r="AV14" s="121">
        <v>0.2</v>
      </c>
      <c r="AW14" s="121">
        <v>0.4</v>
      </c>
      <c r="AX14" s="121">
        <v>0.2</v>
      </c>
      <c r="AY14" s="121">
        <v>0.1</v>
      </c>
      <c r="AZ14" s="121">
        <v>0.1</v>
      </c>
      <c r="BA14" s="121">
        <v>0.1</v>
      </c>
      <c r="BB14" s="121">
        <v>0.1</v>
      </c>
      <c r="BC14" s="121">
        <v>0.1</v>
      </c>
      <c r="BD14" s="121">
        <v>0.2</v>
      </c>
      <c r="BE14" s="121">
        <v>0.2</v>
      </c>
      <c r="BF14" s="121">
        <v>0.2</v>
      </c>
      <c r="BG14" s="121">
        <v>0.6</v>
      </c>
      <c r="BH14" s="121">
        <v>1</v>
      </c>
      <c r="BI14" s="121">
        <v>1</v>
      </c>
      <c r="BJ14" s="121">
        <v>1</v>
      </c>
      <c r="BK14" s="121">
        <v>1</v>
      </c>
      <c r="BL14" s="121">
        <v>1</v>
      </c>
      <c r="BM14" s="121">
        <v>1</v>
      </c>
      <c r="BN14" s="121">
        <v>0.2</v>
      </c>
      <c r="BO14" s="121">
        <v>0.2</v>
      </c>
      <c r="BP14" s="121">
        <v>0.2</v>
      </c>
      <c r="BQ14" s="121">
        <v>0.6</v>
      </c>
      <c r="BR14" s="121">
        <v>1</v>
      </c>
      <c r="BS14" s="121">
        <v>1</v>
      </c>
      <c r="BT14" s="121">
        <v>1</v>
      </c>
      <c r="BU14" s="121">
        <v>1</v>
      </c>
      <c r="BV14" s="121">
        <v>1</v>
      </c>
      <c r="BW14" s="121">
        <v>1</v>
      </c>
      <c r="BX14" s="119">
        <v>-0.50749670990787743</v>
      </c>
      <c r="BY14" s="119">
        <v>-0.50749670990787743</v>
      </c>
      <c r="BZ14" s="119">
        <v>-0.50749670990787743</v>
      </c>
      <c r="CA14" s="119">
        <v>-0.50749670990787743</v>
      </c>
      <c r="CB14" s="119">
        <v>-0.50749670990787743</v>
      </c>
      <c r="CC14" s="119">
        <v>-0.50749670990787743</v>
      </c>
      <c r="CD14" s="119">
        <v>-0.50749670990787743</v>
      </c>
      <c r="CE14" s="119">
        <v>-0.50749670990787743</v>
      </c>
      <c r="CF14" s="119">
        <v>-0.50749670990787743</v>
      </c>
      <c r="CG14" s="119">
        <v>-0.50749670990787743</v>
      </c>
      <c r="CH14" s="116">
        <v>18309.859154929578</v>
      </c>
      <c r="CI14" s="116">
        <v>18309.859154929578</v>
      </c>
      <c r="CJ14" s="116">
        <v>18309.859154929578</v>
      </c>
      <c r="CK14" s="116">
        <v>18309.859154929578</v>
      </c>
      <c r="CL14" s="116">
        <v>18309.859154929578</v>
      </c>
      <c r="CM14" s="116">
        <v>18309.859154929578</v>
      </c>
      <c r="CN14" s="116">
        <v>18309.859154929578</v>
      </c>
      <c r="CO14" s="116">
        <v>18309.859154929578</v>
      </c>
      <c r="CP14" s="116">
        <v>18309.859154929578</v>
      </c>
      <c r="CQ14" s="116">
        <v>18309.859154929578</v>
      </c>
      <c r="CR14" s="122">
        <v>845.07042253521126</v>
      </c>
      <c r="CS14" s="122">
        <v>845.07042253521126</v>
      </c>
      <c r="CT14" s="122">
        <v>845.07042253521126</v>
      </c>
      <c r="CU14" s="122">
        <v>845.07042253521126</v>
      </c>
      <c r="CV14" s="122">
        <v>845.07042253521126</v>
      </c>
      <c r="CW14" s="122">
        <v>845.07042253521126</v>
      </c>
      <c r="CX14" s="122">
        <v>845.07042253521126</v>
      </c>
      <c r="CY14" s="122">
        <v>845.07042253521126</v>
      </c>
      <c r="CZ14" s="122">
        <v>845.07042253521126</v>
      </c>
      <c r="DA14" s="122">
        <v>845.07042253521126</v>
      </c>
      <c r="DB14" s="123">
        <v>0</v>
      </c>
      <c r="DC14" s="123">
        <v>0</v>
      </c>
      <c r="DD14" s="123">
        <v>0</v>
      </c>
      <c r="DE14" s="123">
        <v>0</v>
      </c>
      <c r="DF14" s="123">
        <v>0</v>
      </c>
      <c r="DG14" s="123">
        <v>0</v>
      </c>
      <c r="DH14" s="123">
        <v>0</v>
      </c>
      <c r="DI14" s="123">
        <v>0</v>
      </c>
      <c r="DJ14" s="123">
        <v>0</v>
      </c>
      <c r="DK14" s="123">
        <v>0</v>
      </c>
      <c r="DL14" s="123">
        <v>0</v>
      </c>
      <c r="DM14" s="123">
        <v>0</v>
      </c>
      <c r="DN14" s="123">
        <v>0</v>
      </c>
      <c r="DO14" s="123">
        <v>0</v>
      </c>
      <c r="DP14" s="123">
        <v>0</v>
      </c>
      <c r="DQ14" s="123">
        <v>0</v>
      </c>
      <c r="DR14" s="123">
        <v>0</v>
      </c>
      <c r="DS14" s="123">
        <v>0</v>
      </c>
      <c r="DT14" s="123">
        <v>0</v>
      </c>
      <c r="DU14" s="123">
        <v>0</v>
      </c>
      <c r="DV14" s="123">
        <v>0</v>
      </c>
      <c r="DW14" s="123">
        <v>0</v>
      </c>
      <c r="DX14" s="123">
        <v>0</v>
      </c>
      <c r="DY14" s="123">
        <v>0</v>
      </c>
      <c r="DZ14" s="123">
        <v>0</v>
      </c>
      <c r="EA14" s="123">
        <v>0</v>
      </c>
      <c r="EB14" s="123">
        <v>0</v>
      </c>
      <c r="EC14" s="123">
        <v>0</v>
      </c>
      <c r="ED14" s="123">
        <v>0</v>
      </c>
      <c r="EE14" s="123">
        <v>0</v>
      </c>
      <c r="EF14" s="118">
        <v>0</v>
      </c>
      <c r="EG14" s="118">
        <v>0</v>
      </c>
      <c r="EH14" s="118">
        <v>0</v>
      </c>
      <c r="EI14" s="118">
        <v>0</v>
      </c>
      <c r="EJ14" s="118">
        <v>0</v>
      </c>
      <c r="EK14" s="118">
        <v>0</v>
      </c>
      <c r="EL14" s="118">
        <v>0</v>
      </c>
      <c r="EM14" s="118">
        <v>0</v>
      </c>
      <c r="EN14" s="118">
        <v>0</v>
      </c>
      <c r="EO14" s="118">
        <v>0</v>
      </c>
      <c r="EP14" s="119">
        <v>0.27928510998307954</v>
      </c>
      <c r="EQ14" s="119">
        <v>0.27928510998307954</v>
      </c>
      <c r="ER14" s="119">
        <v>0.27928510998307954</v>
      </c>
      <c r="ES14" s="119">
        <v>0.27928510998307954</v>
      </c>
      <c r="ET14" s="119">
        <v>0.27928510998307954</v>
      </c>
      <c r="EU14" s="119">
        <v>0.27928510998307954</v>
      </c>
      <c r="EV14" s="119">
        <v>0.27928510998307954</v>
      </c>
      <c r="EW14" s="119">
        <v>0.27928510998307954</v>
      </c>
      <c r="EX14" s="119">
        <v>0.27928510998307954</v>
      </c>
      <c r="EY14" s="119">
        <v>0.27928510998307954</v>
      </c>
      <c r="EZ14" s="119">
        <v>0</v>
      </c>
      <c r="FA14" s="119">
        <v>0</v>
      </c>
      <c r="FB14" s="119">
        <v>0</v>
      </c>
      <c r="FC14" s="119">
        <v>0</v>
      </c>
      <c r="FD14" s="119">
        <v>0</v>
      </c>
      <c r="FE14" s="119">
        <v>0</v>
      </c>
      <c r="FF14" s="119">
        <v>0</v>
      </c>
      <c r="FG14" s="119">
        <v>0</v>
      </c>
      <c r="FH14" s="119">
        <v>0</v>
      </c>
      <c r="FI14" s="119">
        <v>0</v>
      </c>
      <c r="FJ14" s="118">
        <v>8.8495575221238937E-2</v>
      </c>
      <c r="FK14" s="118">
        <v>8.8495575221238937E-2</v>
      </c>
      <c r="FL14" s="118">
        <v>8.8495575221238937E-2</v>
      </c>
      <c r="FM14" s="118">
        <v>8.8495575221238937E-2</v>
      </c>
      <c r="FN14" s="118">
        <v>8.8495575221238937E-2</v>
      </c>
      <c r="FO14" s="118">
        <v>8.8495575221238937E-2</v>
      </c>
      <c r="FP14" s="118">
        <v>8.8495575221238937E-2</v>
      </c>
      <c r="FQ14" s="118">
        <v>8.8495575221238937E-2</v>
      </c>
      <c r="FR14" s="118">
        <v>8.8495575221238937E-2</v>
      </c>
      <c r="FS14" s="118">
        <v>8.8495575221238937E-2</v>
      </c>
    </row>
    <row r="15" spans="1:175" s="118" customFormat="1" x14ac:dyDescent="0.3">
      <c r="A15" s="83"/>
      <c r="B15" s="112" t="s">
        <v>446</v>
      </c>
      <c r="C15" s="115" t="s">
        <v>276</v>
      </c>
      <c r="D15" s="114" t="s">
        <v>447</v>
      </c>
      <c r="E15" s="115">
        <f t="shared" si="5"/>
        <v>7</v>
      </c>
      <c r="F15" s="115">
        <v>1</v>
      </c>
      <c r="G15" s="115" t="s">
        <v>447</v>
      </c>
      <c r="H15" s="116">
        <v>36800000</v>
      </c>
      <c r="I15" s="117" t="s">
        <v>12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40000</v>
      </c>
      <c r="P15" s="120">
        <f>1/P14</f>
        <v>2.2971747575129284</v>
      </c>
      <c r="Q15" s="120">
        <f>1/Q14</f>
        <v>2.2971747575129284</v>
      </c>
      <c r="R15" s="120">
        <f>1/R14</f>
        <v>1.7543859649122808</v>
      </c>
      <c r="S15" s="120">
        <f>1/S14</f>
        <v>2.2971747575129284</v>
      </c>
      <c r="T15" s="120">
        <f>1/T14</f>
        <v>2.2971747575129284</v>
      </c>
      <c r="U15" s="120">
        <f>1/U14</f>
        <v>1.7543859649122808</v>
      </c>
      <c r="V15" s="120">
        <f>1/V14</f>
        <v>2.2971747575129284</v>
      </c>
      <c r="W15" s="120">
        <f>1/W14</f>
        <v>2.2971747575129284</v>
      </c>
      <c r="X15" s="120">
        <f>1/X14</f>
        <v>2.2971747575129284</v>
      </c>
      <c r="Y15" s="120">
        <f>1/Y14</f>
        <v>1.7543859649122808</v>
      </c>
      <c r="Z15" s="119">
        <v>0</v>
      </c>
      <c r="AA15" s="119">
        <v>0</v>
      </c>
      <c r="AB15" s="119">
        <v>0</v>
      </c>
      <c r="AC15" s="119">
        <v>0</v>
      </c>
      <c r="AD15" s="119">
        <v>0</v>
      </c>
      <c r="AE15" s="119">
        <v>0</v>
      </c>
      <c r="AF15" s="119">
        <v>0</v>
      </c>
      <c r="AG15" s="119">
        <v>0</v>
      </c>
      <c r="AH15" s="119">
        <v>0</v>
      </c>
      <c r="AI15" s="119">
        <v>0</v>
      </c>
      <c r="AJ15" s="119">
        <v>0</v>
      </c>
      <c r="AK15" s="119">
        <v>0</v>
      </c>
      <c r="AL15" s="119">
        <v>0</v>
      </c>
      <c r="AM15" s="119">
        <v>0</v>
      </c>
      <c r="AN15" s="119">
        <v>0</v>
      </c>
      <c r="AO15" s="119">
        <v>0</v>
      </c>
      <c r="AP15" s="119">
        <v>0</v>
      </c>
      <c r="AQ15" s="119">
        <v>0</v>
      </c>
      <c r="AR15" s="119">
        <v>0</v>
      </c>
      <c r="AS15" s="119">
        <v>0</v>
      </c>
      <c r="AT15" s="121">
        <v>0</v>
      </c>
      <c r="AU15" s="121">
        <v>0</v>
      </c>
      <c r="AV15" s="121">
        <v>0</v>
      </c>
      <c r="AW15" s="121">
        <v>0</v>
      </c>
      <c r="AX15" s="121">
        <v>0</v>
      </c>
      <c r="AY15" s="121">
        <v>0</v>
      </c>
      <c r="AZ15" s="121">
        <v>0</v>
      </c>
      <c r="BA15" s="121">
        <v>0</v>
      </c>
      <c r="BB15" s="121">
        <v>0</v>
      </c>
      <c r="BC15" s="121">
        <v>0</v>
      </c>
      <c r="BD15" s="121">
        <v>1</v>
      </c>
      <c r="BE15" s="121">
        <v>1</v>
      </c>
      <c r="BF15" s="121">
        <v>1</v>
      </c>
      <c r="BG15" s="121">
        <v>1</v>
      </c>
      <c r="BH15" s="121">
        <v>1</v>
      </c>
      <c r="BI15" s="121">
        <v>1</v>
      </c>
      <c r="BJ15" s="121">
        <v>1</v>
      </c>
      <c r="BK15" s="121">
        <v>1</v>
      </c>
      <c r="BL15" s="121">
        <v>1</v>
      </c>
      <c r="BM15" s="121">
        <v>1</v>
      </c>
      <c r="BN15" s="121">
        <v>1</v>
      </c>
      <c r="BO15" s="121">
        <v>1</v>
      </c>
      <c r="BP15" s="121">
        <v>1</v>
      </c>
      <c r="BQ15" s="121">
        <v>1</v>
      </c>
      <c r="BR15" s="121">
        <v>1</v>
      </c>
      <c r="BS15" s="121">
        <v>1</v>
      </c>
      <c r="BT15" s="121">
        <v>1</v>
      </c>
      <c r="BU15" s="121">
        <v>1</v>
      </c>
      <c r="BV15" s="121">
        <v>1</v>
      </c>
      <c r="BW15" s="121">
        <v>1</v>
      </c>
      <c r="BX15" s="124">
        <v>0</v>
      </c>
      <c r="BY15" s="124">
        <v>0</v>
      </c>
      <c r="BZ15" s="124">
        <v>0</v>
      </c>
      <c r="CA15" s="124">
        <v>0</v>
      </c>
      <c r="CB15" s="124">
        <v>0</v>
      </c>
      <c r="CC15" s="124">
        <v>0</v>
      </c>
      <c r="CD15" s="124">
        <v>0</v>
      </c>
      <c r="CE15" s="124">
        <v>0</v>
      </c>
      <c r="CF15" s="124">
        <v>0</v>
      </c>
      <c r="CG15" s="124">
        <v>0</v>
      </c>
      <c r="CH15" s="124">
        <v>0</v>
      </c>
      <c r="CI15" s="124">
        <v>0</v>
      </c>
      <c r="CJ15" s="124">
        <v>0</v>
      </c>
      <c r="CK15" s="124">
        <v>0</v>
      </c>
      <c r="CL15" s="124">
        <v>0</v>
      </c>
      <c r="CM15" s="124">
        <v>0</v>
      </c>
      <c r="CN15" s="124">
        <v>0</v>
      </c>
      <c r="CO15" s="124">
        <v>0</v>
      </c>
      <c r="CP15" s="124">
        <v>0</v>
      </c>
      <c r="CQ15" s="124">
        <v>0</v>
      </c>
      <c r="CR15" s="124">
        <v>0</v>
      </c>
      <c r="CS15" s="124">
        <v>0</v>
      </c>
      <c r="CT15" s="124">
        <v>0</v>
      </c>
      <c r="CU15" s="124">
        <v>0</v>
      </c>
      <c r="CV15" s="124">
        <v>0</v>
      </c>
      <c r="CW15" s="124">
        <v>0</v>
      </c>
      <c r="CX15" s="124">
        <v>0</v>
      </c>
      <c r="CY15" s="124">
        <v>0</v>
      </c>
      <c r="CZ15" s="124">
        <v>0</v>
      </c>
      <c r="DA15" s="124">
        <v>0</v>
      </c>
      <c r="DB15" s="123">
        <v>0</v>
      </c>
      <c r="DC15" s="123">
        <v>0</v>
      </c>
      <c r="DD15" s="123">
        <v>0</v>
      </c>
      <c r="DE15" s="118">
        <v>0</v>
      </c>
      <c r="DF15" s="123">
        <v>0</v>
      </c>
      <c r="DG15" s="118">
        <v>0</v>
      </c>
      <c r="DH15" s="123">
        <v>0</v>
      </c>
      <c r="DI15" s="118">
        <v>0</v>
      </c>
      <c r="DJ15" s="123">
        <v>0</v>
      </c>
      <c r="DK15" s="118">
        <v>0</v>
      </c>
      <c r="DL15" s="118">
        <v>0</v>
      </c>
      <c r="DM15" s="118">
        <v>0</v>
      </c>
      <c r="DN15" s="118">
        <v>0</v>
      </c>
      <c r="DO15" s="118">
        <v>0</v>
      </c>
      <c r="DP15" s="118">
        <v>0</v>
      </c>
      <c r="DQ15" s="118">
        <v>0</v>
      </c>
      <c r="DR15" s="118">
        <v>0</v>
      </c>
      <c r="DS15" s="118">
        <v>0</v>
      </c>
      <c r="DT15" s="118">
        <v>0</v>
      </c>
      <c r="DU15" s="118">
        <v>0</v>
      </c>
      <c r="DV15" s="118">
        <v>0.503</v>
      </c>
      <c r="DW15" s="118">
        <v>0.35699999999999998</v>
      </c>
      <c r="DX15" s="118">
        <v>0.27700000000000002</v>
      </c>
      <c r="DY15" s="118">
        <v>0.503</v>
      </c>
      <c r="DZ15" s="118">
        <v>0.35699999999999998</v>
      </c>
      <c r="EA15" s="118">
        <v>0.27700000000000002</v>
      </c>
      <c r="EB15" s="118">
        <v>0.35699999999999998</v>
      </c>
      <c r="EC15" s="118">
        <v>0.503</v>
      </c>
      <c r="ED15" s="118">
        <v>0.35699999999999998</v>
      </c>
      <c r="EE15" s="118">
        <v>0.27700000000000002</v>
      </c>
      <c r="EF15" s="118">
        <v>0</v>
      </c>
      <c r="EG15" s="118">
        <v>0</v>
      </c>
      <c r="EH15" s="118">
        <v>0</v>
      </c>
      <c r="EI15" s="118">
        <v>0</v>
      </c>
      <c r="EJ15" s="118">
        <v>0</v>
      </c>
      <c r="EK15" s="118">
        <v>0</v>
      </c>
      <c r="EL15" s="118">
        <v>0</v>
      </c>
      <c r="EM15" s="118">
        <v>0</v>
      </c>
      <c r="EN15" s="118">
        <v>0</v>
      </c>
      <c r="EO15" s="118">
        <v>0</v>
      </c>
      <c r="EP15" s="118">
        <v>0</v>
      </c>
      <c r="EQ15" s="118">
        <v>0</v>
      </c>
      <c r="ER15" s="118">
        <v>0</v>
      </c>
      <c r="ES15" s="118">
        <v>0</v>
      </c>
      <c r="ET15" s="118">
        <v>0</v>
      </c>
      <c r="EU15" s="118">
        <v>0</v>
      </c>
      <c r="EV15" s="118">
        <v>0</v>
      </c>
      <c r="EW15" s="118">
        <v>0</v>
      </c>
      <c r="EX15" s="118">
        <v>0</v>
      </c>
      <c r="EY15" s="118">
        <v>0</v>
      </c>
      <c r="EZ15" s="118">
        <v>0</v>
      </c>
      <c r="FA15" s="118">
        <v>0</v>
      </c>
      <c r="FB15" s="118">
        <v>0</v>
      </c>
      <c r="FC15" s="118">
        <v>0</v>
      </c>
      <c r="FD15" s="118">
        <v>0</v>
      </c>
      <c r="FE15" s="118">
        <v>0</v>
      </c>
      <c r="FF15" s="118">
        <v>0</v>
      </c>
      <c r="FG15" s="118">
        <v>0</v>
      </c>
      <c r="FH15" s="118">
        <v>0</v>
      </c>
      <c r="FI15" s="118">
        <v>0</v>
      </c>
      <c r="FJ15" s="118">
        <v>0</v>
      </c>
      <c r="FK15" s="118">
        <v>0</v>
      </c>
      <c r="FL15" s="118">
        <v>0</v>
      </c>
      <c r="FM15" s="118">
        <v>0</v>
      </c>
      <c r="FN15" s="118">
        <v>0</v>
      </c>
      <c r="FO15" s="118">
        <v>0</v>
      </c>
      <c r="FP15" s="118">
        <v>0</v>
      </c>
      <c r="FQ15" s="118">
        <v>0</v>
      </c>
      <c r="FR15" s="118">
        <v>0</v>
      </c>
      <c r="FS15" s="118">
        <v>0</v>
      </c>
    </row>
    <row r="16" spans="1:175" s="131" customFormat="1" x14ac:dyDescent="0.3">
      <c r="A16" s="83"/>
      <c r="B16" s="125" t="s">
        <v>515</v>
      </c>
      <c r="C16" s="126" t="s">
        <v>171</v>
      </c>
      <c r="D16" s="127" t="s">
        <v>538</v>
      </c>
      <c r="E16" s="128">
        <f t="shared" si="5"/>
        <v>8</v>
      </c>
      <c r="F16" s="128">
        <v>1</v>
      </c>
      <c r="G16" s="128" t="s">
        <v>513</v>
      </c>
      <c r="H16" s="129">
        <v>59860000</v>
      </c>
      <c r="I16" s="130" t="str">
        <f>B25</f>
        <v>Reactant11</v>
      </c>
      <c r="J16" s="131">
        <v>0</v>
      </c>
      <c r="K16" s="131">
        <v>1</v>
      </c>
      <c r="L16" s="131">
        <v>0</v>
      </c>
      <c r="M16" s="131">
        <v>0</v>
      </c>
      <c r="N16" s="131">
        <v>0</v>
      </c>
      <c r="O16" s="131">
        <v>20000</v>
      </c>
      <c r="P16" s="132">
        <f>0.96244</f>
        <v>0.96243999999999996</v>
      </c>
      <c r="Q16" s="132">
        <f t="shared" ref="Q16:Y16" si="14">0.96244</f>
        <v>0.96243999999999996</v>
      </c>
      <c r="R16" s="132">
        <f t="shared" si="14"/>
        <v>0.96243999999999996</v>
      </c>
      <c r="S16" s="132">
        <f t="shared" si="14"/>
        <v>0.96243999999999996</v>
      </c>
      <c r="T16" s="132">
        <f t="shared" si="14"/>
        <v>0.96243999999999996</v>
      </c>
      <c r="U16" s="132">
        <f t="shared" si="14"/>
        <v>0.96243999999999996</v>
      </c>
      <c r="V16" s="132">
        <f t="shared" si="14"/>
        <v>0.96243999999999996</v>
      </c>
      <c r="W16" s="132">
        <f t="shared" si="14"/>
        <v>0.96243999999999996</v>
      </c>
      <c r="X16" s="132">
        <f t="shared" si="14"/>
        <v>0.96243999999999996</v>
      </c>
      <c r="Y16" s="132">
        <f t="shared" si="14"/>
        <v>0.96243999999999996</v>
      </c>
      <c r="Z16" s="133">
        <v>1.390244</v>
      </c>
      <c r="AA16" s="133">
        <v>1.390244</v>
      </c>
      <c r="AB16" s="133">
        <v>1.390244</v>
      </c>
      <c r="AC16" s="133">
        <v>1.390244</v>
      </c>
      <c r="AD16" s="133">
        <v>1.390244</v>
      </c>
      <c r="AE16" s="133">
        <v>1.390244</v>
      </c>
      <c r="AF16" s="133">
        <v>1.390244</v>
      </c>
      <c r="AG16" s="133">
        <v>1.390244</v>
      </c>
      <c r="AH16" s="133">
        <v>1.390244</v>
      </c>
      <c r="AI16" s="133">
        <v>1.390244</v>
      </c>
      <c r="AJ16" s="133">
        <v>0</v>
      </c>
      <c r="AK16" s="133">
        <v>0</v>
      </c>
      <c r="AL16" s="133">
        <v>0</v>
      </c>
      <c r="AM16" s="133">
        <v>0</v>
      </c>
      <c r="AN16" s="133">
        <v>0</v>
      </c>
      <c r="AO16" s="133">
        <v>0</v>
      </c>
      <c r="AP16" s="133">
        <v>0</v>
      </c>
      <c r="AQ16" s="133">
        <v>0</v>
      </c>
      <c r="AR16" s="133">
        <v>0</v>
      </c>
      <c r="AS16" s="133">
        <v>0</v>
      </c>
      <c r="AT16" s="134">
        <v>0.4</v>
      </c>
      <c r="AU16" s="134">
        <v>0.4</v>
      </c>
      <c r="AV16" s="134">
        <v>0.2</v>
      </c>
      <c r="AW16" s="134">
        <v>0.4</v>
      </c>
      <c r="AX16" s="134">
        <v>0.2</v>
      </c>
      <c r="AY16" s="134">
        <v>0.1</v>
      </c>
      <c r="AZ16" s="134">
        <v>0.1</v>
      </c>
      <c r="BA16" s="134">
        <v>0.1</v>
      </c>
      <c r="BB16" s="134">
        <v>0.1</v>
      </c>
      <c r="BC16" s="134">
        <v>0.1</v>
      </c>
      <c r="BD16" s="134">
        <v>0.2</v>
      </c>
      <c r="BE16" s="134">
        <v>0.2</v>
      </c>
      <c r="BF16" s="134">
        <v>0.2</v>
      </c>
      <c r="BG16" s="134">
        <v>0.6</v>
      </c>
      <c r="BH16" s="134">
        <v>1</v>
      </c>
      <c r="BI16" s="134">
        <v>1</v>
      </c>
      <c r="BJ16" s="134">
        <v>1</v>
      </c>
      <c r="BK16" s="134">
        <v>1</v>
      </c>
      <c r="BL16" s="134">
        <v>1</v>
      </c>
      <c r="BM16" s="134">
        <v>1</v>
      </c>
      <c r="BN16" s="134">
        <v>0.2</v>
      </c>
      <c r="BO16" s="134">
        <v>0.2</v>
      </c>
      <c r="BP16" s="134">
        <v>0.2</v>
      </c>
      <c r="BQ16" s="134">
        <v>0.6</v>
      </c>
      <c r="BR16" s="134">
        <v>1</v>
      </c>
      <c r="BS16" s="134">
        <v>1</v>
      </c>
      <c r="BT16" s="134">
        <v>1</v>
      </c>
      <c r="BU16" s="134">
        <v>1</v>
      </c>
      <c r="BV16" s="134">
        <v>1</v>
      </c>
      <c r="BW16" s="134">
        <v>1</v>
      </c>
      <c r="BX16" s="135"/>
      <c r="BY16" s="135"/>
      <c r="BZ16" s="135"/>
      <c r="CA16" s="135"/>
      <c r="CB16" s="135">
        <v>4.0829269999999998</v>
      </c>
      <c r="CC16" s="135"/>
      <c r="CD16" s="135"/>
      <c r="CE16" s="135"/>
      <c r="CF16" s="135"/>
      <c r="CG16" s="135"/>
      <c r="CH16" s="129">
        <v>18309.859154929578</v>
      </c>
      <c r="CI16" s="129">
        <v>18309.859154929578</v>
      </c>
      <c r="CJ16" s="129">
        <v>18309.859154929578</v>
      </c>
      <c r="CK16" s="129">
        <v>18309.859154929578</v>
      </c>
      <c r="CL16" s="129">
        <v>18309.859154929578</v>
      </c>
      <c r="CM16" s="129">
        <v>18309.859154929578</v>
      </c>
      <c r="CN16" s="129">
        <v>18309.859154929578</v>
      </c>
      <c r="CO16" s="129">
        <v>18309.859154929578</v>
      </c>
      <c r="CP16" s="129">
        <v>18309.859154929578</v>
      </c>
      <c r="CQ16" s="129">
        <v>18309.859154929578</v>
      </c>
      <c r="CR16" s="136">
        <v>845.07042253521126</v>
      </c>
      <c r="CS16" s="136">
        <v>845.07042253521126</v>
      </c>
      <c r="CT16" s="136">
        <v>845.07042253521126</v>
      </c>
      <c r="CU16" s="136">
        <v>845.07042253521126</v>
      </c>
      <c r="CV16" s="136">
        <v>845.07042253521126</v>
      </c>
      <c r="CW16" s="136">
        <v>845.07042253521126</v>
      </c>
      <c r="CX16" s="136">
        <v>845.07042253521126</v>
      </c>
      <c r="CY16" s="136">
        <v>845.07042253521126</v>
      </c>
      <c r="CZ16" s="136">
        <v>845.07042253521126</v>
      </c>
      <c r="DA16" s="136">
        <v>845.07042253521126</v>
      </c>
      <c r="DB16" s="137">
        <v>0</v>
      </c>
      <c r="DC16" s="137">
        <v>0</v>
      </c>
      <c r="DD16" s="137">
        <v>0</v>
      </c>
      <c r="DE16" s="131">
        <v>0</v>
      </c>
      <c r="DF16" s="137">
        <v>0</v>
      </c>
      <c r="DG16" s="131">
        <v>0</v>
      </c>
      <c r="DH16" s="137">
        <v>0</v>
      </c>
      <c r="DI16" s="131">
        <v>0</v>
      </c>
      <c r="DJ16" s="137">
        <v>0</v>
      </c>
      <c r="DK16" s="131">
        <v>0</v>
      </c>
      <c r="DL16" s="131">
        <v>0</v>
      </c>
      <c r="DM16" s="131">
        <v>0</v>
      </c>
      <c r="DN16" s="131">
        <v>0</v>
      </c>
      <c r="DO16" s="131">
        <v>0</v>
      </c>
      <c r="DP16" s="131">
        <v>0</v>
      </c>
      <c r="DQ16" s="131">
        <v>0</v>
      </c>
      <c r="DR16" s="131">
        <v>0</v>
      </c>
      <c r="DS16" s="131">
        <v>0</v>
      </c>
      <c r="DT16" s="131">
        <v>0</v>
      </c>
      <c r="DU16" s="131">
        <v>0</v>
      </c>
      <c r="DV16" s="131">
        <v>0</v>
      </c>
      <c r="DW16" s="131">
        <v>0</v>
      </c>
      <c r="DX16" s="131">
        <v>0</v>
      </c>
      <c r="DY16" s="131">
        <v>0</v>
      </c>
      <c r="DZ16" s="131">
        <v>0</v>
      </c>
      <c r="EA16" s="131">
        <v>0</v>
      </c>
      <c r="EB16" s="131">
        <v>0</v>
      </c>
      <c r="EC16" s="131">
        <v>0</v>
      </c>
      <c r="ED16" s="131">
        <v>0</v>
      </c>
      <c r="EE16" s="131">
        <v>0</v>
      </c>
      <c r="EF16" s="131">
        <v>0</v>
      </c>
      <c r="EG16" s="131">
        <v>0</v>
      </c>
      <c r="EH16" s="131">
        <v>0</v>
      </c>
      <c r="EI16" s="131">
        <v>0</v>
      </c>
      <c r="EJ16" s="131">
        <v>0</v>
      </c>
      <c r="EK16" s="131">
        <v>0</v>
      </c>
      <c r="EL16" s="131">
        <v>0</v>
      </c>
      <c r="EM16" s="131">
        <v>0</v>
      </c>
      <c r="EN16" s="131">
        <v>0</v>
      </c>
      <c r="EO16" s="131">
        <v>0</v>
      </c>
      <c r="EP16" s="131">
        <v>0</v>
      </c>
      <c r="EQ16" s="131">
        <v>0</v>
      </c>
      <c r="ER16" s="131">
        <v>0</v>
      </c>
      <c r="ES16" s="131">
        <v>0</v>
      </c>
      <c r="ET16" s="131">
        <v>0</v>
      </c>
      <c r="EU16" s="131">
        <v>0</v>
      </c>
      <c r="EV16" s="131">
        <v>0</v>
      </c>
      <c r="EW16" s="131">
        <v>0</v>
      </c>
      <c r="EX16" s="131">
        <v>0</v>
      </c>
      <c r="EY16" s="131">
        <v>0</v>
      </c>
      <c r="EZ16" s="131">
        <v>0</v>
      </c>
      <c r="FA16" s="131">
        <v>0</v>
      </c>
      <c r="FB16" s="131">
        <v>0</v>
      </c>
      <c r="FC16" s="131">
        <v>0</v>
      </c>
      <c r="FD16" s="131">
        <v>0</v>
      </c>
      <c r="FE16" s="131">
        <v>0</v>
      </c>
      <c r="FF16" s="131">
        <v>0</v>
      </c>
      <c r="FG16" s="131">
        <v>0</v>
      </c>
      <c r="FH16" s="131">
        <v>0</v>
      </c>
      <c r="FI16" s="131">
        <v>0</v>
      </c>
      <c r="FJ16" s="131">
        <v>8.8495575221238937E-2</v>
      </c>
      <c r="FK16" s="131">
        <v>8.8495575221238937E-2</v>
      </c>
      <c r="FL16" s="131">
        <v>8.8495575221238937E-2</v>
      </c>
      <c r="FM16" s="131">
        <v>8.8495575221238937E-2</v>
      </c>
      <c r="FN16" s="131">
        <v>8.8495575221238937E-2</v>
      </c>
      <c r="FO16" s="131">
        <v>8.8495575221238937E-2</v>
      </c>
      <c r="FP16" s="131">
        <v>8.8495575221238937E-2</v>
      </c>
      <c r="FQ16" s="131">
        <v>8.8495575221238937E-2</v>
      </c>
      <c r="FR16" s="131">
        <v>8.8495575221238937E-2</v>
      </c>
      <c r="FS16" s="131">
        <v>8.8495575221238937E-2</v>
      </c>
    </row>
    <row r="17" spans="1:175" s="131" customFormat="1" x14ac:dyDescent="0.3">
      <c r="A17" s="83"/>
      <c r="B17" s="125" t="s">
        <v>135</v>
      </c>
      <c r="C17" s="128" t="s">
        <v>276</v>
      </c>
      <c r="D17" s="127" t="s">
        <v>514</v>
      </c>
      <c r="E17" s="128">
        <f t="shared" si="5"/>
        <v>9</v>
      </c>
      <c r="F17" s="128">
        <v>1</v>
      </c>
      <c r="G17" s="128" t="s">
        <v>514</v>
      </c>
      <c r="H17" s="129">
        <v>0</v>
      </c>
      <c r="I17" s="130" t="str">
        <f>B16</f>
        <v>Product/Reactant15</v>
      </c>
      <c r="J17" s="131">
        <v>0</v>
      </c>
      <c r="K17" s="131">
        <v>0</v>
      </c>
      <c r="L17" s="131">
        <v>0</v>
      </c>
      <c r="M17" s="131">
        <v>0</v>
      </c>
      <c r="N17" s="131">
        <v>0</v>
      </c>
      <c r="O17" s="131">
        <v>40000</v>
      </c>
      <c r="P17" s="132">
        <v>0.84146341258179658</v>
      </c>
      <c r="Q17" s="132">
        <v>0.84146341258179658</v>
      </c>
      <c r="R17" s="132">
        <v>0.84146341258179658</v>
      </c>
      <c r="S17" s="132">
        <v>0.84146341258179658</v>
      </c>
      <c r="T17" s="132">
        <v>0.84146341258179658</v>
      </c>
      <c r="U17" s="132">
        <v>0.84146341258179658</v>
      </c>
      <c r="V17" s="132">
        <v>0.84146341258179658</v>
      </c>
      <c r="W17" s="132">
        <v>0.84146341258179658</v>
      </c>
      <c r="X17" s="132">
        <v>0.84146341258179658</v>
      </c>
      <c r="Y17" s="132">
        <v>0.84146341258179658</v>
      </c>
      <c r="Z17" s="133">
        <v>0</v>
      </c>
      <c r="AA17" s="133">
        <v>0</v>
      </c>
      <c r="AB17" s="133">
        <v>0</v>
      </c>
      <c r="AC17" s="133">
        <v>0</v>
      </c>
      <c r="AD17" s="133">
        <v>0</v>
      </c>
      <c r="AE17" s="133">
        <v>0</v>
      </c>
      <c r="AF17" s="133">
        <v>0</v>
      </c>
      <c r="AG17" s="133">
        <v>0</v>
      </c>
      <c r="AH17" s="133">
        <v>0</v>
      </c>
      <c r="AI17" s="133">
        <v>0</v>
      </c>
      <c r="AJ17" s="133">
        <v>0</v>
      </c>
      <c r="AK17" s="133">
        <v>0</v>
      </c>
      <c r="AL17" s="133">
        <v>0</v>
      </c>
      <c r="AM17" s="133">
        <v>0</v>
      </c>
      <c r="AN17" s="133">
        <v>0</v>
      </c>
      <c r="AO17" s="133">
        <v>0</v>
      </c>
      <c r="AP17" s="133">
        <v>0</v>
      </c>
      <c r="AQ17" s="133">
        <v>0</v>
      </c>
      <c r="AR17" s="133">
        <v>0</v>
      </c>
      <c r="AS17" s="133">
        <v>0</v>
      </c>
      <c r="AT17" s="134">
        <v>0</v>
      </c>
      <c r="AU17" s="134">
        <v>0</v>
      </c>
      <c r="AV17" s="134">
        <v>0</v>
      </c>
      <c r="AW17" s="134">
        <v>0</v>
      </c>
      <c r="AX17" s="134">
        <v>0</v>
      </c>
      <c r="AY17" s="134">
        <v>0</v>
      </c>
      <c r="AZ17" s="134">
        <v>0</v>
      </c>
      <c r="BA17" s="134">
        <v>0</v>
      </c>
      <c r="BB17" s="134">
        <v>0</v>
      </c>
      <c r="BC17" s="134">
        <v>0</v>
      </c>
      <c r="BD17" s="134">
        <v>1</v>
      </c>
      <c r="BE17" s="134">
        <v>1</v>
      </c>
      <c r="BF17" s="134">
        <v>1</v>
      </c>
      <c r="BG17" s="134">
        <v>1</v>
      </c>
      <c r="BH17" s="134">
        <v>1</v>
      </c>
      <c r="BI17" s="134">
        <v>1</v>
      </c>
      <c r="BJ17" s="134">
        <v>1</v>
      </c>
      <c r="BK17" s="134">
        <v>1</v>
      </c>
      <c r="BL17" s="134">
        <v>1</v>
      </c>
      <c r="BM17" s="134">
        <v>1</v>
      </c>
      <c r="BN17" s="134">
        <v>1</v>
      </c>
      <c r="BO17" s="134">
        <v>1</v>
      </c>
      <c r="BP17" s="134">
        <v>1</v>
      </c>
      <c r="BQ17" s="134">
        <v>1</v>
      </c>
      <c r="BR17" s="134">
        <v>1</v>
      </c>
      <c r="BS17" s="134">
        <v>1</v>
      </c>
      <c r="BT17" s="134">
        <v>1</v>
      </c>
      <c r="BU17" s="134">
        <v>1</v>
      </c>
      <c r="BV17" s="134">
        <v>1</v>
      </c>
      <c r="BW17" s="134">
        <v>1</v>
      </c>
      <c r="BX17" s="135">
        <v>0</v>
      </c>
      <c r="BY17" s="135">
        <v>0</v>
      </c>
      <c r="BZ17" s="135">
        <v>0</v>
      </c>
      <c r="CA17" s="135">
        <v>0</v>
      </c>
      <c r="CB17" s="135">
        <v>0</v>
      </c>
      <c r="CC17" s="135">
        <v>0</v>
      </c>
      <c r="CD17" s="135">
        <v>0</v>
      </c>
      <c r="CE17" s="135">
        <v>0</v>
      </c>
      <c r="CF17" s="135">
        <v>0</v>
      </c>
      <c r="CG17" s="135">
        <v>0</v>
      </c>
      <c r="CH17" s="135">
        <v>0</v>
      </c>
      <c r="CI17" s="135">
        <v>0</v>
      </c>
      <c r="CJ17" s="135">
        <v>0</v>
      </c>
      <c r="CK17" s="135">
        <v>0</v>
      </c>
      <c r="CL17" s="135">
        <v>0</v>
      </c>
      <c r="CM17" s="135">
        <v>0</v>
      </c>
      <c r="CN17" s="135">
        <v>0</v>
      </c>
      <c r="CO17" s="135">
        <v>0</v>
      </c>
      <c r="CP17" s="135">
        <v>0</v>
      </c>
      <c r="CQ17" s="135">
        <v>0</v>
      </c>
      <c r="CR17" s="135">
        <v>0</v>
      </c>
      <c r="CS17" s="135">
        <v>0</v>
      </c>
      <c r="CT17" s="135">
        <v>0</v>
      </c>
      <c r="CU17" s="135">
        <v>0</v>
      </c>
      <c r="CV17" s="135">
        <v>0</v>
      </c>
      <c r="CW17" s="135">
        <v>0</v>
      </c>
      <c r="CX17" s="135">
        <v>0</v>
      </c>
      <c r="CY17" s="135">
        <v>0</v>
      </c>
      <c r="CZ17" s="135">
        <v>0</v>
      </c>
      <c r="DA17" s="135">
        <v>0</v>
      </c>
      <c r="DB17" s="137">
        <v>0</v>
      </c>
      <c r="DC17" s="137">
        <v>0</v>
      </c>
      <c r="DD17" s="137">
        <v>0</v>
      </c>
      <c r="DE17" s="131">
        <v>0</v>
      </c>
      <c r="DF17" s="137">
        <v>0</v>
      </c>
      <c r="DG17" s="131">
        <v>0</v>
      </c>
      <c r="DH17" s="137">
        <v>0</v>
      </c>
      <c r="DI17" s="131">
        <v>0</v>
      </c>
      <c r="DJ17" s="137">
        <v>0</v>
      </c>
      <c r="DK17" s="131">
        <v>0</v>
      </c>
      <c r="DL17" s="131">
        <v>0</v>
      </c>
      <c r="DM17" s="131">
        <v>0</v>
      </c>
      <c r="DN17" s="131">
        <v>0</v>
      </c>
      <c r="DO17" s="131">
        <v>0</v>
      </c>
      <c r="DP17" s="131">
        <v>0</v>
      </c>
      <c r="DQ17" s="131">
        <v>0</v>
      </c>
      <c r="DR17" s="131">
        <v>0</v>
      </c>
      <c r="DS17" s="131">
        <v>0</v>
      </c>
      <c r="DT17" s="131">
        <v>0</v>
      </c>
      <c r="DU17" s="131">
        <v>0</v>
      </c>
      <c r="DV17" s="131">
        <v>0.503</v>
      </c>
      <c r="DW17" s="131">
        <v>0.35699999999999998</v>
      </c>
      <c r="DX17" s="131">
        <v>0.27700000000000002</v>
      </c>
      <c r="DY17" s="131">
        <v>0.503</v>
      </c>
      <c r="DZ17" s="131">
        <v>0.35699999999999998</v>
      </c>
      <c r="EA17" s="131">
        <v>0.27700000000000002</v>
      </c>
      <c r="EB17" s="131">
        <v>0.35699999999999998</v>
      </c>
      <c r="EC17" s="131">
        <v>0.503</v>
      </c>
      <c r="ED17" s="131">
        <v>0.35699999999999998</v>
      </c>
      <c r="EE17" s="131">
        <v>0.27700000000000002</v>
      </c>
      <c r="EF17" s="131">
        <v>0</v>
      </c>
      <c r="EG17" s="131">
        <v>0</v>
      </c>
      <c r="EH17" s="131">
        <v>0</v>
      </c>
      <c r="EI17" s="131">
        <v>0</v>
      </c>
      <c r="EJ17" s="131">
        <v>0</v>
      </c>
      <c r="EK17" s="131">
        <v>0</v>
      </c>
      <c r="EL17" s="131">
        <v>0</v>
      </c>
      <c r="EM17" s="131">
        <v>0</v>
      </c>
      <c r="EN17" s="131">
        <v>0</v>
      </c>
      <c r="EO17" s="131">
        <v>0</v>
      </c>
      <c r="EP17" s="131">
        <v>0</v>
      </c>
      <c r="EQ17" s="131">
        <v>0</v>
      </c>
      <c r="ER17" s="131">
        <v>0</v>
      </c>
      <c r="ES17" s="131">
        <v>0</v>
      </c>
      <c r="ET17" s="131">
        <v>0</v>
      </c>
      <c r="EU17" s="131">
        <v>0</v>
      </c>
      <c r="EV17" s="131">
        <v>0</v>
      </c>
      <c r="EW17" s="131">
        <v>0</v>
      </c>
      <c r="EX17" s="131">
        <v>0</v>
      </c>
      <c r="EY17" s="131">
        <v>0</v>
      </c>
      <c r="EZ17" s="131">
        <v>0</v>
      </c>
      <c r="FA17" s="131">
        <v>0</v>
      </c>
      <c r="FB17" s="131">
        <v>0</v>
      </c>
      <c r="FC17" s="131">
        <v>0</v>
      </c>
      <c r="FD17" s="131">
        <v>0</v>
      </c>
      <c r="FE17" s="131">
        <v>0</v>
      </c>
      <c r="FF17" s="131">
        <v>0</v>
      </c>
      <c r="FG17" s="131">
        <v>0</v>
      </c>
      <c r="FH17" s="131">
        <v>0</v>
      </c>
      <c r="FI17" s="131">
        <v>0</v>
      </c>
      <c r="FJ17" s="131">
        <v>0</v>
      </c>
      <c r="FK17" s="131">
        <v>0</v>
      </c>
      <c r="FL17" s="131">
        <v>0</v>
      </c>
      <c r="FM17" s="131">
        <v>0</v>
      </c>
      <c r="FN17" s="131">
        <v>0</v>
      </c>
      <c r="FO17" s="131">
        <v>0</v>
      </c>
      <c r="FP17" s="131">
        <v>0</v>
      </c>
      <c r="FQ17" s="131">
        <v>0</v>
      </c>
      <c r="FR17" s="131">
        <v>0</v>
      </c>
      <c r="FS17" s="131">
        <v>0</v>
      </c>
    </row>
    <row r="18" spans="1:175" s="171" customFormat="1" x14ac:dyDescent="0.3">
      <c r="A18" s="83"/>
      <c r="B18" s="166" t="s">
        <v>524</v>
      </c>
      <c r="C18" s="167" t="s">
        <v>171</v>
      </c>
      <c r="D18" s="168" t="s">
        <v>539</v>
      </c>
      <c r="E18" s="167">
        <f t="shared" si="5"/>
        <v>10</v>
      </c>
      <c r="F18" s="167">
        <v>1</v>
      </c>
      <c r="G18" s="167" t="s">
        <v>525</v>
      </c>
      <c r="H18" s="169">
        <f>H19/P19</f>
        <v>38444252.376836643</v>
      </c>
      <c r="I18" s="170" t="str">
        <f>B32</f>
        <v>Reactant2</v>
      </c>
      <c r="J18" s="171">
        <v>0</v>
      </c>
      <c r="K18" s="171">
        <v>1</v>
      </c>
      <c r="L18" s="171">
        <v>1</v>
      </c>
      <c r="M18" s="171">
        <v>0</v>
      </c>
      <c r="N18" s="171">
        <v>0</v>
      </c>
      <c r="O18" s="171">
        <v>20000</v>
      </c>
      <c r="P18" s="172">
        <v>13.68</v>
      </c>
      <c r="Q18" s="172">
        <v>13.68</v>
      </c>
      <c r="R18" s="172">
        <v>13.68</v>
      </c>
      <c r="S18" s="172">
        <v>13.68</v>
      </c>
      <c r="T18" s="172">
        <v>13.68</v>
      </c>
      <c r="U18" s="172">
        <v>13.68</v>
      </c>
      <c r="V18" s="172">
        <v>13.68</v>
      </c>
      <c r="W18" s="172">
        <v>13.68</v>
      </c>
      <c r="X18" s="172">
        <v>13.68</v>
      </c>
      <c r="Y18" s="172">
        <v>13.68</v>
      </c>
      <c r="Z18" s="173">
        <v>0.84187420178799477</v>
      </c>
      <c r="AA18" s="173">
        <v>0.84187420178799477</v>
      </c>
      <c r="AB18" s="173">
        <v>0.84187420178799477</v>
      </c>
      <c r="AC18" s="173">
        <v>0.84187420178799477</v>
      </c>
      <c r="AD18" s="173">
        <v>0.84187420178799477</v>
      </c>
      <c r="AE18" s="173">
        <v>0.84187420178799477</v>
      </c>
      <c r="AF18" s="173">
        <v>0.84187420178799477</v>
      </c>
      <c r="AG18" s="173">
        <v>0.84187420178799477</v>
      </c>
      <c r="AH18" s="173">
        <v>0.84187420178799477</v>
      </c>
      <c r="AI18" s="173">
        <v>0.84187420178799477</v>
      </c>
      <c r="AJ18" s="173">
        <v>0</v>
      </c>
      <c r="AK18" s="173">
        <v>0</v>
      </c>
      <c r="AL18" s="173">
        <v>0</v>
      </c>
      <c r="AM18" s="173">
        <v>0</v>
      </c>
      <c r="AN18" s="173">
        <v>0</v>
      </c>
      <c r="AO18" s="173">
        <v>0</v>
      </c>
      <c r="AP18" s="173">
        <v>0</v>
      </c>
      <c r="AQ18" s="173">
        <v>0</v>
      </c>
      <c r="AR18" s="173">
        <v>0</v>
      </c>
      <c r="AS18" s="173">
        <v>0</v>
      </c>
      <c r="AT18" s="174">
        <v>0.4</v>
      </c>
      <c r="AU18" s="174">
        <v>0.4</v>
      </c>
      <c r="AV18" s="174">
        <v>0.2</v>
      </c>
      <c r="AW18" s="174">
        <v>0.4</v>
      </c>
      <c r="AX18" s="174">
        <v>0.2</v>
      </c>
      <c r="AY18" s="174">
        <v>0.1</v>
      </c>
      <c r="AZ18" s="174">
        <v>0.1</v>
      </c>
      <c r="BA18" s="174">
        <v>0.1</v>
      </c>
      <c r="BB18" s="174">
        <v>0.1</v>
      </c>
      <c r="BC18" s="174">
        <v>0.1</v>
      </c>
      <c r="BD18" s="174">
        <v>0.2</v>
      </c>
      <c r="BE18" s="174">
        <v>0.2</v>
      </c>
      <c r="BF18" s="174">
        <v>0.2</v>
      </c>
      <c r="BG18" s="174">
        <v>0.6</v>
      </c>
      <c r="BH18" s="174">
        <v>1</v>
      </c>
      <c r="BI18" s="174">
        <v>1</v>
      </c>
      <c r="BJ18" s="174">
        <v>1</v>
      </c>
      <c r="BK18" s="174">
        <v>1</v>
      </c>
      <c r="BL18" s="174">
        <v>1</v>
      </c>
      <c r="BM18" s="174">
        <v>1</v>
      </c>
      <c r="BN18" s="174">
        <v>0.2</v>
      </c>
      <c r="BO18" s="174">
        <v>0.2</v>
      </c>
      <c r="BP18" s="174">
        <v>0.2</v>
      </c>
      <c r="BQ18" s="174">
        <v>0.6</v>
      </c>
      <c r="BR18" s="174">
        <v>1</v>
      </c>
      <c r="BS18" s="174">
        <v>1</v>
      </c>
      <c r="BT18" s="174">
        <v>1</v>
      </c>
      <c r="BU18" s="174">
        <v>1</v>
      </c>
      <c r="BV18" s="174">
        <v>1</v>
      </c>
      <c r="BW18" s="174">
        <v>1</v>
      </c>
      <c r="BX18" s="177">
        <v>-0.12707499999999999</v>
      </c>
      <c r="BY18" s="177">
        <v>-0.12707499999999999</v>
      </c>
      <c r="BZ18" s="177">
        <v>-0.12707499999999999</v>
      </c>
      <c r="CA18" s="177">
        <v>-0.12707499999999999</v>
      </c>
      <c r="CB18" s="177">
        <v>-0.12707499999999999</v>
      </c>
      <c r="CC18" s="177">
        <v>-0.12707499999999999</v>
      </c>
      <c r="CD18" s="177">
        <v>-0.12707499999999999</v>
      </c>
      <c r="CE18" s="177">
        <v>-0.12707499999999999</v>
      </c>
      <c r="CF18" s="177">
        <v>-0.12707499999999999</v>
      </c>
      <c r="CG18" s="177">
        <v>-0.12707499999999999</v>
      </c>
      <c r="CH18" s="178">
        <f>CI18*1</f>
        <v>24313.644636015328</v>
      </c>
      <c r="CI18" s="178">
        <v>24313.644636015328</v>
      </c>
      <c r="CJ18" s="175">
        <f>CI18*0.5</f>
        <v>12156.822318007664</v>
      </c>
      <c r="CK18" s="175">
        <f>CL18*1.2</f>
        <v>16196.77011494253</v>
      </c>
      <c r="CL18" s="178">
        <v>13497.308429118775</v>
      </c>
      <c r="CM18" s="175">
        <f>CL18*0.8</f>
        <v>10797.84674329502</v>
      </c>
      <c r="CN18" s="175">
        <v>9799.4157088122611</v>
      </c>
      <c r="CO18" s="175">
        <f>CP18*1.2</f>
        <v>8098.3850574712651</v>
      </c>
      <c r="CP18" s="175">
        <v>6748.6542145593876</v>
      </c>
      <c r="CQ18" s="175">
        <f>CP18*0.8</f>
        <v>5398.9233716475101</v>
      </c>
      <c r="CR18" s="175">
        <f>CS18*1.1</f>
        <v>294.90694444444449</v>
      </c>
      <c r="CS18" s="175">
        <v>268.09722222222223</v>
      </c>
      <c r="CT18" s="175">
        <f>CS18*0.9</f>
        <v>241.28750000000002</v>
      </c>
      <c r="CU18" s="175">
        <f>CV18*1.1</f>
        <v>198.29949712643679</v>
      </c>
      <c r="CV18" s="175">
        <v>180.27227011494253</v>
      </c>
      <c r="CW18" s="175">
        <f>CV18*0.9</f>
        <v>162.24504310344827</v>
      </c>
      <c r="CX18" s="175">
        <v>175.64990421455937</v>
      </c>
      <c r="CY18" s="175">
        <f>CZ18*1.1</f>
        <v>198.29949712643679</v>
      </c>
      <c r="CZ18" s="175">
        <v>180.27227011494253</v>
      </c>
      <c r="DA18" s="175">
        <f>CZ18*0.9</f>
        <v>162.24504310344827</v>
      </c>
      <c r="DB18" s="179">
        <f>DC18*1.1</f>
        <v>0.10372589080459771</v>
      </c>
      <c r="DC18" s="179">
        <v>9.4296264367816088E-2</v>
      </c>
      <c r="DD18" s="179">
        <f>DC18*0.9</f>
        <v>8.486663793103448E-2</v>
      </c>
      <c r="DE18" s="172">
        <f>DF18*1.1</f>
        <v>6.9150593869731797E-2</v>
      </c>
      <c r="DF18" s="179">
        <v>6.2864176245210721E-2</v>
      </c>
      <c r="DG18" s="172">
        <f>DF18*0.9</f>
        <v>5.6577758620689651E-2</v>
      </c>
      <c r="DH18" s="179">
        <f>DF18</f>
        <v>6.2864176245210721E-2</v>
      </c>
      <c r="DI18" s="172">
        <f>DJ18*1.1</f>
        <v>6.9150593869731797E-2</v>
      </c>
      <c r="DJ18" s="179">
        <v>6.2864176245210721E-2</v>
      </c>
      <c r="DK18" s="172">
        <f>DJ18*0.9</f>
        <v>5.6577758620689651E-2</v>
      </c>
      <c r="DL18" s="171">
        <v>0</v>
      </c>
      <c r="DM18" s="171">
        <v>0</v>
      </c>
      <c r="DN18" s="171">
        <v>0</v>
      </c>
      <c r="DO18" s="171">
        <v>0</v>
      </c>
      <c r="DP18" s="171">
        <v>0</v>
      </c>
      <c r="DQ18" s="171">
        <v>0</v>
      </c>
      <c r="DR18" s="171">
        <v>0</v>
      </c>
      <c r="DS18" s="171">
        <v>0</v>
      </c>
      <c r="DT18" s="171">
        <v>0</v>
      </c>
      <c r="DU18" s="171">
        <v>0</v>
      </c>
      <c r="DV18" s="171">
        <v>0</v>
      </c>
      <c r="DW18" s="171">
        <v>0</v>
      </c>
      <c r="DX18" s="171">
        <v>0</v>
      </c>
      <c r="DY18" s="171">
        <v>0</v>
      </c>
      <c r="DZ18" s="171">
        <v>0</v>
      </c>
      <c r="EA18" s="171">
        <v>0</v>
      </c>
      <c r="EB18" s="171">
        <v>0</v>
      </c>
      <c r="EC18" s="171">
        <v>0</v>
      </c>
      <c r="ED18" s="171">
        <v>0</v>
      </c>
      <c r="EE18" s="171">
        <v>0</v>
      </c>
      <c r="EF18" s="171">
        <v>0</v>
      </c>
      <c r="EG18" s="171">
        <v>0</v>
      </c>
      <c r="EH18" s="171">
        <v>0</v>
      </c>
      <c r="EI18" s="171">
        <v>0</v>
      </c>
      <c r="EJ18" s="171">
        <v>0</v>
      </c>
      <c r="EK18" s="171">
        <v>0</v>
      </c>
      <c r="EL18" s="171">
        <v>0</v>
      </c>
      <c r="EM18" s="171">
        <v>0</v>
      </c>
      <c r="EN18" s="171">
        <v>0</v>
      </c>
      <c r="EO18" s="171">
        <v>0</v>
      </c>
      <c r="EP18" s="171">
        <v>0</v>
      </c>
      <c r="EQ18" s="171">
        <v>0</v>
      </c>
      <c r="ER18" s="171">
        <v>0</v>
      </c>
      <c r="ES18" s="171">
        <v>0</v>
      </c>
      <c r="ET18" s="171">
        <v>0</v>
      </c>
      <c r="EU18" s="171">
        <v>0</v>
      </c>
      <c r="EV18" s="171">
        <v>0</v>
      </c>
      <c r="EW18" s="171">
        <v>0</v>
      </c>
      <c r="EX18" s="171">
        <v>0</v>
      </c>
      <c r="EY18" s="171">
        <v>0</v>
      </c>
      <c r="EZ18" s="171">
        <v>0</v>
      </c>
      <c r="FA18" s="171">
        <v>0</v>
      </c>
      <c r="FB18" s="171">
        <v>0</v>
      </c>
      <c r="FC18" s="171">
        <v>0</v>
      </c>
      <c r="FD18" s="171">
        <v>0</v>
      </c>
      <c r="FE18" s="171">
        <v>0</v>
      </c>
      <c r="FF18" s="171">
        <v>0</v>
      </c>
      <c r="FG18" s="171">
        <v>0</v>
      </c>
      <c r="FH18" s="171">
        <v>0</v>
      </c>
      <c r="FI18" s="171">
        <v>0</v>
      </c>
      <c r="FJ18" s="171">
        <v>8.8495575221238937E-2</v>
      </c>
      <c r="FK18" s="171">
        <v>8.8495575221238937E-2</v>
      </c>
      <c r="FL18" s="171">
        <v>8.8495575221238937E-2</v>
      </c>
      <c r="FM18" s="171">
        <v>8.8495575221238937E-2</v>
      </c>
      <c r="FN18" s="171">
        <v>8.8495575221238937E-2</v>
      </c>
      <c r="FO18" s="171">
        <v>8.8495575221238937E-2</v>
      </c>
      <c r="FP18" s="171">
        <v>8.8495575221238937E-2</v>
      </c>
      <c r="FQ18" s="171">
        <v>8.8495575221238937E-2</v>
      </c>
      <c r="FR18" s="171">
        <v>8.8495575221238937E-2</v>
      </c>
      <c r="FS18" s="171">
        <v>8.8495575221238937E-2</v>
      </c>
    </row>
    <row r="19" spans="1:175" s="171" customFormat="1" x14ac:dyDescent="0.3">
      <c r="A19" s="83"/>
      <c r="B19" s="166" t="s">
        <v>135</v>
      </c>
      <c r="C19" s="167" t="s">
        <v>276</v>
      </c>
      <c r="D19" s="168" t="s">
        <v>527</v>
      </c>
      <c r="E19" s="167">
        <f t="shared" si="5"/>
        <v>11</v>
      </c>
      <c r="F19" s="167">
        <v>1</v>
      </c>
      <c r="G19" s="167" t="s">
        <v>527</v>
      </c>
      <c r="H19" s="169">
        <f>H20</f>
        <v>44480000</v>
      </c>
      <c r="I19" s="170" t="str">
        <f>B18</f>
        <v>Product/Reactant16</v>
      </c>
      <c r="J19" s="171">
        <v>0</v>
      </c>
      <c r="K19" s="171">
        <v>0</v>
      </c>
      <c r="L19" s="171">
        <v>0</v>
      </c>
      <c r="M19" s="171">
        <v>0</v>
      </c>
      <c r="N19" s="171">
        <v>0</v>
      </c>
      <c r="O19" s="171">
        <v>40000</v>
      </c>
      <c r="P19" s="172">
        <v>1.157</v>
      </c>
      <c r="Q19" s="172">
        <v>1.157</v>
      </c>
      <c r="R19" s="172">
        <v>1.157</v>
      </c>
      <c r="S19" s="172">
        <v>1.157</v>
      </c>
      <c r="T19" s="172">
        <v>1.157</v>
      </c>
      <c r="U19" s="172">
        <v>1.157</v>
      </c>
      <c r="V19" s="172">
        <v>1.157</v>
      </c>
      <c r="W19" s="172">
        <v>1.157</v>
      </c>
      <c r="X19" s="172">
        <v>1.157</v>
      </c>
      <c r="Y19" s="172">
        <v>1.157</v>
      </c>
      <c r="Z19" s="173">
        <v>0</v>
      </c>
      <c r="AA19" s="173">
        <v>0</v>
      </c>
      <c r="AB19" s="173">
        <v>0</v>
      </c>
      <c r="AC19" s="173">
        <v>0</v>
      </c>
      <c r="AD19" s="173">
        <v>0</v>
      </c>
      <c r="AE19" s="173">
        <v>0</v>
      </c>
      <c r="AF19" s="173">
        <v>0</v>
      </c>
      <c r="AG19" s="173">
        <v>0</v>
      </c>
      <c r="AH19" s="173">
        <v>0</v>
      </c>
      <c r="AI19" s="173">
        <v>0</v>
      </c>
      <c r="AJ19" s="173">
        <v>0</v>
      </c>
      <c r="AK19" s="173">
        <v>0</v>
      </c>
      <c r="AL19" s="173">
        <v>0</v>
      </c>
      <c r="AM19" s="173">
        <v>0</v>
      </c>
      <c r="AN19" s="173">
        <v>0</v>
      </c>
      <c r="AO19" s="173">
        <v>0</v>
      </c>
      <c r="AP19" s="173">
        <v>0</v>
      </c>
      <c r="AQ19" s="173">
        <v>0</v>
      </c>
      <c r="AR19" s="173">
        <v>0</v>
      </c>
      <c r="AS19" s="173">
        <v>0</v>
      </c>
      <c r="AT19" s="174">
        <v>0</v>
      </c>
      <c r="AU19" s="174">
        <v>0</v>
      </c>
      <c r="AV19" s="174">
        <v>0</v>
      </c>
      <c r="AW19" s="174">
        <v>0</v>
      </c>
      <c r="AX19" s="174">
        <v>0</v>
      </c>
      <c r="AY19" s="174">
        <v>0</v>
      </c>
      <c r="AZ19" s="174">
        <v>0</v>
      </c>
      <c r="BA19" s="174">
        <v>0</v>
      </c>
      <c r="BB19" s="174">
        <v>0</v>
      </c>
      <c r="BC19" s="174">
        <v>0</v>
      </c>
      <c r="BD19" s="174">
        <v>1</v>
      </c>
      <c r="BE19" s="174">
        <v>1</v>
      </c>
      <c r="BF19" s="174">
        <v>1</v>
      </c>
      <c r="BG19" s="174">
        <v>1</v>
      </c>
      <c r="BH19" s="174">
        <v>1</v>
      </c>
      <c r="BI19" s="174">
        <v>1</v>
      </c>
      <c r="BJ19" s="174">
        <v>1</v>
      </c>
      <c r="BK19" s="174">
        <v>1</v>
      </c>
      <c r="BL19" s="174">
        <v>1</v>
      </c>
      <c r="BM19" s="174">
        <v>1</v>
      </c>
      <c r="BN19" s="174">
        <v>1</v>
      </c>
      <c r="BO19" s="174">
        <v>1</v>
      </c>
      <c r="BP19" s="174">
        <v>1</v>
      </c>
      <c r="BQ19" s="174">
        <v>1</v>
      </c>
      <c r="BR19" s="174">
        <v>1</v>
      </c>
      <c r="BS19" s="174">
        <v>1</v>
      </c>
      <c r="BT19" s="174">
        <v>1</v>
      </c>
      <c r="BU19" s="174">
        <v>1</v>
      </c>
      <c r="BV19" s="174">
        <v>1</v>
      </c>
      <c r="BW19" s="174">
        <v>1</v>
      </c>
      <c r="BX19" s="175">
        <v>0</v>
      </c>
      <c r="BY19" s="175">
        <v>0</v>
      </c>
      <c r="BZ19" s="175">
        <v>0</v>
      </c>
      <c r="CA19" s="175">
        <v>0</v>
      </c>
      <c r="CB19" s="175">
        <v>0</v>
      </c>
      <c r="CC19" s="175">
        <v>0</v>
      </c>
      <c r="CD19" s="175">
        <v>0</v>
      </c>
      <c r="CE19" s="175">
        <v>0</v>
      </c>
      <c r="CF19" s="175">
        <v>0</v>
      </c>
      <c r="CG19" s="175">
        <v>0</v>
      </c>
      <c r="CH19" s="175">
        <v>0</v>
      </c>
      <c r="CI19" s="175">
        <v>0</v>
      </c>
      <c r="CJ19" s="175">
        <v>0</v>
      </c>
      <c r="CK19" s="175">
        <v>0</v>
      </c>
      <c r="CL19" s="175">
        <v>0</v>
      </c>
      <c r="CM19" s="175">
        <v>0</v>
      </c>
      <c r="CN19" s="175">
        <v>0</v>
      </c>
      <c r="CO19" s="175">
        <v>0</v>
      </c>
      <c r="CP19" s="175">
        <v>0</v>
      </c>
      <c r="CQ19" s="175">
        <v>0</v>
      </c>
      <c r="CR19" s="175">
        <v>0</v>
      </c>
      <c r="CS19" s="175">
        <v>0</v>
      </c>
      <c r="CT19" s="175">
        <v>0</v>
      </c>
      <c r="CU19" s="175">
        <v>0</v>
      </c>
      <c r="CV19" s="175">
        <v>0</v>
      </c>
      <c r="CW19" s="175">
        <v>0</v>
      </c>
      <c r="CX19" s="175">
        <v>0</v>
      </c>
      <c r="CY19" s="175">
        <v>0</v>
      </c>
      <c r="CZ19" s="175">
        <v>0</v>
      </c>
      <c r="DA19" s="175">
        <v>0</v>
      </c>
      <c r="DB19" s="176">
        <v>0</v>
      </c>
      <c r="DC19" s="176">
        <v>0</v>
      </c>
      <c r="DD19" s="176">
        <v>0</v>
      </c>
      <c r="DE19" s="171">
        <v>0</v>
      </c>
      <c r="DF19" s="176">
        <v>0</v>
      </c>
      <c r="DG19" s="171">
        <v>0</v>
      </c>
      <c r="DH19" s="176">
        <v>0</v>
      </c>
      <c r="DI19" s="171">
        <v>0</v>
      </c>
      <c r="DJ19" s="176">
        <v>0</v>
      </c>
      <c r="DK19" s="171">
        <v>0</v>
      </c>
      <c r="DL19" s="171">
        <v>0</v>
      </c>
      <c r="DM19" s="171">
        <v>0</v>
      </c>
      <c r="DN19" s="171">
        <v>0</v>
      </c>
      <c r="DO19" s="171">
        <v>0</v>
      </c>
      <c r="DP19" s="171">
        <v>0</v>
      </c>
      <c r="DQ19" s="171">
        <v>0</v>
      </c>
      <c r="DR19" s="171">
        <v>0</v>
      </c>
      <c r="DS19" s="171">
        <v>0</v>
      </c>
      <c r="DT19" s="171">
        <v>0</v>
      </c>
      <c r="DU19" s="171">
        <v>0</v>
      </c>
      <c r="DV19" s="172">
        <f>7.5/1000*14.7</f>
        <v>0.11024999999999999</v>
      </c>
      <c r="DW19" s="172">
        <f>6.8/1000*14.7</f>
        <v>9.9959999999999993E-2</v>
      </c>
      <c r="DX19" s="172">
        <f>5.9/1000*14.7</f>
        <v>8.6730000000000002E-2</v>
      </c>
      <c r="DY19" s="172">
        <f>8/1000*14.7</f>
        <v>0.1176</v>
      </c>
      <c r="DZ19" s="172">
        <f>7.1/1000*14.7</f>
        <v>0.10436999999999999</v>
      </c>
      <c r="EA19" s="172">
        <f>5.9/1000*14.7</f>
        <v>8.6730000000000002E-2</v>
      </c>
      <c r="EB19" s="172">
        <f>7.6/1000*14.7</f>
        <v>0.11172</v>
      </c>
      <c r="EC19" s="172">
        <f>10.2/1000*14.7</f>
        <v>0.14993999999999999</v>
      </c>
      <c r="ED19" s="172">
        <f>8.2/1000*14.7</f>
        <v>0.12053999999999998</v>
      </c>
      <c r="EE19" s="172">
        <f>5.9/1000*14.7</f>
        <v>8.6730000000000002E-2</v>
      </c>
      <c r="EF19" s="171">
        <v>0</v>
      </c>
      <c r="EG19" s="171">
        <v>0</v>
      </c>
      <c r="EH19" s="171">
        <v>0</v>
      </c>
      <c r="EI19" s="171">
        <v>0</v>
      </c>
      <c r="EJ19" s="171">
        <v>0</v>
      </c>
      <c r="EK19" s="171">
        <v>0</v>
      </c>
      <c r="EL19" s="171">
        <v>0</v>
      </c>
      <c r="EM19" s="171">
        <v>0</v>
      </c>
      <c r="EN19" s="171">
        <v>0</v>
      </c>
      <c r="EO19" s="171">
        <v>0</v>
      </c>
      <c r="EP19" s="171">
        <v>0</v>
      </c>
      <c r="EQ19" s="171">
        <v>0</v>
      </c>
      <c r="ER19" s="171">
        <v>0</v>
      </c>
      <c r="ES19" s="171">
        <v>0</v>
      </c>
      <c r="ET19" s="171">
        <v>0</v>
      </c>
      <c r="EU19" s="171">
        <v>0</v>
      </c>
      <c r="EV19" s="171">
        <v>0</v>
      </c>
      <c r="EW19" s="171">
        <v>0</v>
      </c>
      <c r="EX19" s="171">
        <v>0</v>
      </c>
      <c r="EY19" s="171">
        <v>0</v>
      </c>
      <c r="EZ19" s="171">
        <v>0</v>
      </c>
      <c r="FA19" s="171">
        <v>0</v>
      </c>
      <c r="FB19" s="171">
        <v>0</v>
      </c>
      <c r="FC19" s="171">
        <v>0</v>
      </c>
      <c r="FD19" s="171">
        <v>0</v>
      </c>
      <c r="FE19" s="171">
        <v>0</v>
      </c>
      <c r="FF19" s="171">
        <v>0</v>
      </c>
      <c r="FG19" s="171">
        <v>0</v>
      </c>
      <c r="FH19" s="171">
        <v>0</v>
      </c>
      <c r="FI19" s="171">
        <v>0</v>
      </c>
      <c r="FJ19" s="171">
        <v>0</v>
      </c>
      <c r="FK19" s="171">
        <v>0</v>
      </c>
      <c r="FL19" s="171">
        <v>0</v>
      </c>
      <c r="FM19" s="171">
        <v>0</v>
      </c>
      <c r="FN19" s="171">
        <v>0</v>
      </c>
      <c r="FO19" s="171">
        <v>0</v>
      </c>
      <c r="FP19" s="171">
        <v>0</v>
      </c>
      <c r="FQ19" s="171">
        <v>0</v>
      </c>
      <c r="FR19" s="171">
        <v>0</v>
      </c>
      <c r="FS19" s="171">
        <v>0</v>
      </c>
    </row>
    <row r="20" spans="1:175" s="142" customFormat="1" x14ac:dyDescent="0.3">
      <c r="A20" s="83"/>
      <c r="B20" s="138" t="s">
        <v>135</v>
      </c>
      <c r="C20" s="139" t="s">
        <v>276</v>
      </c>
      <c r="D20" s="140" t="s">
        <v>437</v>
      </c>
      <c r="E20" s="141">
        <f t="shared" ref="E20" si="15">ROW(D20)-ROW($E$8)</f>
        <v>12</v>
      </c>
      <c r="F20" s="141">
        <v>1</v>
      </c>
      <c r="G20" s="141" t="s">
        <v>437</v>
      </c>
      <c r="H20" s="142">
        <v>44480000</v>
      </c>
      <c r="I20" s="143" t="str">
        <f>B22</f>
        <v>Product/Reactant1</v>
      </c>
      <c r="J20" s="142">
        <v>0</v>
      </c>
      <c r="K20" s="142">
        <v>0</v>
      </c>
      <c r="L20" s="142">
        <v>0</v>
      </c>
      <c r="M20" s="142">
        <v>0</v>
      </c>
      <c r="N20" s="142">
        <v>0</v>
      </c>
      <c r="O20" s="142">
        <v>20000</v>
      </c>
      <c r="P20" s="142">
        <v>1.82</v>
      </c>
      <c r="Q20" s="142">
        <v>1.82</v>
      </c>
      <c r="R20" s="142">
        <v>1.82</v>
      </c>
      <c r="S20" s="142">
        <v>1.82</v>
      </c>
      <c r="T20" s="142">
        <v>1.82</v>
      </c>
      <c r="U20" s="142">
        <v>1.82</v>
      </c>
      <c r="V20" s="142">
        <v>1.82</v>
      </c>
      <c r="W20" s="142">
        <v>1.82</v>
      </c>
      <c r="X20" s="142">
        <v>1.82</v>
      </c>
      <c r="Y20" s="142">
        <v>1.82</v>
      </c>
      <c r="Z20" s="142">
        <v>0</v>
      </c>
      <c r="AA20" s="142">
        <v>0</v>
      </c>
      <c r="AB20" s="142">
        <v>0</v>
      </c>
      <c r="AC20" s="142">
        <v>0</v>
      </c>
      <c r="AD20" s="142">
        <v>0</v>
      </c>
      <c r="AE20" s="142">
        <v>0</v>
      </c>
      <c r="AF20" s="142">
        <v>0</v>
      </c>
      <c r="AG20" s="142">
        <v>0</v>
      </c>
      <c r="AH20" s="142">
        <v>0</v>
      </c>
      <c r="AI20" s="142">
        <v>0</v>
      </c>
      <c r="AJ20" s="142">
        <v>0</v>
      </c>
      <c r="AK20" s="142">
        <v>0</v>
      </c>
      <c r="AL20" s="142">
        <v>0</v>
      </c>
      <c r="AM20" s="142">
        <v>0</v>
      </c>
      <c r="AN20" s="142">
        <v>0</v>
      </c>
      <c r="AO20" s="142">
        <v>0</v>
      </c>
      <c r="AP20" s="142">
        <v>0</v>
      </c>
      <c r="AQ20" s="142">
        <v>0</v>
      </c>
      <c r="AR20" s="142">
        <v>0</v>
      </c>
      <c r="AS20" s="142">
        <v>0</v>
      </c>
      <c r="AT20" s="144">
        <v>0</v>
      </c>
      <c r="AU20" s="144">
        <v>0</v>
      </c>
      <c r="AV20" s="144">
        <v>0</v>
      </c>
      <c r="AW20" s="144">
        <v>0</v>
      </c>
      <c r="AX20" s="144">
        <v>0</v>
      </c>
      <c r="AY20" s="144">
        <v>0</v>
      </c>
      <c r="AZ20" s="144">
        <v>0</v>
      </c>
      <c r="BA20" s="144">
        <v>0</v>
      </c>
      <c r="BB20" s="144">
        <v>0</v>
      </c>
      <c r="BC20" s="144">
        <v>0</v>
      </c>
      <c r="BD20" s="144">
        <v>1</v>
      </c>
      <c r="BE20" s="144">
        <v>1</v>
      </c>
      <c r="BF20" s="144">
        <v>1</v>
      </c>
      <c r="BG20" s="144">
        <v>1</v>
      </c>
      <c r="BH20" s="144">
        <v>1</v>
      </c>
      <c r="BI20" s="144">
        <v>1</v>
      </c>
      <c r="BJ20" s="144">
        <v>1</v>
      </c>
      <c r="BK20" s="144">
        <v>1</v>
      </c>
      <c r="BL20" s="144">
        <v>1</v>
      </c>
      <c r="BM20" s="144">
        <v>1</v>
      </c>
      <c r="BN20" s="144">
        <v>1</v>
      </c>
      <c r="BO20" s="144">
        <v>1</v>
      </c>
      <c r="BP20" s="144">
        <v>1</v>
      </c>
      <c r="BQ20" s="144">
        <v>1</v>
      </c>
      <c r="BR20" s="144">
        <v>1</v>
      </c>
      <c r="BS20" s="144">
        <v>1</v>
      </c>
      <c r="BT20" s="144">
        <v>1</v>
      </c>
      <c r="BU20" s="144">
        <v>1</v>
      </c>
      <c r="BV20" s="144">
        <v>1</v>
      </c>
      <c r="BW20" s="144">
        <v>1</v>
      </c>
      <c r="BX20" s="145">
        <v>0</v>
      </c>
      <c r="BY20" s="145">
        <v>0</v>
      </c>
      <c r="BZ20" s="145">
        <v>0</v>
      </c>
      <c r="CA20" s="145">
        <v>0</v>
      </c>
      <c r="CB20" s="145">
        <v>0</v>
      </c>
      <c r="CC20" s="145">
        <v>0</v>
      </c>
      <c r="CD20" s="145">
        <v>0</v>
      </c>
      <c r="CE20" s="145">
        <v>0</v>
      </c>
      <c r="CF20" s="145">
        <v>0</v>
      </c>
      <c r="CG20" s="145">
        <v>0</v>
      </c>
      <c r="CH20" s="142">
        <v>0</v>
      </c>
      <c r="CI20" s="142">
        <v>0</v>
      </c>
      <c r="CJ20" s="142">
        <v>0</v>
      </c>
      <c r="CK20" s="142">
        <v>0</v>
      </c>
      <c r="CL20" s="142">
        <v>0</v>
      </c>
      <c r="CM20" s="142">
        <v>0</v>
      </c>
      <c r="CN20" s="142">
        <v>0</v>
      </c>
      <c r="CO20" s="142">
        <v>0</v>
      </c>
      <c r="CP20" s="142">
        <v>0</v>
      </c>
      <c r="CQ20" s="142">
        <v>0</v>
      </c>
      <c r="CR20" s="142">
        <v>0</v>
      </c>
      <c r="CS20" s="142">
        <v>0</v>
      </c>
      <c r="CT20" s="142">
        <v>0</v>
      </c>
      <c r="CU20" s="142">
        <v>0</v>
      </c>
      <c r="CV20" s="142">
        <v>0</v>
      </c>
      <c r="CW20" s="142">
        <v>0</v>
      </c>
      <c r="CX20" s="142">
        <v>0</v>
      </c>
      <c r="CY20" s="142">
        <v>0</v>
      </c>
      <c r="CZ20" s="142">
        <v>0</v>
      </c>
      <c r="DA20" s="142">
        <v>0</v>
      </c>
      <c r="DB20" s="142">
        <v>0</v>
      </c>
      <c r="DC20" s="142">
        <v>0</v>
      </c>
      <c r="DD20" s="142">
        <v>0</v>
      </c>
      <c r="DE20" s="142">
        <v>0</v>
      </c>
      <c r="DF20" s="142">
        <v>0</v>
      </c>
      <c r="DG20" s="142">
        <v>0</v>
      </c>
      <c r="DH20" s="142">
        <v>0</v>
      </c>
      <c r="DI20" s="142">
        <v>0</v>
      </c>
      <c r="DJ20" s="142">
        <v>0</v>
      </c>
      <c r="DK20" s="142">
        <v>0</v>
      </c>
      <c r="DL20" s="142">
        <v>0</v>
      </c>
      <c r="DM20" s="142">
        <v>0</v>
      </c>
      <c r="DN20" s="142">
        <v>0</v>
      </c>
      <c r="DO20" s="142">
        <v>0</v>
      </c>
      <c r="DP20" s="142">
        <v>0</v>
      </c>
      <c r="DQ20" s="142">
        <v>0</v>
      </c>
      <c r="DR20" s="142">
        <v>0</v>
      </c>
      <c r="DS20" s="142">
        <v>0</v>
      </c>
      <c r="DT20" s="142">
        <v>0</v>
      </c>
      <c r="DU20" s="142">
        <v>0</v>
      </c>
      <c r="DV20" s="142">
        <v>0.13195000000000001</v>
      </c>
      <c r="DW20" s="142">
        <v>9.2799999999999994E-2</v>
      </c>
      <c r="DX20" s="142">
        <v>7.2499999999999995E-2</v>
      </c>
      <c r="DY20" s="142">
        <v>0.13195000000000001</v>
      </c>
      <c r="DZ20" s="142">
        <v>9.2799999999999994E-2</v>
      </c>
      <c r="EA20" s="142">
        <v>7.2499999999999995E-2</v>
      </c>
      <c r="EB20" s="142">
        <v>9.2799999999999994E-2</v>
      </c>
      <c r="EC20" s="142">
        <v>0.13195000000000001</v>
      </c>
      <c r="ED20" s="142">
        <v>9.2799999999999994E-2</v>
      </c>
      <c r="EE20" s="142">
        <v>7.2499999999999995E-2</v>
      </c>
      <c r="EF20" s="142">
        <v>3.560584789265715</v>
      </c>
      <c r="EG20" s="142">
        <v>3.560584789265715</v>
      </c>
      <c r="EH20" s="142">
        <v>3.560584789265715</v>
      </c>
      <c r="EI20" s="142">
        <v>0</v>
      </c>
      <c r="EJ20" s="142">
        <f t="shared" ref="EJ20" si="16">$EG20*B$3</f>
        <v>3.560584789265715</v>
      </c>
      <c r="EK20" s="142">
        <v>0</v>
      </c>
      <c r="EL20" s="142">
        <f t="shared" ref="EL20" si="17">$EG20*C$3</f>
        <v>3.560584789265715</v>
      </c>
      <c r="EM20" s="142">
        <v>0</v>
      </c>
      <c r="EN20" s="142">
        <f t="shared" ref="EN20" si="18">$EG20*D$3</f>
        <v>3.560584789265715</v>
      </c>
      <c r="EO20" s="142">
        <v>0</v>
      </c>
      <c r="EP20" s="142">
        <v>0</v>
      </c>
      <c r="EQ20" s="142">
        <v>0</v>
      </c>
      <c r="ER20" s="142">
        <v>0</v>
      </c>
      <c r="ES20" s="142">
        <v>0</v>
      </c>
      <c r="ET20" s="142">
        <f t="shared" ref="ET20" si="19">$EQ20*B$3</f>
        <v>0</v>
      </c>
      <c r="EU20" s="142">
        <v>0</v>
      </c>
      <c r="EV20" s="142">
        <f t="shared" ref="EV20" si="20">$EQ20*C$3</f>
        <v>0</v>
      </c>
      <c r="EW20" s="142">
        <v>0</v>
      </c>
      <c r="EX20" s="142">
        <f t="shared" ref="EX20" si="21">$EQ20*D$3</f>
        <v>0</v>
      </c>
      <c r="EY20" s="142">
        <v>0</v>
      </c>
      <c r="EZ20" s="142">
        <v>0</v>
      </c>
      <c r="FA20" s="142">
        <v>0</v>
      </c>
      <c r="FB20" s="142">
        <v>0</v>
      </c>
      <c r="FC20" s="142">
        <v>0</v>
      </c>
      <c r="FD20" s="142">
        <v>0</v>
      </c>
      <c r="FE20" s="142">
        <v>0</v>
      </c>
      <c r="FF20" s="142">
        <v>0</v>
      </c>
      <c r="FG20" s="142">
        <v>0</v>
      </c>
      <c r="FH20" s="142">
        <v>0</v>
      </c>
      <c r="FI20" s="142">
        <v>0</v>
      </c>
      <c r="FJ20" s="142">
        <v>0</v>
      </c>
      <c r="FK20" s="142">
        <v>0</v>
      </c>
      <c r="FL20" s="142">
        <v>0</v>
      </c>
      <c r="FM20" s="142">
        <v>0</v>
      </c>
      <c r="FN20" s="142">
        <v>0</v>
      </c>
      <c r="FO20" s="142">
        <v>0</v>
      </c>
      <c r="FP20" s="142">
        <v>0</v>
      </c>
      <c r="FQ20" s="142">
        <v>0</v>
      </c>
      <c r="FR20" s="142">
        <v>0</v>
      </c>
      <c r="FS20" s="142">
        <v>0</v>
      </c>
    </row>
    <row r="21" spans="1:175" s="142" customFormat="1" x14ac:dyDescent="0.3">
      <c r="A21" s="83"/>
      <c r="B21" s="138" t="s">
        <v>135</v>
      </c>
      <c r="C21" s="146" t="s">
        <v>433</v>
      </c>
      <c r="D21" s="140" t="s">
        <v>427</v>
      </c>
      <c r="E21" s="141">
        <f t="shared" si="5"/>
        <v>13</v>
      </c>
      <c r="F21" s="141">
        <v>1</v>
      </c>
      <c r="G21" s="141" t="s">
        <v>428</v>
      </c>
      <c r="H21" s="142">
        <v>0</v>
      </c>
      <c r="I21" s="143" t="str">
        <f>B22</f>
        <v>Product/Reactant1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f>O10</f>
        <v>40000</v>
      </c>
      <c r="P21" s="142">
        <v>0.35</v>
      </c>
      <c r="Q21" s="142">
        <v>0.35</v>
      </c>
      <c r="R21" s="142">
        <v>0.35</v>
      </c>
      <c r="S21" s="142">
        <v>0.35</v>
      </c>
      <c r="T21" s="142">
        <v>0.35</v>
      </c>
      <c r="U21" s="142">
        <v>0.35</v>
      </c>
      <c r="V21" s="142">
        <v>0.35</v>
      </c>
      <c r="W21" s="142">
        <v>0.35</v>
      </c>
      <c r="X21" s="142">
        <v>0.35</v>
      </c>
      <c r="Y21" s="142">
        <v>0.35</v>
      </c>
      <c r="Z21" s="142">
        <v>0</v>
      </c>
      <c r="AA21" s="142">
        <v>0</v>
      </c>
      <c r="AB21" s="142">
        <v>0</v>
      </c>
      <c r="AC21" s="142">
        <v>0</v>
      </c>
      <c r="AD21" s="142">
        <v>0</v>
      </c>
      <c r="AE21" s="142">
        <v>0</v>
      </c>
      <c r="AF21" s="142">
        <v>0</v>
      </c>
      <c r="AG21" s="142">
        <v>0</v>
      </c>
      <c r="AH21" s="142">
        <v>0</v>
      </c>
      <c r="AI21" s="142">
        <v>0</v>
      </c>
      <c r="AJ21" s="142">
        <v>0</v>
      </c>
      <c r="AK21" s="142">
        <v>0</v>
      </c>
      <c r="AL21" s="142">
        <v>0</v>
      </c>
      <c r="AM21" s="142">
        <v>0</v>
      </c>
      <c r="AN21" s="142">
        <v>0</v>
      </c>
      <c r="AO21" s="142">
        <v>0</v>
      </c>
      <c r="AP21" s="142">
        <v>0</v>
      </c>
      <c r="AQ21" s="142">
        <v>0</v>
      </c>
      <c r="AR21" s="142">
        <v>0</v>
      </c>
      <c r="AS21" s="142">
        <v>0</v>
      </c>
      <c r="AT21" s="144">
        <v>0</v>
      </c>
      <c r="AU21" s="144">
        <v>0</v>
      </c>
      <c r="AV21" s="144">
        <v>0</v>
      </c>
      <c r="AW21" s="144">
        <v>0</v>
      </c>
      <c r="AX21" s="144">
        <v>0</v>
      </c>
      <c r="AY21" s="144">
        <v>0</v>
      </c>
      <c r="AZ21" s="144">
        <v>0</v>
      </c>
      <c r="BA21" s="144">
        <v>0</v>
      </c>
      <c r="BB21" s="144">
        <v>0</v>
      </c>
      <c r="BC21" s="144">
        <v>0</v>
      </c>
      <c r="BD21" s="144">
        <v>1</v>
      </c>
      <c r="BE21" s="144">
        <v>1</v>
      </c>
      <c r="BF21" s="144">
        <v>1</v>
      </c>
      <c r="BG21" s="144">
        <v>1</v>
      </c>
      <c r="BH21" s="144">
        <v>1</v>
      </c>
      <c r="BI21" s="144">
        <v>1</v>
      </c>
      <c r="BJ21" s="144">
        <v>1</v>
      </c>
      <c r="BK21" s="144">
        <v>1</v>
      </c>
      <c r="BL21" s="144">
        <v>1</v>
      </c>
      <c r="BM21" s="144">
        <v>1</v>
      </c>
      <c r="BN21" s="144">
        <v>1</v>
      </c>
      <c r="BO21" s="144">
        <v>1</v>
      </c>
      <c r="BP21" s="144">
        <v>1</v>
      </c>
      <c r="BQ21" s="144">
        <v>1</v>
      </c>
      <c r="BR21" s="144">
        <v>1</v>
      </c>
      <c r="BS21" s="144">
        <v>1</v>
      </c>
      <c r="BT21" s="144">
        <v>1</v>
      </c>
      <c r="BU21" s="144">
        <v>1</v>
      </c>
      <c r="BV21" s="144">
        <v>1</v>
      </c>
      <c r="BW21" s="144">
        <v>1</v>
      </c>
      <c r="BX21" s="145">
        <v>0</v>
      </c>
      <c r="BY21" s="145">
        <v>0</v>
      </c>
      <c r="BZ21" s="145">
        <v>0</v>
      </c>
      <c r="CA21" s="145">
        <v>0</v>
      </c>
      <c r="CB21" s="145">
        <v>0</v>
      </c>
      <c r="CC21" s="145">
        <v>0</v>
      </c>
      <c r="CD21" s="145">
        <v>0</v>
      </c>
      <c r="CE21" s="145">
        <v>0</v>
      </c>
      <c r="CF21" s="145">
        <v>0</v>
      </c>
      <c r="CG21" s="145">
        <v>0</v>
      </c>
      <c r="CH21" s="142">
        <v>0</v>
      </c>
      <c r="CI21" s="142">
        <v>0</v>
      </c>
      <c r="CJ21" s="142">
        <v>0</v>
      </c>
      <c r="CK21" s="142">
        <v>0</v>
      </c>
      <c r="CL21" s="142">
        <v>0</v>
      </c>
      <c r="CM21" s="142">
        <v>0</v>
      </c>
      <c r="CN21" s="142">
        <v>0</v>
      </c>
      <c r="CO21" s="142">
        <v>0</v>
      </c>
      <c r="CP21" s="142">
        <v>0</v>
      </c>
      <c r="CQ21" s="142">
        <v>0</v>
      </c>
      <c r="CR21" s="142">
        <v>0</v>
      </c>
      <c r="CS21" s="142">
        <v>0</v>
      </c>
      <c r="CT21" s="142">
        <v>0</v>
      </c>
      <c r="CU21" s="142">
        <v>0</v>
      </c>
      <c r="CV21" s="142">
        <v>0</v>
      </c>
      <c r="CW21" s="142">
        <v>0</v>
      </c>
      <c r="CX21" s="142">
        <v>0</v>
      </c>
      <c r="CY21" s="142">
        <v>0</v>
      </c>
      <c r="CZ21" s="142">
        <v>0</v>
      </c>
      <c r="DA21" s="142">
        <v>0</v>
      </c>
      <c r="DB21" s="142">
        <v>0</v>
      </c>
      <c r="DC21" s="142">
        <v>0</v>
      </c>
      <c r="DD21" s="142">
        <v>0</v>
      </c>
      <c r="DE21" s="142">
        <v>0</v>
      </c>
      <c r="DF21" s="142">
        <v>0</v>
      </c>
      <c r="DG21" s="142">
        <v>0</v>
      </c>
      <c r="DH21" s="142">
        <v>0</v>
      </c>
      <c r="DI21" s="142">
        <v>0</v>
      </c>
      <c r="DJ21" s="142">
        <v>0</v>
      </c>
      <c r="DK21" s="142">
        <v>0</v>
      </c>
      <c r="DL21" s="142">
        <v>0</v>
      </c>
      <c r="DM21" s="142">
        <v>0.11849999999999999</v>
      </c>
      <c r="DN21" s="142">
        <v>0.16</v>
      </c>
      <c r="DO21" s="142">
        <v>0</v>
      </c>
      <c r="DP21" s="142">
        <v>0.11849999999999999</v>
      </c>
      <c r="DQ21" s="142">
        <v>0.16</v>
      </c>
      <c r="DR21" s="142">
        <v>0.11849999999999999</v>
      </c>
      <c r="DS21" s="142">
        <v>0</v>
      </c>
      <c r="DT21" s="142">
        <v>0.11849999999999999</v>
      </c>
      <c r="DU21" s="142">
        <v>0.16</v>
      </c>
      <c r="DV21" s="142">
        <v>0</v>
      </c>
      <c r="DW21" s="142">
        <v>0</v>
      </c>
      <c r="DX21" s="142">
        <v>0</v>
      </c>
      <c r="DY21" s="142">
        <v>0</v>
      </c>
      <c r="DZ21" s="142">
        <v>0</v>
      </c>
      <c r="EA21" s="142">
        <v>0</v>
      </c>
      <c r="EB21" s="142">
        <v>0</v>
      </c>
      <c r="EC21" s="142">
        <v>0</v>
      </c>
      <c r="ED21" s="142">
        <v>0</v>
      </c>
      <c r="EE21" s="142">
        <v>0</v>
      </c>
      <c r="EF21" s="142">
        <v>0</v>
      </c>
      <c r="EG21" s="142">
        <v>0</v>
      </c>
      <c r="EH21" s="142">
        <v>0</v>
      </c>
      <c r="EI21" s="142">
        <v>0</v>
      </c>
      <c r="EJ21" s="142">
        <v>0</v>
      </c>
      <c r="EK21" s="142">
        <v>0</v>
      </c>
      <c r="EL21" s="142">
        <v>0</v>
      </c>
      <c r="EM21" s="142">
        <v>0</v>
      </c>
      <c r="EN21" s="142">
        <v>0</v>
      </c>
      <c r="EO21" s="142">
        <v>0</v>
      </c>
      <c r="EP21" s="142">
        <v>0</v>
      </c>
      <c r="EQ21" s="142">
        <v>0</v>
      </c>
      <c r="ER21" s="142">
        <v>0</v>
      </c>
      <c r="ES21" s="142">
        <v>0</v>
      </c>
      <c r="ET21" s="142">
        <v>0</v>
      </c>
      <c r="EU21" s="142">
        <v>0</v>
      </c>
      <c r="EV21" s="142">
        <v>0</v>
      </c>
      <c r="EW21" s="142">
        <v>0</v>
      </c>
      <c r="EX21" s="142">
        <v>0</v>
      </c>
      <c r="EY21" s="142">
        <v>0</v>
      </c>
      <c r="EZ21" s="142">
        <v>0</v>
      </c>
      <c r="FA21" s="142">
        <v>0</v>
      </c>
      <c r="FB21" s="142">
        <v>0</v>
      </c>
      <c r="FC21" s="142">
        <v>0</v>
      </c>
      <c r="FD21" s="142">
        <v>0</v>
      </c>
      <c r="FE21" s="142">
        <v>0</v>
      </c>
      <c r="FF21" s="142">
        <v>0</v>
      </c>
      <c r="FG21" s="142">
        <v>0</v>
      </c>
      <c r="FH21" s="142">
        <v>0</v>
      </c>
      <c r="FI21" s="142">
        <v>0</v>
      </c>
      <c r="FJ21" s="142">
        <v>0</v>
      </c>
      <c r="FK21" s="142">
        <v>0</v>
      </c>
      <c r="FL21" s="142">
        <v>0</v>
      </c>
      <c r="FM21" s="142">
        <v>0</v>
      </c>
      <c r="FN21" s="142">
        <v>0</v>
      </c>
      <c r="FO21" s="142">
        <v>0</v>
      </c>
      <c r="FP21" s="142">
        <v>0</v>
      </c>
      <c r="FQ21" s="142">
        <v>0</v>
      </c>
      <c r="FR21" s="142">
        <v>0</v>
      </c>
      <c r="FS21" s="142">
        <v>0</v>
      </c>
    </row>
    <row r="22" spans="1:175" s="142" customFormat="1" x14ac:dyDescent="0.3">
      <c r="A22" s="83"/>
      <c r="B22" s="138" t="s">
        <v>134</v>
      </c>
      <c r="C22" s="146" t="s">
        <v>171</v>
      </c>
      <c r="D22" s="140" t="s">
        <v>403</v>
      </c>
      <c r="E22" s="141">
        <f t="shared" si="5"/>
        <v>14</v>
      </c>
      <c r="F22" s="141">
        <v>1</v>
      </c>
      <c r="G22" s="141" t="s">
        <v>419</v>
      </c>
      <c r="H22" s="147">
        <f>H20/P20</f>
        <v>24439560.439560439</v>
      </c>
      <c r="I22" s="143" t="str">
        <f>B33</f>
        <v>Reactant7</v>
      </c>
      <c r="J22" s="142">
        <v>0</v>
      </c>
      <c r="K22" s="142">
        <v>1</v>
      </c>
      <c r="L22" s="142">
        <v>1</v>
      </c>
      <c r="M22" s="142">
        <v>0</v>
      </c>
      <c r="N22" s="142">
        <v>0</v>
      </c>
      <c r="O22" s="142">
        <v>20000</v>
      </c>
      <c r="P22" s="142">
        <v>6.57</v>
      </c>
      <c r="Q22" s="142">
        <v>6.57</v>
      </c>
      <c r="R22" s="142">
        <v>6.57</v>
      </c>
      <c r="S22" s="142">
        <v>6.57</v>
      </c>
      <c r="T22" s="142">
        <v>6.57</v>
      </c>
      <c r="U22" s="142">
        <v>6.57</v>
      </c>
      <c r="V22" s="142">
        <v>6.57</v>
      </c>
      <c r="W22" s="142">
        <v>6.57</v>
      </c>
      <c r="X22" s="142">
        <v>6.57</v>
      </c>
      <c r="Y22" s="142">
        <v>6.57</v>
      </c>
      <c r="Z22" s="142">
        <v>1.66</v>
      </c>
      <c r="AA22" s="142">
        <v>1.66</v>
      </c>
      <c r="AB22" s="142">
        <v>1.66</v>
      </c>
      <c r="AC22" s="142">
        <v>1.66</v>
      </c>
      <c r="AD22" s="142">
        <v>1.66</v>
      </c>
      <c r="AE22" s="142">
        <v>1.66</v>
      </c>
      <c r="AF22" s="142">
        <v>1.66</v>
      </c>
      <c r="AG22" s="142">
        <v>1.66</v>
      </c>
      <c r="AH22" s="142">
        <v>1.66</v>
      </c>
      <c r="AI22" s="142">
        <v>1.66</v>
      </c>
      <c r="AJ22" s="142">
        <v>1.1000000000000001</v>
      </c>
      <c r="AK22" s="142">
        <v>1.1000000000000001</v>
      </c>
      <c r="AL22" s="142">
        <v>1.1000000000000001</v>
      </c>
      <c r="AM22" s="142">
        <v>1.1000000000000001</v>
      </c>
      <c r="AN22" s="142">
        <v>1.1000000000000001</v>
      </c>
      <c r="AO22" s="142">
        <v>1.1000000000000001</v>
      </c>
      <c r="AP22" s="142">
        <v>1.1000000000000001</v>
      </c>
      <c r="AQ22" s="142">
        <v>1.1000000000000001</v>
      </c>
      <c r="AR22" s="142">
        <v>1.1000000000000001</v>
      </c>
      <c r="AS22" s="142">
        <v>1.1000000000000001</v>
      </c>
      <c r="AT22" s="144">
        <v>0.5</v>
      </c>
      <c r="AU22" s="144">
        <v>0.5</v>
      </c>
      <c r="AV22" s="144">
        <v>0.5</v>
      </c>
      <c r="AW22" s="144">
        <v>0.5</v>
      </c>
      <c r="AX22" s="144">
        <v>0.5</v>
      </c>
      <c r="AY22" s="144">
        <v>0.5</v>
      </c>
      <c r="AZ22" s="144">
        <v>0.5</v>
      </c>
      <c r="BA22" s="144">
        <v>0.5</v>
      </c>
      <c r="BB22" s="144">
        <v>0.5</v>
      </c>
      <c r="BC22" s="144">
        <v>0.5</v>
      </c>
      <c r="BD22" s="144">
        <v>1</v>
      </c>
      <c r="BE22" s="144">
        <v>1</v>
      </c>
      <c r="BF22" s="144">
        <v>1</v>
      </c>
      <c r="BG22" s="144">
        <v>1</v>
      </c>
      <c r="BH22" s="144">
        <v>1</v>
      </c>
      <c r="BI22" s="144">
        <v>1</v>
      </c>
      <c r="BJ22" s="144">
        <v>1</v>
      </c>
      <c r="BK22" s="144">
        <v>1</v>
      </c>
      <c r="BL22" s="144">
        <v>1</v>
      </c>
      <c r="BM22" s="144">
        <v>1</v>
      </c>
      <c r="BN22" s="144">
        <v>1</v>
      </c>
      <c r="BO22" s="144">
        <v>1</v>
      </c>
      <c r="BP22" s="144">
        <v>1</v>
      </c>
      <c r="BQ22" s="144">
        <v>1</v>
      </c>
      <c r="BR22" s="144">
        <v>1</v>
      </c>
      <c r="BS22" s="144">
        <v>1</v>
      </c>
      <c r="BT22" s="144">
        <v>1</v>
      </c>
      <c r="BU22" s="144">
        <v>1</v>
      </c>
      <c r="BV22" s="144">
        <v>1</v>
      </c>
      <c r="BW22" s="144">
        <v>1</v>
      </c>
      <c r="BX22" s="145">
        <v>0.64</v>
      </c>
      <c r="BY22" s="145">
        <v>0.64</v>
      </c>
      <c r="BZ22" s="145">
        <v>0.64</v>
      </c>
      <c r="CA22" s="145">
        <v>0.64</v>
      </c>
      <c r="CB22" s="145">
        <v>0.64</v>
      </c>
      <c r="CC22" s="145">
        <v>0.64</v>
      </c>
      <c r="CD22" s="145">
        <v>0.64</v>
      </c>
      <c r="CE22" s="145">
        <v>0.64</v>
      </c>
      <c r="CF22" s="145">
        <v>0.64</v>
      </c>
      <c r="CG22" s="145">
        <v>0.64</v>
      </c>
      <c r="CH22" s="142">
        <v>15142.26</v>
      </c>
      <c r="CI22" s="142">
        <v>12113.81</v>
      </c>
      <c r="CJ22" s="142">
        <v>9085.35</v>
      </c>
      <c r="CK22" s="142">
        <v>15142.26</v>
      </c>
      <c r="CL22" s="142">
        <v>12113.81</v>
      </c>
      <c r="CM22" s="142">
        <v>9085.35</v>
      </c>
      <c r="CN22" s="142">
        <v>12113.81</v>
      </c>
      <c r="CO22" s="142">
        <v>15142.26</v>
      </c>
      <c r="CP22" s="142">
        <v>12113.81</v>
      </c>
      <c r="CQ22" s="142">
        <v>9085.35</v>
      </c>
      <c r="CR22" s="142">
        <v>1348.76</v>
      </c>
      <c r="CS22" s="142">
        <v>1167.05</v>
      </c>
      <c r="CT22" s="142">
        <v>985.35</v>
      </c>
      <c r="CU22" s="142">
        <v>1348.76</v>
      </c>
      <c r="CV22" s="142">
        <v>1167.05</v>
      </c>
      <c r="CW22" s="142">
        <v>985.35</v>
      </c>
      <c r="CX22" s="142">
        <v>1167.05</v>
      </c>
      <c r="CY22" s="142">
        <v>1348.76</v>
      </c>
      <c r="CZ22" s="142">
        <v>1167.05</v>
      </c>
      <c r="DA22" s="142">
        <v>985.35</v>
      </c>
      <c r="DB22" s="142">
        <f>4.04937222588/1000</f>
        <v>4.0493722258800003E-3</v>
      </c>
      <c r="DC22" s="142">
        <f t="shared" ref="DC22:DK22" si="22">4.04937222588/1000</f>
        <v>4.0493722258800003E-3</v>
      </c>
      <c r="DD22" s="142">
        <f t="shared" si="22"/>
        <v>4.0493722258800003E-3</v>
      </c>
      <c r="DE22" s="142">
        <f t="shared" si="22"/>
        <v>4.0493722258800003E-3</v>
      </c>
      <c r="DF22" s="142">
        <f t="shared" si="22"/>
        <v>4.0493722258800003E-3</v>
      </c>
      <c r="DG22" s="142">
        <f t="shared" si="22"/>
        <v>4.0493722258800003E-3</v>
      </c>
      <c r="DH22" s="142">
        <f t="shared" si="22"/>
        <v>4.0493722258800003E-3</v>
      </c>
      <c r="DI22" s="142">
        <f t="shared" si="22"/>
        <v>4.0493722258800003E-3</v>
      </c>
      <c r="DJ22" s="142">
        <f t="shared" si="22"/>
        <v>4.0493722258800003E-3</v>
      </c>
      <c r="DK22" s="142">
        <f t="shared" si="22"/>
        <v>4.0493722258800003E-3</v>
      </c>
      <c r="DL22" s="142">
        <v>0</v>
      </c>
      <c r="DM22" s="142">
        <v>0</v>
      </c>
      <c r="DN22" s="142">
        <v>0</v>
      </c>
      <c r="DO22" s="142">
        <v>0</v>
      </c>
      <c r="DP22" s="142">
        <v>0</v>
      </c>
      <c r="DQ22" s="142">
        <v>0</v>
      </c>
      <c r="DR22" s="142">
        <v>0</v>
      </c>
      <c r="DS22" s="142">
        <v>0</v>
      </c>
      <c r="DT22" s="142">
        <v>0</v>
      </c>
      <c r="DU22" s="142">
        <v>0</v>
      </c>
      <c r="DV22" s="142">
        <v>0</v>
      </c>
      <c r="DW22" s="142">
        <v>0</v>
      </c>
      <c r="DX22" s="142">
        <v>0</v>
      </c>
      <c r="DY22" s="142">
        <v>0</v>
      </c>
      <c r="DZ22" s="142">
        <v>0</v>
      </c>
      <c r="EA22" s="142">
        <v>0</v>
      </c>
      <c r="EB22" s="142">
        <v>0</v>
      </c>
      <c r="EC22" s="142">
        <v>0</v>
      </c>
      <c r="ED22" s="142">
        <v>0</v>
      </c>
      <c r="EE22" s="142">
        <v>0</v>
      </c>
      <c r="EF22" s="142">
        <v>18.474666666666668</v>
      </c>
      <c r="EG22" s="142">
        <v>18.474666666666668</v>
      </c>
      <c r="EH22" s="142">
        <v>18.474666666666668</v>
      </c>
      <c r="EI22" s="142">
        <v>18.474666666666668</v>
      </c>
      <c r="EJ22" s="142">
        <v>18.474666666666668</v>
      </c>
      <c r="EK22" s="142">
        <v>18.474666666666668</v>
      </c>
      <c r="EL22" s="142">
        <v>18.474666666666668</v>
      </c>
      <c r="EM22" s="142">
        <v>18.474666666666668</v>
      </c>
      <c r="EN22" s="142">
        <v>18.474666666666668</v>
      </c>
      <c r="EO22" s="142">
        <v>18.474666666666668</v>
      </c>
      <c r="EP22" s="142">
        <v>0</v>
      </c>
      <c r="EQ22" s="142">
        <v>0</v>
      </c>
      <c r="ER22" s="142">
        <v>0</v>
      </c>
      <c r="ES22" s="142">
        <v>0</v>
      </c>
      <c r="ET22" s="142">
        <v>0</v>
      </c>
      <c r="EU22" s="142">
        <v>0</v>
      </c>
      <c r="EV22" s="142">
        <v>0</v>
      </c>
      <c r="EW22" s="142">
        <v>0</v>
      </c>
      <c r="EX22" s="142">
        <v>0</v>
      </c>
      <c r="EY22" s="142">
        <v>0</v>
      </c>
      <c r="EZ22" s="142">
        <v>0</v>
      </c>
      <c r="FA22" s="142">
        <v>0</v>
      </c>
      <c r="FB22" s="142">
        <v>0</v>
      </c>
      <c r="FC22" s="142">
        <v>0</v>
      </c>
      <c r="FD22" s="142">
        <v>0</v>
      </c>
      <c r="FE22" s="142">
        <v>0</v>
      </c>
      <c r="FF22" s="142">
        <v>0</v>
      </c>
      <c r="FG22" s="142">
        <v>0</v>
      </c>
      <c r="FH22" s="142">
        <v>0</v>
      </c>
      <c r="FI22" s="142">
        <v>0</v>
      </c>
      <c r="FJ22" s="142">
        <v>9.3678779051968114E-2</v>
      </c>
      <c r="FK22" s="142">
        <v>9.3678779051968114E-2</v>
      </c>
      <c r="FL22" s="142">
        <v>9.3678779051968114E-2</v>
      </c>
      <c r="FM22" s="142">
        <v>9.3678779051968114E-2</v>
      </c>
      <c r="FN22" s="142">
        <v>9.3678779051968114E-2</v>
      </c>
      <c r="FO22" s="142">
        <v>9.3678779051968114E-2</v>
      </c>
      <c r="FP22" s="142">
        <v>9.3678779051968114E-2</v>
      </c>
      <c r="FQ22" s="142">
        <v>9.3678779051968114E-2</v>
      </c>
      <c r="FR22" s="142">
        <v>9.3678779051968114E-2</v>
      </c>
      <c r="FS22" s="142">
        <v>9.3678779051968114E-2</v>
      </c>
    </row>
    <row r="23" spans="1:175" x14ac:dyDescent="0.3">
      <c r="A23" s="83"/>
      <c r="B23" s="3" t="s">
        <v>135</v>
      </c>
      <c r="C23" s="4" t="s">
        <v>171</v>
      </c>
      <c r="D23" s="2" t="s">
        <v>250</v>
      </c>
      <c r="E23" s="9">
        <f>ROW(D23)-ROW($E$8)</f>
        <v>15</v>
      </c>
      <c r="F23" s="13">
        <v>1</v>
      </c>
      <c r="G23" s="13" t="s">
        <v>251</v>
      </c>
      <c r="H23" s="15">
        <f>(2.2/(120/3.6))*10^9</f>
        <v>66000000</v>
      </c>
      <c r="I23" s="24" t="str">
        <f>B34</f>
        <v>Reactant10</v>
      </c>
      <c r="J23">
        <v>0</v>
      </c>
      <c r="K23">
        <v>1</v>
      </c>
      <c r="L23">
        <v>0</v>
      </c>
      <c r="M23">
        <v>0</v>
      </c>
      <c r="N23">
        <v>0</v>
      </c>
      <c r="O23">
        <v>20000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0">
        <v>0</v>
      </c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0</v>
      </c>
      <c r="BE23" s="60">
        <v>1</v>
      </c>
      <c r="BF23" s="60">
        <v>1</v>
      </c>
      <c r="BG23" s="60">
        <v>1</v>
      </c>
      <c r="BH23" s="60">
        <v>1</v>
      </c>
      <c r="BI23" s="60">
        <v>1</v>
      </c>
      <c r="BJ23" s="60">
        <v>1</v>
      </c>
      <c r="BK23" s="60">
        <v>1</v>
      </c>
      <c r="BL23" s="60">
        <v>1</v>
      </c>
      <c r="BM23" s="60">
        <v>1</v>
      </c>
      <c r="BN23" s="60">
        <v>1</v>
      </c>
      <c r="BO23" s="60">
        <v>1</v>
      </c>
      <c r="BP23" s="60">
        <v>1</v>
      </c>
      <c r="BQ23" s="60">
        <v>1</v>
      </c>
      <c r="BR23" s="60">
        <v>1</v>
      </c>
      <c r="BS23" s="60">
        <v>1</v>
      </c>
      <c r="BT23" s="60">
        <v>1</v>
      </c>
      <c r="BU23" s="60">
        <v>1</v>
      </c>
      <c r="BV23" s="60">
        <v>1</v>
      </c>
      <c r="BW23" s="60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83"/>
      <c r="B24" s="25" t="s">
        <v>424</v>
      </c>
      <c r="C24" s="11" t="s">
        <v>276</v>
      </c>
      <c r="D24" s="2" t="s">
        <v>35</v>
      </c>
      <c r="E24" s="9">
        <f t="shared" si="5"/>
        <v>16</v>
      </c>
      <c r="F24" s="13">
        <v>1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400000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1</v>
      </c>
      <c r="BE24" s="14">
        <v>1</v>
      </c>
      <c r="BF24" s="14">
        <v>1</v>
      </c>
      <c r="BG24" s="14">
        <v>1</v>
      </c>
      <c r="BH24" s="14">
        <v>1</v>
      </c>
      <c r="BI24" s="14">
        <v>1</v>
      </c>
      <c r="BJ24" s="14">
        <v>1</v>
      </c>
      <c r="BK24" s="14">
        <v>1</v>
      </c>
      <c r="BL24" s="14">
        <v>1</v>
      </c>
      <c r="BM24" s="14">
        <v>1</v>
      </c>
      <c r="BN24" s="14">
        <v>1</v>
      </c>
      <c r="BO24" s="14">
        <v>1</v>
      </c>
      <c r="BP24" s="14">
        <v>1</v>
      </c>
      <c r="BQ24" s="14">
        <v>1</v>
      </c>
      <c r="BR24" s="14">
        <v>1</v>
      </c>
      <c r="BS24" s="14">
        <v>1</v>
      </c>
      <c r="BT24" s="14">
        <v>1</v>
      </c>
      <c r="BU24" s="14">
        <v>1</v>
      </c>
      <c r="BV24" s="14">
        <v>1</v>
      </c>
      <c r="BW24" s="14">
        <v>1</v>
      </c>
      <c r="BX24">
        <v>8.9999999999999993E-3</v>
      </c>
      <c r="BY24">
        <v>6.7499999999999991E-3</v>
      </c>
      <c r="BZ24">
        <v>4.4999999999999997E-3</v>
      </c>
      <c r="CA24">
        <v>8.9999999999999993E-3</v>
      </c>
      <c r="CB24">
        <v>6.7499999999999991E-3</v>
      </c>
      <c r="CC24">
        <v>4.4999999999999997E-3</v>
      </c>
      <c r="CD24">
        <v>4.4999999999999997E-3</v>
      </c>
      <c r="CE24">
        <v>4.4999999999999997E-3</v>
      </c>
      <c r="CF24">
        <v>4.4999999999999997E-3</v>
      </c>
      <c r="CG24">
        <v>4.4999999999999997E-3</v>
      </c>
      <c r="CH24">
        <v>161.32079999999999</v>
      </c>
      <c r="CI24">
        <v>147.87739999999999</v>
      </c>
      <c r="CJ24">
        <v>134.434</v>
      </c>
      <c r="CK24">
        <v>147.87739999999999</v>
      </c>
      <c r="CL24">
        <v>134.434</v>
      </c>
      <c r="CM24">
        <v>134.434</v>
      </c>
      <c r="CN24">
        <v>134.434</v>
      </c>
      <c r="CO24">
        <v>134.434</v>
      </c>
      <c r="CP24">
        <v>134.434</v>
      </c>
      <c r="CQ24">
        <v>134.434</v>
      </c>
      <c r="CR24">
        <f t="shared" ref="CR24:DA26" si="23">CH24*0.03</f>
        <v>4.8396239999999997</v>
      </c>
      <c r="CS24">
        <f t="shared" si="23"/>
        <v>4.4363219999999997</v>
      </c>
      <c r="CT24">
        <f t="shared" si="23"/>
        <v>4.0330199999999996</v>
      </c>
      <c r="CU24">
        <f t="shared" si="23"/>
        <v>4.4363219999999997</v>
      </c>
      <c r="CV24">
        <f t="shared" si="23"/>
        <v>4.0330199999999996</v>
      </c>
      <c r="CW24">
        <f t="shared" si="23"/>
        <v>4.0330199999999996</v>
      </c>
      <c r="CX24">
        <f t="shared" si="23"/>
        <v>4.0330199999999996</v>
      </c>
      <c r="CY24">
        <f t="shared" si="23"/>
        <v>4.0330199999999996</v>
      </c>
      <c r="CZ24">
        <f t="shared" si="23"/>
        <v>4.0330199999999996</v>
      </c>
      <c r="DA24">
        <f t="shared" si="23"/>
        <v>4.0330199999999996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f t="shared" si="6"/>
        <v>0</v>
      </c>
      <c r="EK24">
        <v>0</v>
      </c>
      <c r="EL24">
        <f t="shared" si="7"/>
        <v>0</v>
      </c>
      <c r="EM24">
        <v>0</v>
      </c>
      <c r="EN24">
        <f t="shared" si="12"/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f t="shared" si="9"/>
        <v>0</v>
      </c>
      <c r="EU24">
        <v>0</v>
      </c>
      <c r="EV24">
        <f t="shared" si="10"/>
        <v>0</v>
      </c>
      <c r="EW24">
        <v>0</v>
      </c>
      <c r="EX24">
        <f t="shared" si="11"/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0.11682954493601999</v>
      </c>
      <c r="FK24">
        <v>0.11682954493601999</v>
      </c>
      <c r="FL24">
        <v>0.11682954493601999</v>
      </c>
      <c r="FM24">
        <v>0.11682954493601999</v>
      </c>
      <c r="FN24">
        <v>0.11682954493601999</v>
      </c>
      <c r="FO24">
        <v>0.11682954493601999</v>
      </c>
      <c r="FP24">
        <v>0.10185220882315059</v>
      </c>
      <c r="FQ24">
        <v>0.10185220882315059</v>
      </c>
      <c r="FR24">
        <v>0.10185220882315059</v>
      </c>
      <c r="FS24">
        <v>0.10185220882315059</v>
      </c>
    </row>
    <row r="25" spans="1:175" x14ac:dyDescent="0.3">
      <c r="A25" s="83"/>
      <c r="B25" s="25" t="str">
        <f>B24</f>
        <v>Reactant11</v>
      </c>
      <c r="C25" s="11" t="s">
        <v>276</v>
      </c>
      <c r="D25" s="2" t="s">
        <v>224</v>
      </c>
      <c r="E25" s="9">
        <f t="shared" si="5"/>
        <v>17</v>
      </c>
      <c r="F25" s="13">
        <v>1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400000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1</v>
      </c>
      <c r="BE25" s="14">
        <v>1</v>
      </c>
      <c r="BF25" s="14">
        <v>1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14">
        <v>1</v>
      </c>
      <c r="BO25" s="14">
        <v>1</v>
      </c>
      <c r="BP25" s="14">
        <v>1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1</v>
      </c>
      <c r="BX25" s="10">
        <v>4.0000000000000001E-3</v>
      </c>
      <c r="BY25" s="10">
        <v>2.5000000000000001E-3</v>
      </c>
      <c r="BZ25" s="10">
        <v>1E-3</v>
      </c>
      <c r="CA25" s="10">
        <v>4.0000000000000001E-3</v>
      </c>
      <c r="CB25">
        <v>2.5000000000000001E-3</v>
      </c>
      <c r="CC25" s="10">
        <v>1E-3</v>
      </c>
      <c r="CD25">
        <v>1E-3</v>
      </c>
      <c r="CE25">
        <v>1E-3</v>
      </c>
      <c r="CF25">
        <v>1E-3</v>
      </c>
      <c r="CG25">
        <v>1E-3</v>
      </c>
      <c r="CH25">
        <v>134.434</v>
      </c>
      <c r="CI25">
        <v>120.99315999999999</v>
      </c>
      <c r="CJ25">
        <v>107.55231999999999</v>
      </c>
      <c r="CK25">
        <v>120.99315999999999</v>
      </c>
      <c r="CL25">
        <v>107.55231999999999</v>
      </c>
      <c r="CM25">
        <v>107.55231999999999</v>
      </c>
      <c r="CN25">
        <v>107.55231999999999</v>
      </c>
      <c r="CO25">
        <v>107.55231999999999</v>
      </c>
      <c r="CP25">
        <v>107.55231999999999</v>
      </c>
      <c r="CQ25">
        <v>107.55231999999999</v>
      </c>
      <c r="CR25">
        <f t="shared" si="23"/>
        <v>4.0330199999999996</v>
      </c>
      <c r="CS25">
        <f t="shared" si="23"/>
        <v>3.6297947999999995</v>
      </c>
      <c r="CT25">
        <f t="shared" si="23"/>
        <v>3.2265695999999999</v>
      </c>
      <c r="CU25">
        <f t="shared" si="23"/>
        <v>3.6297947999999995</v>
      </c>
      <c r="CV25">
        <f t="shared" si="23"/>
        <v>3.2265695999999999</v>
      </c>
      <c r="CW25">
        <f t="shared" si="23"/>
        <v>3.2265695999999999</v>
      </c>
      <c r="CX25">
        <f t="shared" si="23"/>
        <v>3.2265695999999999</v>
      </c>
      <c r="CY25">
        <f t="shared" si="23"/>
        <v>3.2265695999999999</v>
      </c>
      <c r="CZ25">
        <f t="shared" si="23"/>
        <v>3.2265695999999999</v>
      </c>
      <c r="DA25">
        <f t="shared" si="23"/>
        <v>3.2265695999999999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1.3000000000000002E-4</v>
      </c>
      <c r="DW25">
        <v>6.5000000000000008E-5</v>
      </c>
      <c r="DX25">
        <v>0</v>
      </c>
      <c r="DY25">
        <v>1.3000000000000002E-4</v>
      </c>
      <c r="DZ25">
        <v>6.5000000000000008E-5</v>
      </c>
      <c r="EA25">
        <v>0</v>
      </c>
      <c r="EB25">
        <v>0</v>
      </c>
      <c r="EC25">
        <v>1.3000000000000002E-4</v>
      </c>
      <c r="ED25">
        <v>6.5000000000000008E-5</v>
      </c>
      <c r="EE25">
        <v>0</v>
      </c>
      <c r="EF25" s="15">
        <v>0</v>
      </c>
      <c r="EG25" s="15">
        <v>0</v>
      </c>
      <c r="EH25" s="15">
        <v>0</v>
      </c>
      <c r="EI25">
        <v>0</v>
      </c>
      <c r="EJ25">
        <f t="shared" si="6"/>
        <v>0</v>
      </c>
      <c r="EK25">
        <v>0</v>
      </c>
      <c r="EL25">
        <f t="shared" si="7"/>
        <v>0</v>
      </c>
      <c r="EM25">
        <v>0</v>
      </c>
      <c r="EN25">
        <f t="shared" si="12"/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f t="shared" si="9"/>
        <v>0</v>
      </c>
      <c r="EU25">
        <v>0</v>
      </c>
      <c r="EV25">
        <f t="shared" si="10"/>
        <v>0</v>
      </c>
      <c r="EW25">
        <v>0</v>
      </c>
      <c r="EX25">
        <f t="shared" si="11"/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0.11682954493601999</v>
      </c>
      <c r="FK25">
        <v>0.11682954493601999</v>
      </c>
      <c r="FL25">
        <v>0.11682954493601999</v>
      </c>
      <c r="FM25">
        <v>0.11682954493601999</v>
      </c>
      <c r="FN25">
        <v>0.11682954493601999</v>
      </c>
      <c r="FO25">
        <v>0.11682954493601999</v>
      </c>
      <c r="FP25">
        <v>0.10185220882315059</v>
      </c>
      <c r="FQ25">
        <v>0.10185220882315059</v>
      </c>
      <c r="FR25">
        <v>0.10185220882315059</v>
      </c>
      <c r="FS25">
        <v>0.10185220882315059</v>
      </c>
    </row>
    <row r="26" spans="1:175" x14ac:dyDescent="0.3">
      <c r="A26" s="83"/>
      <c r="B26" s="25" t="str">
        <f>B24</f>
        <v>Reactant11</v>
      </c>
      <c r="C26" s="11" t="s">
        <v>276</v>
      </c>
      <c r="D26" s="2" t="s">
        <v>225</v>
      </c>
      <c r="E26" s="9">
        <f t="shared" si="5"/>
        <v>18</v>
      </c>
      <c r="F26" s="13">
        <v>1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400000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1</v>
      </c>
      <c r="BE26" s="14">
        <v>1</v>
      </c>
      <c r="BF26" s="14">
        <v>1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14">
        <v>1</v>
      </c>
      <c r="BO26" s="14">
        <v>1</v>
      </c>
      <c r="BP26" s="14">
        <v>1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1</v>
      </c>
      <c r="BX26">
        <f>4.5/1000</f>
        <v>4.4999999999999997E-3</v>
      </c>
      <c r="BY26">
        <f>(BZ26+BX26)/2</f>
        <v>2.7499999999999998E-3</v>
      </c>
      <c r="BZ26">
        <f>1/1000</f>
        <v>1E-3</v>
      </c>
      <c r="CA26">
        <f>4.5/1000</f>
        <v>4.4999999999999997E-3</v>
      </c>
      <c r="CB26">
        <v>2.7499999999999998E-3</v>
      </c>
      <c r="CC26">
        <f>1/1000</f>
        <v>1E-3</v>
      </c>
      <c r="CD26">
        <f>1/1000</f>
        <v>1E-3</v>
      </c>
      <c r="CE26">
        <f>1/1000</f>
        <v>1E-3</v>
      </c>
      <c r="CF26">
        <f>1/1000</f>
        <v>1E-3</v>
      </c>
      <c r="CG26">
        <f>1/1000</f>
        <v>1E-3</v>
      </c>
      <c r="CH26">
        <v>80.664240000000007</v>
      </c>
      <c r="CI26">
        <v>72.597820000000013</v>
      </c>
      <c r="CJ26">
        <v>64.531400000000005</v>
      </c>
      <c r="CK26">
        <v>72.597820000000013</v>
      </c>
      <c r="CL26">
        <v>64.531400000000005</v>
      </c>
      <c r="CM26">
        <v>64.531400000000005</v>
      </c>
      <c r="CN26">
        <v>64.531400000000005</v>
      </c>
      <c r="CO26">
        <v>64.531400000000005</v>
      </c>
      <c r="CP26">
        <v>64.531400000000005</v>
      </c>
      <c r="CQ26">
        <v>64.531400000000005</v>
      </c>
      <c r="CR26">
        <f t="shared" si="23"/>
        <v>2.4199272000000001</v>
      </c>
      <c r="CS26">
        <f t="shared" si="23"/>
        <v>2.1779346000000004</v>
      </c>
      <c r="CT26">
        <f t="shared" si="23"/>
        <v>1.9359420000000001</v>
      </c>
      <c r="CU26">
        <f t="shared" si="23"/>
        <v>2.1779346000000004</v>
      </c>
      <c r="CV26">
        <f t="shared" si="23"/>
        <v>1.9359420000000001</v>
      </c>
      <c r="CW26">
        <f t="shared" si="23"/>
        <v>1.9359420000000001</v>
      </c>
      <c r="CX26">
        <f t="shared" si="23"/>
        <v>1.9359420000000001</v>
      </c>
      <c r="CY26">
        <f t="shared" si="23"/>
        <v>1.9359420000000001</v>
      </c>
      <c r="CZ26">
        <f t="shared" si="23"/>
        <v>1.9359420000000001</v>
      </c>
      <c r="DA26">
        <f t="shared" si="23"/>
        <v>1.9359420000000001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2.7E-4</v>
      </c>
      <c r="DW26">
        <v>2.0000000000000001E-4</v>
      </c>
      <c r="DX26">
        <v>1.3000000000000002E-4</v>
      </c>
      <c r="DY26">
        <v>2.7E-4</v>
      </c>
      <c r="DZ26">
        <v>2.0000000000000001E-4</v>
      </c>
      <c r="EA26">
        <v>1.3000000000000002E-4</v>
      </c>
      <c r="EB26">
        <v>2.0000000000000001E-4</v>
      </c>
      <c r="EC26">
        <v>2.7E-4</v>
      </c>
      <c r="ED26">
        <v>2.0000000000000001E-4</v>
      </c>
      <c r="EE26">
        <v>1.3000000000000002E-4</v>
      </c>
      <c r="EF26" s="15">
        <v>0</v>
      </c>
      <c r="EG26" s="15">
        <v>0</v>
      </c>
      <c r="EH26" s="15">
        <v>0</v>
      </c>
      <c r="EI26">
        <v>0</v>
      </c>
      <c r="EJ26">
        <f t="shared" si="6"/>
        <v>0</v>
      </c>
      <c r="EK26">
        <v>0</v>
      </c>
      <c r="EL26">
        <f t="shared" si="7"/>
        <v>0</v>
      </c>
      <c r="EM26">
        <v>0</v>
      </c>
      <c r="EN26">
        <f t="shared" si="12"/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f t="shared" si="9"/>
        <v>0</v>
      </c>
      <c r="EU26">
        <v>0</v>
      </c>
      <c r="EV26">
        <f t="shared" si="10"/>
        <v>0</v>
      </c>
      <c r="EW26">
        <v>0</v>
      </c>
      <c r="EX26">
        <f t="shared" si="11"/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0.11682954493601999</v>
      </c>
      <c r="FK26">
        <v>0.11682954493601999</v>
      </c>
      <c r="FL26">
        <v>0.11682954493601999</v>
      </c>
      <c r="FM26">
        <v>0.11682954493601999</v>
      </c>
      <c r="FN26">
        <v>0.11682954493601999</v>
      </c>
      <c r="FO26">
        <v>0.11682954493601999</v>
      </c>
      <c r="FP26">
        <v>0.10185220882315059</v>
      </c>
      <c r="FQ26">
        <v>0.10185220882315059</v>
      </c>
      <c r="FR26">
        <v>0.10185220882315059</v>
      </c>
      <c r="FS26">
        <v>0.10185220882315059</v>
      </c>
    </row>
    <row r="27" spans="1:175" x14ac:dyDescent="0.3">
      <c r="A27" s="83"/>
      <c r="B27" s="3" t="s">
        <v>140</v>
      </c>
      <c r="C27" s="4" t="s">
        <v>13</v>
      </c>
      <c r="D27" s="2" t="s">
        <v>232</v>
      </c>
      <c r="E27" s="9">
        <f t="shared" si="5"/>
        <v>19</v>
      </c>
      <c r="F27" s="13">
        <v>1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1</v>
      </c>
      <c r="L27">
        <v>0</v>
      </c>
      <c r="M27">
        <v>1</v>
      </c>
      <c r="N27">
        <v>0</v>
      </c>
      <c r="O27">
        <v>20000</v>
      </c>
      <c r="P27">
        <f t="shared" ref="P27:Y31" si="24">(1/9)*0.8</f>
        <v>8.8888888888888892E-2</v>
      </c>
      <c r="Q27">
        <f t="shared" si="24"/>
        <v>8.8888888888888892E-2</v>
      </c>
      <c r="R27">
        <f t="shared" si="24"/>
        <v>8.8888888888888892E-2</v>
      </c>
      <c r="S27">
        <f t="shared" si="24"/>
        <v>8.8888888888888892E-2</v>
      </c>
      <c r="T27">
        <f t="shared" si="24"/>
        <v>8.8888888888888892E-2</v>
      </c>
      <c r="U27">
        <f t="shared" si="24"/>
        <v>8.8888888888888892E-2</v>
      </c>
      <c r="V27">
        <f t="shared" si="24"/>
        <v>8.8888888888888892E-2</v>
      </c>
      <c r="W27">
        <f t="shared" si="24"/>
        <v>8.8888888888888892E-2</v>
      </c>
      <c r="X27">
        <f t="shared" si="24"/>
        <v>8.8888888888888892E-2</v>
      </c>
      <c r="Y27">
        <f t="shared" si="24"/>
        <v>8.8888888888888892E-2</v>
      </c>
      <c r="Z27">
        <v>7.4620000000000006</v>
      </c>
      <c r="AA27">
        <v>7.07</v>
      </c>
      <c r="AB27">
        <v>6.7200000000000006</v>
      </c>
      <c r="AC27">
        <v>5.6759999999999993</v>
      </c>
      <c r="AD27">
        <v>5.6759999999999993</v>
      </c>
      <c r="AE27">
        <v>5.6759999999999993</v>
      </c>
      <c r="AF27">
        <v>4.6150000000000002</v>
      </c>
      <c r="AG27">
        <v>3.6</v>
      </c>
      <c r="AH27">
        <v>3.6</v>
      </c>
      <c r="AI27">
        <v>3.6</v>
      </c>
      <c r="AJ27">
        <v>7.4620000000000006</v>
      </c>
      <c r="AK27">
        <v>7.07</v>
      </c>
      <c r="AL27">
        <v>6.7200000000000006</v>
      </c>
      <c r="AM27">
        <v>5.6759999999999993</v>
      </c>
      <c r="AN27">
        <v>5.6759999999999993</v>
      </c>
      <c r="AO27">
        <v>5.6759999999999993</v>
      </c>
      <c r="AP27">
        <v>4.6150000000000002</v>
      </c>
      <c r="AQ27">
        <v>3.6</v>
      </c>
      <c r="AR27">
        <v>3.6</v>
      </c>
      <c r="AS27">
        <v>3.6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1</v>
      </c>
      <c r="BE27" s="14">
        <v>1</v>
      </c>
      <c r="BF27" s="14">
        <v>1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14">
        <v>1</v>
      </c>
      <c r="BO27" s="14">
        <v>1</v>
      </c>
      <c r="BP27" s="14">
        <v>1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1</v>
      </c>
      <c r="BX27">
        <v>53.3</v>
      </c>
      <c r="BY27">
        <v>51.5</v>
      </c>
      <c r="BZ27">
        <v>50</v>
      </c>
      <c r="CA27">
        <v>51.7</v>
      </c>
      <c r="CB27">
        <v>49.8</v>
      </c>
      <c r="CC27">
        <v>47.3</v>
      </c>
      <c r="CD27">
        <f>(CB27+CF27)/2</f>
        <v>49.4</v>
      </c>
      <c r="CE27">
        <v>49</v>
      </c>
      <c r="CF27">
        <v>49</v>
      </c>
      <c r="CG27">
        <v>45</v>
      </c>
      <c r="CH27">
        <v>58440.827173081707</v>
      </c>
      <c r="CI27">
        <v>55000</v>
      </c>
      <c r="CJ27">
        <v>52629.637979510735</v>
      </c>
      <c r="CK27">
        <v>39840</v>
      </c>
      <c r="CL27">
        <v>39840</v>
      </c>
      <c r="CM27">
        <v>39840</v>
      </c>
      <c r="CN27">
        <f>(CL27+CP27)/2</f>
        <v>32370</v>
      </c>
      <c r="CO27">
        <v>24900</v>
      </c>
      <c r="CP27">
        <v>24900</v>
      </c>
      <c r="CQ27">
        <v>24900</v>
      </c>
      <c r="CR27">
        <f t="shared" ref="CR27:CX27" si="25">10%*CH27</f>
        <v>5844.0827173081707</v>
      </c>
      <c r="CS27">
        <f t="shared" si="25"/>
        <v>5500</v>
      </c>
      <c r="CT27">
        <f t="shared" si="25"/>
        <v>5262.9637979510735</v>
      </c>
      <c r="CU27">
        <f t="shared" si="25"/>
        <v>3984</v>
      </c>
      <c r="CV27">
        <f t="shared" si="25"/>
        <v>3984</v>
      </c>
      <c r="CW27">
        <f t="shared" si="25"/>
        <v>3984</v>
      </c>
      <c r="CX27">
        <f t="shared" si="25"/>
        <v>3237</v>
      </c>
      <c r="CY27">
        <f t="shared" ref="CY27:DA27" si="26">10%*CO27</f>
        <v>2490</v>
      </c>
      <c r="CZ27">
        <f t="shared" si="26"/>
        <v>2490</v>
      </c>
      <c r="DA27">
        <f t="shared" si="26"/>
        <v>2490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121.81376196100278</v>
      </c>
      <c r="EG27">
        <v>115.4145399442897</v>
      </c>
      <c r="EH27">
        <v>109.70094885793873</v>
      </c>
      <c r="EI27">
        <v>0</v>
      </c>
      <c r="EJ27">
        <f t="shared" si="6"/>
        <v>115.4145399442897</v>
      </c>
      <c r="EK27">
        <v>0</v>
      </c>
      <c r="EL27">
        <f t="shared" si="7"/>
        <v>115.4145399442897</v>
      </c>
      <c r="EM27">
        <v>0</v>
      </c>
      <c r="EN27">
        <f t="shared" si="12"/>
        <v>115.4145399442897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9"/>
        <v>0</v>
      </c>
      <c r="EU27">
        <v>0</v>
      </c>
      <c r="EV27">
        <f t="shared" si="10"/>
        <v>0</v>
      </c>
      <c r="EW27">
        <v>0</v>
      </c>
      <c r="EX27">
        <f t="shared" si="11"/>
        <v>0</v>
      </c>
      <c r="EY27">
        <v>0</v>
      </c>
      <c r="EZ27">
        <v>22.409999999999997</v>
      </c>
      <c r="FA27">
        <v>22.409999999999997</v>
      </c>
      <c r="FB27">
        <v>22.409999999999997</v>
      </c>
      <c r="FC27">
        <v>22.409999999999997</v>
      </c>
      <c r="FD27">
        <v>22.409999999999997</v>
      </c>
      <c r="FE27">
        <v>22.409999999999997</v>
      </c>
      <c r="FF27">
        <v>22.409999999999997</v>
      </c>
      <c r="FG27">
        <v>22.409999999999997</v>
      </c>
      <c r="FH27">
        <v>22.409999999999997</v>
      </c>
      <c r="FI27">
        <v>22.409999999999997</v>
      </c>
      <c r="FJ27" s="51">
        <f>1/11.3</f>
        <v>8.8495575221238937E-2</v>
      </c>
      <c r="FK27" s="51">
        <f t="shared" ref="FK27:FS29" si="27">1/11.3</f>
        <v>8.8495575221238937E-2</v>
      </c>
      <c r="FL27" s="51">
        <f t="shared" si="27"/>
        <v>8.8495575221238937E-2</v>
      </c>
      <c r="FM27" s="51">
        <f t="shared" si="27"/>
        <v>8.8495575221238937E-2</v>
      </c>
      <c r="FN27" s="51">
        <f t="shared" si="27"/>
        <v>8.8495575221238937E-2</v>
      </c>
      <c r="FO27" s="51">
        <f t="shared" si="27"/>
        <v>8.8495575221238937E-2</v>
      </c>
      <c r="FP27" s="51">
        <f t="shared" si="27"/>
        <v>8.8495575221238937E-2</v>
      </c>
      <c r="FQ27" s="51">
        <f t="shared" si="27"/>
        <v>8.8495575221238937E-2</v>
      </c>
      <c r="FR27" s="51">
        <f t="shared" si="27"/>
        <v>8.8495575221238937E-2</v>
      </c>
      <c r="FS27" s="51">
        <f t="shared" si="27"/>
        <v>8.8495575221238937E-2</v>
      </c>
    </row>
    <row r="28" spans="1:175" x14ac:dyDescent="0.3">
      <c r="A28" s="83"/>
      <c r="B28" s="3" t="s">
        <v>140</v>
      </c>
      <c r="C28" s="4" t="s">
        <v>13</v>
      </c>
      <c r="D28" s="2" t="s">
        <v>242</v>
      </c>
      <c r="E28" s="9">
        <f t="shared" si="5"/>
        <v>20</v>
      </c>
      <c r="F28" s="13">
        <v>1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1</v>
      </c>
      <c r="L28">
        <v>0</v>
      </c>
      <c r="M28">
        <v>1</v>
      </c>
      <c r="N28">
        <v>0</v>
      </c>
      <c r="O28">
        <f>O27</f>
        <v>20000</v>
      </c>
      <c r="P28">
        <f t="shared" si="24"/>
        <v>8.8888888888888892E-2</v>
      </c>
      <c r="Q28">
        <f t="shared" si="24"/>
        <v>8.8888888888888892E-2</v>
      </c>
      <c r="R28">
        <f t="shared" si="24"/>
        <v>8.8888888888888892E-2</v>
      </c>
      <c r="S28">
        <f t="shared" si="24"/>
        <v>8.8888888888888892E-2</v>
      </c>
      <c r="T28">
        <f t="shared" si="24"/>
        <v>8.8888888888888892E-2</v>
      </c>
      <c r="U28">
        <f t="shared" si="24"/>
        <v>8.8888888888888892E-2</v>
      </c>
      <c r="V28">
        <f t="shared" si="24"/>
        <v>8.8888888888888892E-2</v>
      </c>
      <c r="W28">
        <f t="shared" si="24"/>
        <v>8.8888888888888892E-2</v>
      </c>
      <c r="X28">
        <f t="shared" si="24"/>
        <v>8.8888888888888892E-2</v>
      </c>
      <c r="Y28">
        <f t="shared" si="24"/>
        <v>8.8888888888888892E-2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 s="1">
        <v>34.200000000000003</v>
      </c>
      <c r="BY28" s="1">
        <v>34.200000000000003</v>
      </c>
      <c r="BZ28" s="1">
        <v>34.200000000000003</v>
      </c>
      <c r="CA28" s="1">
        <v>34.200000000000003</v>
      </c>
      <c r="CB28" s="1">
        <v>34.200000000000003</v>
      </c>
      <c r="CC28" s="1">
        <v>34.200000000000003</v>
      </c>
      <c r="CD28" s="1">
        <v>34.200000000000003</v>
      </c>
      <c r="CE28" s="1">
        <v>34.200000000000003</v>
      </c>
      <c r="CF28" s="1">
        <v>34.200000000000003</v>
      </c>
      <c r="CG28" s="1">
        <v>34.200000000000003</v>
      </c>
      <c r="CH28" s="1">
        <v>105260</v>
      </c>
      <c r="CI28" s="1">
        <v>105260</v>
      </c>
      <c r="CJ28" s="1">
        <v>105260</v>
      </c>
      <c r="CK28">
        <v>39583.978111776618</v>
      </c>
      <c r="CL28">
        <v>39583.978111776618</v>
      </c>
      <c r="CM28">
        <v>39583.978111776618</v>
      </c>
      <c r="CN28">
        <f>(CL28+CP28)/2</f>
        <v>27391.989055888309</v>
      </c>
      <c r="CO28">
        <v>15200</v>
      </c>
      <c r="CP28">
        <v>15200</v>
      </c>
      <c r="CQ28">
        <v>15200</v>
      </c>
      <c r="CR28" s="1">
        <f t="shared" ref="CR28:CX28" si="28">8.55%*CH28</f>
        <v>8999.7300000000014</v>
      </c>
      <c r="CS28" s="1">
        <f t="shared" si="28"/>
        <v>8999.7300000000014</v>
      </c>
      <c r="CT28" s="1">
        <f t="shared" si="28"/>
        <v>8999.7300000000014</v>
      </c>
      <c r="CU28" s="1">
        <f t="shared" si="28"/>
        <v>3384.4301285569013</v>
      </c>
      <c r="CV28" s="1">
        <f t="shared" si="28"/>
        <v>3384.4301285569013</v>
      </c>
      <c r="CW28" s="1">
        <f t="shared" si="28"/>
        <v>3384.4301285569013</v>
      </c>
      <c r="CX28" s="1">
        <f t="shared" si="28"/>
        <v>2342.0150642784506</v>
      </c>
      <c r="CY28" s="1">
        <f t="shared" ref="CY28:DA29" si="29">8.55%*CO28</f>
        <v>1299.6000000000001</v>
      </c>
      <c r="CZ28" s="1">
        <f t="shared" si="29"/>
        <v>1299.6000000000001</v>
      </c>
      <c r="DA28" s="1">
        <f t="shared" si="29"/>
        <v>1299.6000000000001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127.29937324137931</v>
      </c>
      <c r="EG28" s="16">
        <v>120.74318234482759</v>
      </c>
      <c r="EH28" s="16">
        <v>114.73334068965517</v>
      </c>
      <c r="EI28">
        <v>0</v>
      </c>
      <c r="EJ28">
        <f t="shared" si="6"/>
        <v>120.74318234482759</v>
      </c>
      <c r="EK28">
        <v>0</v>
      </c>
      <c r="EL28">
        <f t="shared" si="7"/>
        <v>120.74318234482759</v>
      </c>
      <c r="EM28">
        <v>0</v>
      </c>
      <c r="EN28">
        <f t="shared" si="12"/>
        <v>120.74318234482759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15.936</v>
      </c>
      <c r="FA28">
        <v>15.936</v>
      </c>
      <c r="FB28">
        <v>15.936</v>
      </c>
      <c r="FC28">
        <v>15.936</v>
      </c>
      <c r="FD28">
        <v>15.936</v>
      </c>
      <c r="FE28">
        <v>15.936</v>
      </c>
      <c r="FF28">
        <v>15.936</v>
      </c>
      <c r="FG28">
        <v>15.936</v>
      </c>
      <c r="FH28">
        <v>15.936</v>
      </c>
      <c r="FI28">
        <v>15.936</v>
      </c>
      <c r="FJ28" s="51">
        <f>1/11.3</f>
        <v>8.8495575221238937E-2</v>
      </c>
      <c r="FK28" s="51">
        <f t="shared" si="27"/>
        <v>8.8495575221238937E-2</v>
      </c>
      <c r="FL28" s="51">
        <f t="shared" si="27"/>
        <v>8.8495575221238937E-2</v>
      </c>
      <c r="FM28" s="51">
        <f t="shared" si="27"/>
        <v>8.8495575221238937E-2</v>
      </c>
      <c r="FN28" s="51">
        <f t="shared" si="27"/>
        <v>8.8495575221238937E-2</v>
      </c>
      <c r="FO28" s="51">
        <f t="shared" si="27"/>
        <v>8.8495575221238937E-2</v>
      </c>
      <c r="FP28" s="51">
        <f t="shared" si="27"/>
        <v>8.8495575221238937E-2</v>
      </c>
      <c r="FQ28" s="51">
        <f t="shared" si="27"/>
        <v>8.8495575221238937E-2</v>
      </c>
      <c r="FR28" s="51">
        <f t="shared" si="27"/>
        <v>8.8495575221238937E-2</v>
      </c>
      <c r="FS28" s="51">
        <f t="shared" si="27"/>
        <v>8.8495575221238937E-2</v>
      </c>
    </row>
    <row r="29" spans="1:175" x14ac:dyDescent="0.3">
      <c r="A29" s="83"/>
      <c r="B29" s="3" t="s">
        <v>140</v>
      </c>
      <c r="C29" s="4" t="s">
        <v>13</v>
      </c>
      <c r="D29" s="2" t="s">
        <v>241</v>
      </c>
      <c r="E29" s="9">
        <f t="shared" si="5"/>
        <v>21</v>
      </c>
      <c r="F29" s="13">
        <v>1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1</v>
      </c>
      <c r="L29">
        <v>0</v>
      </c>
      <c r="M29">
        <v>1</v>
      </c>
      <c r="N29">
        <v>0</v>
      </c>
      <c r="O29">
        <f>O28</f>
        <v>20000</v>
      </c>
      <c r="P29">
        <f t="shared" si="24"/>
        <v>8.8888888888888892E-2</v>
      </c>
      <c r="Q29">
        <f t="shared" si="24"/>
        <v>8.8888888888888892E-2</v>
      </c>
      <c r="R29">
        <f t="shared" si="24"/>
        <v>8.8888888888888892E-2</v>
      </c>
      <c r="S29">
        <f t="shared" si="24"/>
        <v>8.8888888888888892E-2</v>
      </c>
      <c r="T29">
        <f t="shared" si="24"/>
        <v>8.8888888888888892E-2</v>
      </c>
      <c r="U29">
        <f t="shared" si="24"/>
        <v>8.8888888888888892E-2</v>
      </c>
      <c r="V29">
        <f t="shared" si="24"/>
        <v>8.8888888888888892E-2</v>
      </c>
      <c r="W29">
        <f t="shared" si="24"/>
        <v>8.8888888888888892E-2</v>
      </c>
      <c r="X29">
        <f t="shared" si="24"/>
        <v>8.8888888888888892E-2</v>
      </c>
      <c r="Y29">
        <f t="shared" si="24"/>
        <v>8.8888888888888892E-2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">
        <v>44</v>
      </c>
      <c r="BY29" s="1">
        <v>44</v>
      </c>
      <c r="BZ29" s="1">
        <v>44</v>
      </c>
      <c r="CA29" s="24">
        <v>43.2</v>
      </c>
      <c r="CB29" s="24">
        <v>43.2</v>
      </c>
      <c r="CC29" s="24">
        <v>43.2</v>
      </c>
      <c r="CD29" s="1">
        <f>(CB29+CF29)/2</f>
        <v>41.6</v>
      </c>
      <c r="CE29">
        <v>40</v>
      </c>
      <c r="CF29">
        <v>40</v>
      </c>
      <c r="CG29">
        <v>40</v>
      </c>
      <c r="CH29" s="1">
        <v>105260</v>
      </c>
      <c r="CI29" s="1">
        <v>105260</v>
      </c>
      <c r="CJ29" s="1">
        <v>105260</v>
      </c>
      <c r="CK29">
        <v>39583.978111776618</v>
      </c>
      <c r="CL29">
        <v>39583.978111776618</v>
      </c>
      <c r="CM29">
        <v>39583.978111776618</v>
      </c>
      <c r="CN29">
        <f>(CL29+CP29)/2</f>
        <v>27391.989055888309</v>
      </c>
      <c r="CO29">
        <v>15200</v>
      </c>
      <c r="CP29">
        <v>15200</v>
      </c>
      <c r="CQ29">
        <v>15200</v>
      </c>
      <c r="CR29" s="1">
        <f>8.55%*CH29</f>
        <v>8999.7300000000014</v>
      </c>
      <c r="CS29" s="1">
        <f t="shared" ref="CS29:CT29" si="30">8.55%*CI29</f>
        <v>8999.7300000000014</v>
      </c>
      <c r="CT29" s="1">
        <f t="shared" si="30"/>
        <v>8999.7300000000014</v>
      </c>
      <c r="CU29" s="1">
        <f t="shared" ref="CU29:CW29" si="31">8.55%*CK29</f>
        <v>3384.4301285569013</v>
      </c>
      <c r="CV29" s="1">
        <f t="shared" si="31"/>
        <v>3384.4301285569013</v>
      </c>
      <c r="CW29" s="1">
        <f t="shared" si="31"/>
        <v>3384.4301285569013</v>
      </c>
      <c r="CX29" s="1">
        <f t="shared" ref="CX29" si="32">8.55%*CN29</f>
        <v>2342.0150642784506</v>
      </c>
      <c r="CY29" s="1">
        <f t="shared" si="29"/>
        <v>1299.6000000000001</v>
      </c>
      <c r="CZ29" s="1">
        <f t="shared" si="29"/>
        <v>1299.6000000000001</v>
      </c>
      <c r="DA29" s="1">
        <f t="shared" si="29"/>
        <v>1299.6000000000001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127.29937324137931</v>
      </c>
      <c r="EG29" s="16">
        <v>120.74318234482759</v>
      </c>
      <c r="EH29" s="16">
        <v>114.73334068965517</v>
      </c>
      <c r="EI29">
        <v>0</v>
      </c>
      <c r="EJ29">
        <f t="shared" si="6"/>
        <v>120.74318234482759</v>
      </c>
      <c r="EK29">
        <v>0</v>
      </c>
      <c r="EL29">
        <f t="shared" si="7"/>
        <v>120.74318234482759</v>
      </c>
      <c r="EM29">
        <v>0</v>
      </c>
      <c r="EN29">
        <f t="shared" si="12"/>
        <v>120.74318234482759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f t="shared" si="9"/>
        <v>0</v>
      </c>
      <c r="EU29">
        <v>0</v>
      </c>
      <c r="EV29">
        <f t="shared" si="10"/>
        <v>0</v>
      </c>
      <c r="EW29">
        <v>0</v>
      </c>
      <c r="EX29">
        <f t="shared" si="11"/>
        <v>0</v>
      </c>
      <c r="EY29">
        <v>0</v>
      </c>
      <c r="EZ29">
        <v>15.936</v>
      </c>
      <c r="FA29">
        <v>15.936</v>
      </c>
      <c r="FB29">
        <v>15.936</v>
      </c>
      <c r="FC29">
        <v>15.936</v>
      </c>
      <c r="FD29">
        <v>15.936</v>
      </c>
      <c r="FE29">
        <v>15.936</v>
      </c>
      <c r="FF29">
        <v>15.936</v>
      </c>
      <c r="FG29">
        <v>15.936</v>
      </c>
      <c r="FH29">
        <v>15.936</v>
      </c>
      <c r="FI29">
        <v>15.936</v>
      </c>
      <c r="FJ29" s="51">
        <f>1/11.3</f>
        <v>8.8495575221238937E-2</v>
      </c>
      <c r="FK29" s="51">
        <f t="shared" si="27"/>
        <v>8.8495575221238937E-2</v>
      </c>
      <c r="FL29" s="51">
        <f t="shared" si="27"/>
        <v>8.8495575221238937E-2</v>
      </c>
      <c r="FM29" s="51">
        <f t="shared" si="27"/>
        <v>8.8495575221238937E-2</v>
      </c>
      <c r="FN29" s="51">
        <f t="shared" si="27"/>
        <v>8.8495575221238937E-2</v>
      </c>
      <c r="FO29" s="51">
        <f t="shared" si="27"/>
        <v>8.8495575221238937E-2</v>
      </c>
      <c r="FP29" s="51">
        <f t="shared" si="27"/>
        <v>8.8495575221238937E-2</v>
      </c>
      <c r="FQ29" s="51">
        <f t="shared" si="27"/>
        <v>8.8495575221238937E-2</v>
      </c>
      <c r="FR29" s="51">
        <f t="shared" si="27"/>
        <v>8.8495575221238937E-2</v>
      </c>
      <c r="FS29" s="51">
        <f t="shared" si="27"/>
        <v>8.8495575221238937E-2</v>
      </c>
    </row>
    <row r="30" spans="1:175" x14ac:dyDescent="0.3">
      <c r="A30" s="83"/>
      <c r="B30" s="3" t="s">
        <v>140</v>
      </c>
      <c r="C30" s="4" t="s">
        <v>13</v>
      </c>
      <c r="D30" s="2" t="s">
        <v>243</v>
      </c>
      <c r="E30" s="9">
        <f t="shared" si="5"/>
        <v>22</v>
      </c>
      <c r="F30" s="13">
        <v>1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1</v>
      </c>
      <c r="L30">
        <v>0</v>
      </c>
      <c r="M30">
        <v>1</v>
      </c>
      <c r="N30">
        <v>0</v>
      </c>
      <c r="O30">
        <f>O28</f>
        <v>20000</v>
      </c>
      <c r="P30">
        <f t="shared" si="24"/>
        <v>8.8888888888888892E-2</v>
      </c>
      <c r="Q30">
        <f t="shared" si="24"/>
        <v>8.8888888888888892E-2</v>
      </c>
      <c r="R30">
        <f t="shared" si="24"/>
        <v>8.8888888888888892E-2</v>
      </c>
      <c r="S30">
        <f t="shared" si="24"/>
        <v>8.8888888888888892E-2</v>
      </c>
      <c r="T30">
        <f t="shared" si="24"/>
        <v>8.8888888888888892E-2</v>
      </c>
      <c r="U30">
        <f t="shared" si="24"/>
        <v>8.8888888888888892E-2</v>
      </c>
      <c r="V30">
        <f t="shared" si="24"/>
        <v>8.8888888888888892E-2</v>
      </c>
      <c r="W30">
        <f t="shared" si="24"/>
        <v>8.8888888888888892E-2</v>
      </c>
      <c r="X30">
        <f t="shared" si="24"/>
        <v>8.8888888888888892E-2</v>
      </c>
      <c r="Y30">
        <f t="shared" si="24"/>
        <v>8.8888888888888892E-2</v>
      </c>
      <c r="Z30">
        <f>Z27*0.75</f>
        <v>5.5965000000000007</v>
      </c>
      <c r="AA30">
        <f t="shared" ref="AA30:AI30" si="33">AA27*0.75</f>
        <v>5.3025000000000002</v>
      </c>
      <c r="AB30">
        <f t="shared" si="33"/>
        <v>5.0400000000000009</v>
      </c>
      <c r="AC30">
        <f t="shared" si="33"/>
        <v>4.2569999999999997</v>
      </c>
      <c r="AD30">
        <f t="shared" si="33"/>
        <v>4.2569999999999997</v>
      </c>
      <c r="AE30">
        <f t="shared" si="33"/>
        <v>4.2569999999999997</v>
      </c>
      <c r="AF30">
        <f t="shared" si="33"/>
        <v>3.4612500000000002</v>
      </c>
      <c r="AG30">
        <f t="shared" si="33"/>
        <v>2.7</v>
      </c>
      <c r="AH30">
        <f t="shared" si="33"/>
        <v>2.7</v>
      </c>
      <c r="AI30">
        <f t="shared" si="33"/>
        <v>2.7</v>
      </c>
      <c r="AJ30">
        <f>AJ27*0.75</f>
        <v>5.5965000000000007</v>
      </c>
      <c r="AK30">
        <f t="shared" ref="AK30:AS30" si="34">AK27*0.75</f>
        <v>5.3025000000000002</v>
      </c>
      <c r="AL30">
        <f t="shared" si="34"/>
        <v>5.0400000000000009</v>
      </c>
      <c r="AM30">
        <f t="shared" si="34"/>
        <v>4.2569999999999997</v>
      </c>
      <c r="AN30">
        <f t="shared" si="34"/>
        <v>4.2569999999999997</v>
      </c>
      <c r="AO30">
        <f t="shared" si="34"/>
        <v>4.2569999999999997</v>
      </c>
      <c r="AP30">
        <f t="shared" si="34"/>
        <v>3.4612500000000002</v>
      </c>
      <c r="AQ30">
        <f t="shared" si="34"/>
        <v>2.7</v>
      </c>
      <c r="AR30">
        <f t="shared" si="34"/>
        <v>2.7</v>
      </c>
      <c r="AS30">
        <f t="shared" si="34"/>
        <v>2.7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 s="1">
        <f>BX27*0.75+BX28*0.25</f>
        <v>48.524999999999991</v>
      </c>
      <c r="BY30" s="1">
        <f t="shared" ref="BY30:CG30" si="35">BY27*0.75+BY28*0.25</f>
        <v>47.174999999999997</v>
      </c>
      <c r="BZ30" s="1">
        <f t="shared" si="35"/>
        <v>46.05</v>
      </c>
      <c r="CA30" s="1">
        <f t="shared" si="35"/>
        <v>47.325000000000003</v>
      </c>
      <c r="CB30" s="1">
        <f t="shared" si="35"/>
        <v>45.899999999999991</v>
      </c>
      <c r="CC30" s="1">
        <f t="shared" si="35"/>
        <v>44.024999999999991</v>
      </c>
      <c r="CD30" s="1">
        <f t="shared" si="35"/>
        <v>45.599999999999994</v>
      </c>
      <c r="CE30" s="1">
        <f t="shared" si="35"/>
        <v>45.3</v>
      </c>
      <c r="CF30" s="1">
        <f t="shared" si="35"/>
        <v>45.3</v>
      </c>
      <c r="CG30" s="1">
        <f t="shared" si="35"/>
        <v>42.3</v>
      </c>
      <c r="CH30" s="1">
        <f>CH27*0.75+CH28*0.25</f>
        <v>70145.620379811284</v>
      </c>
      <c r="CI30" s="1">
        <f t="shared" ref="CI30:CK30" si="36">CI27*0.75+CI28*0.25</f>
        <v>67565</v>
      </c>
      <c r="CJ30" s="1">
        <f t="shared" si="36"/>
        <v>65787.228484633059</v>
      </c>
      <c r="CK30" s="1">
        <f t="shared" si="36"/>
        <v>39775.994527944153</v>
      </c>
      <c r="CL30" s="1">
        <f t="shared" ref="CL30:CM30" si="37">CL27*0.75+CL28*0.25</f>
        <v>39775.994527944153</v>
      </c>
      <c r="CM30" s="1">
        <f t="shared" si="37"/>
        <v>39775.994527944153</v>
      </c>
      <c r="CN30" s="1">
        <f t="shared" ref="CN30" si="38">CN27*0.75+CN28*0.25</f>
        <v>31125.497263972076</v>
      </c>
      <c r="CO30" s="1">
        <f t="shared" ref="CO30:CP30" si="39">CO27*0.75+CO28*0.25</f>
        <v>22475</v>
      </c>
      <c r="CP30" s="1">
        <f t="shared" si="39"/>
        <v>22475</v>
      </c>
      <c r="CQ30" s="1">
        <f t="shared" ref="CQ30" si="40">CQ27*0.75+CQ28*0.25</f>
        <v>22475</v>
      </c>
      <c r="CR30" s="1">
        <f>CR27*0.75+CR28*0.25</f>
        <v>6632.9945379811288</v>
      </c>
      <c r="CS30" s="1">
        <f t="shared" ref="CS30:CT30" si="41">CS27*0.75+CS28*0.25</f>
        <v>6374.9325000000008</v>
      </c>
      <c r="CT30" s="1">
        <f t="shared" si="41"/>
        <v>6197.1553484633059</v>
      </c>
      <c r="CU30" s="1">
        <f t="shared" ref="CU30:CV30" si="42">CU27*0.75+CU28*0.25</f>
        <v>3834.1075321392254</v>
      </c>
      <c r="CV30" s="1">
        <f t="shared" si="42"/>
        <v>3834.1075321392254</v>
      </c>
      <c r="CW30" s="1">
        <f t="shared" ref="CW30" si="43">CW27*0.75+CW28*0.25</f>
        <v>3834.1075321392254</v>
      </c>
      <c r="CX30" s="1">
        <f t="shared" ref="CX30" si="44">CX27*0.75+CX28*0.25</f>
        <v>3013.2537660696125</v>
      </c>
      <c r="CY30" s="1">
        <f t="shared" ref="CY30:CZ30" si="45">CY27*0.75+CY28*0.25</f>
        <v>2192.4</v>
      </c>
      <c r="CZ30" s="1">
        <f t="shared" si="45"/>
        <v>2192.4</v>
      </c>
      <c r="DA30" s="1">
        <f t="shared" ref="DA30" si="46">DA27*0.75+DA28*0.25</f>
        <v>2192.4</v>
      </c>
      <c r="DB30" s="1">
        <f t="shared" ref="DB30:DD30" si="47">DB27*0.75+DB28*0.25</f>
        <v>0</v>
      </c>
      <c r="DC30" s="1">
        <f t="shared" si="47"/>
        <v>0</v>
      </c>
      <c r="DD30" s="1">
        <f t="shared" si="47"/>
        <v>0</v>
      </c>
      <c r="DE30">
        <v>0</v>
      </c>
      <c r="DF30" s="1">
        <f t="shared" ref="DF30" si="48">DF27*0.75+DF28*0.25</f>
        <v>0</v>
      </c>
      <c r="DG30">
        <v>0</v>
      </c>
      <c r="DH30" s="1">
        <f t="shared" ref="DH30" si="49">DH27*0.75+DH28*0.25</f>
        <v>0</v>
      </c>
      <c r="DI30">
        <v>0</v>
      </c>
      <c r="DJ30" s="1">
        <f t="shared" ref="DJ30" si="50">DJ27*0.75+DJ28*0.25</f>
        <v>0</v>
      </c>
      <c r="DK30">
        <v>0</v>
      </c>
      <c r="DL30" s="1">
        <f t="shared" ref="DL30:DN30" si="51">DL27*0.75+DL28*0.25</f>
        <v>0</v>
      </c>
      <c r="DM30" s="1">
        <f t="shared" si="51"/>
        <v>0</v>
      </c>
      <c r="DN30" s="1">
        <f t="shared" si="51"/>
        <v>0</v>
      </c>
      <c r="DO30">
        <v>0</v>
      </c>
      <c r="DP30" s="1">
        <f t="shared" ref="DP30" si="52">DP27*0.75+DP28*0.25</f>
        <v>0</v>
      </c>
      <c r="DQ30">
        <v>0</v>
      </c>
      <c r="DR30" s="1">
        <f t="shared" ref="DR30" si="53">DR27*0.75+DR28*0.25</f>
        <v>0</v>
      </c>
      <c r="DS30">
        <v>0</v>
      </c>
      <c r="DT30" s="1">
        <f t="shared" ref="DT30" si="54">DT27*0.75+DT28*0.25</f>
        <v>0</v>
      </c>
      <c r="DU30">
        <v>0</v>
      </c>
      <c r="DV30" s="1">
        <f t="shared" ref="DV30:DX30" si="55">DV27*0.75+DV28*0.25</f>
        <v>0</v>
      </c>
      <c r="DW30" s="1">
        <f t="shared" si="55"/>
        <v>0</v>
      </c>
      <c r="DX30" s="1">
        <f t="shared" si="55"/>
        <v>0</v>
      </c>
      <c r="DY30">
        <v>0</v>
      </c>
      <c r="DZ30" s="1">
        <f t="shared" ref="DZ30" si="56">DZ27*0.75+DZ28*0.25</f>
        <v>0</v>
      </c>
      <c r="EA30">
        <v>0</v>
      </c>
      <c r="EB30" s="1">
        <f t="shared" ref="EB30" si="57">EB27*0.75+EB28*0.25</f>
        <v>0</v>
      </c>
      <c r="EC30">
        <v>0</v>
      </c>
      <c r="ED30" s="1">
        <f t="shared" ref="ED30" si="58">ED27*0.75+ED28*0.25</f>
        <v>0</v>
      </c>
      <c r="EE30">
        <v>0</v>
      </c>
      <c r="EF30" s="1">
        <f t="shared" ref="EF30:EH30" si="59">EF27*0.75+EF28*0.25</f>
        <v>123.18516478109692</v>
      </c>
      <c r="EG30" s="1">
        <f t="shared" si="59"/>
        <v>116.74670054442417</v>
      </c>
      <c r="EH30" s="1">
        <f t="shared" si="59"/>
        <v>110.95904681586784</v>
      </c>
      <c r="EI30">
        <v>0</v>
      </c>
      <c r="EJ30" s="1">
        <f t="shared" ref="EJ30" si="60">EJ27*0.75+EJ28*0.25</f>
        <v>116.74670054442417</v>
      </c>
      <c r="EK30">
        <v>0</v>
      </c>
      <c r="EL30" s="1">
        <f t="shared" ref="EL30" si="61">EL27*0.75+EL28*0.25</f>
        <v>116.74670054442417</v>
      </c>
      <c r="EM30">
        <v>0</v>
      </c>
      <c r="EN30" s="1">
        <f t="shared" ref="EN30" si="62">EN27*0.75+EN28*0.25</f>
        <v>116.74670054442417</v>
      </c>
      <c r="EO30">
        <v>0</v>
      </c>
      <c r="EP30" s="1">
        <f t="shared" ref="EP30:ER30" si="63">EP27*0.75+EP28*0.25</f>
        <v>0</v>
      </c>
      <c r="EQ30" s="1">
        <f t="shared" si="63"/>
        <v>0</v>
      </c>
      <c r="ER30" s="1">
        <f t="shared" si="63"/>
        <v>0</v>
      </c>
      <c r="ES30">
        <v>0</v>
      </c>
      <c r="ET30" s="1">
        <f t="shared" ref="ET30" si="64">ET27*0.75+ET28*0.25</f>
        <v>0</v>
      </c>
      <c r="EU30">
        <v>0</v>
      </c>
      <c r="EV30" s="1">
        <f t="shared" ref="EV30" si="65">EV27*0.75+EV28*0.25</f>
        <v>0</v>
      </c>
      <c r="EW30">
        <v>0</v>
      </c>
      <c r="EX30" s="1">
        <f t="shared" ref="EX30" si="66">EX27*0.75+EX28*0.25</f>
        <v>0</v>
      </c>
      <c r="EY30">
        <v>0</v>
      </c>
      <c r="EZ30" s="1">
        <f t="shared" ref="EZ30:FM30" si="67">EZ27*0.75+EZ28*0.25</f>
        <v>20.791499999999999</v>
      </c>
      <c r="FA30" s="1">
        <f t="shared" si="67"/>
        <v>20.791499999999999</v>
      </c>
      <c r="FB30" s="1">
        <f t="shared" si="67"/>
        <v>20.791499999999999</v>
      </c>
      <c r="FC30" s="1">
        <f t="shared" si="67"/>
        <v>20.791499999999999</v>
      </c>
      <c r="FD30" s="1">
        <f t="shared" si="67"/>
        <v>20.791499999999999</v>
      </c>
      <c r="FE30" s="1">
        <f t="shared" si="67"/>
        <v>20.791499999999999</v>
      </c>
      <c r="FF30" s="1">
        <f t="shared" si="67"/>
        <v>20.791499999999999</v>
      </c>
      <c r="FG30" s="1">
        <f t="shared" si="67"/>
        <v>20.791499999999999</v>
      </c>
      <c r="FH30" s="1">
        <f t="shared" si="67"/>
        <v>20.791499999999999</v>
      </c>
      <c r="FI30" s="1">
        <f t="shared" si="67"/>
        <v>20.791499999999999</v>
      </c>
      <c r="FJ30" s="1">
        <f t="shared" si="67"/>
        <v>8.8495575221238937E-2</v>
      </c>
      <c r="FK30" s="1">
        <f t="shared" si="67"/>
        <v>8.8495575221238937E-2</v>
      </c>
      <c r="FL30" s="1">
        <f t="shared" si="67"/>
        <v>8.8495575221238937E-2</v>
      </c>
      <c r="FM30" s="1">
        <f t="shared" si="67"/>
        <v>8.8495575221238937E-2</v>
      </c>
      <c r="FN30" s="1">
        <f t="shared" ref="FN30:FO30" si="68">FN27*0.75+FN28*0.25</f>
        <v>8.8495575221238937E-2</v>
      </c>
      <c r="FO30" s="1">
        <f t="shared" si="68"/>
        <v>8.8495575221238937E-2</v>
      </c>
      <c r="FP30" s="1">
        <f t="shared" ref="FP30:FQ30" si="69">FP27*0.75+FP28*0.25</f>
        <v>8.8495575221238937E-2</v>
      </c>
      <c r="FQ30" s="1">
        <f t="shared" si="69"/>
        <v>8.8495575221238937E-2</v>
      </c>
      <c r="FR30" s="1">
        <f t="shared" ref="FR30:FS30" si="70">FR27*0.75+FR28*0.25</f>
        <v>8.8495575221238937E-2</v>
      </c>
      <c r="FS30" s="1">
        <f t="shared" si="70"/>
        <v>8.8495575221238937E-2</v>
      </c>
    </row>
    <row r="31" spans="1:175" x14ac:dyDescent="0.3">
      <c r="A31" s="83"/>
      <c r="B31" s="3" t="s">
        <v>140</v>
      </c>
      <c r="C31" s="4" t="s">
        <v>13</v>
      </c>
      <c r="D31" s="2" t="s">
        <v>244</v>
      </c>
      <c r="E31" s="9">
        <f t="shared" si="5"/>
        <v>23</v>
      </c>
      <c r="F31" s="13">
        <v>1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1</v>
      </c>
      <c r="L31">
        <v>0</v>
      </c>
      <c r="M31">
        <v>1</v>
      </c>
      <c r="N31">
        <v>0</v>
      </c>
      <c r="O31">
        <f>O29</f>
        <v>20000</v>
      </c>
      <c r="P31">
        <f t="shared" si="24"/>
        <v>8.8888888888888892E-2</v>
      </c>
      <c r="Q31">
        <f t="shared" si="24"/>
        <v>8.8888888888888892E-2</v>
      </c>
      <c r="R31">
        <f t="shared" si="24"/>
        <v>8.8888888888888892E-2</v>
      </c>
      <c r="S31">
        <f t="shared" si="24"/>
        <v>8.8888888888888892E-2</v>
      </c>
      <c r="T31">
        <f t="shared" si="24"/>
        <v>8.8888888888888892E-2</v>
      </c>
      <c r="U31">
        <f t="shared" si="24"/>
        <v>8.8888888888888892E-2</v>
      </c>
      <c r="V31">
        <f t="shared" si="24"/>
        <v>8.8888888888888892E-2</v>
      </c>
      <c r="W31">
        <f t="shared" si="24"/>
        <v>8.8888888888888892E-2</v>
      </c>
      <c r="X31">
        <f t="shared" si="24"/>
        <v>8.8888888888888892E-2</v>
      </c>
      <c r="Y31">
        <f t="shared" si="24"/>
        <v>8.8888888888888892E-2</v>
      </c>
      <c r="Z31">
        <f>Z27*0.75</f>
        <v>5.5965000000000007</v>
      </c>
      <c r="AA31">
        <f t="shared" ref="AA31:AF31" si="71">AA27*0.75</f>
        <v>5.3025000000000002</v>
      </c>
      <c r="AB31">
        <f t="shared" si="71"/>
        <v>5.0400000000000009</v>
      </c>
      <c r="AC31">
        <f t="shared" si="71"/>
        <v>4.2569999999999997</v>
      </c>
      <c r="AD31">
        <f t="shared" si="71"/>
        <v>4.2569999999999997</v>
      </c>
      <c r="AE31">
        <f t="shared" si="71"/>
        <v>4.2569999999999997</v>
      </c>
      <c r="AF31">
        <f t="shared" si="71"/>
        <v>3.4612500000000002</v>
      </c>
      <c r="AG31">
        <f>AG27*0.75</f>
        <v>2.7</v>
      </c>
      <c r="AH31">
        <f>AH27*0.75</f>
        <v>2.7</v>
      </c>
      <c r="AI31">
        <f>AI27*0.75</f>
        <v>2.7</v>
      </c>
      <c r="AJ31">
        <f>AJ27*0.75</f>
        <v>5.5965000000000007</v>
      </c>
      <c r="AK31">
        <f t="shared" ref="AK31:AP31" si="72">AK27*0.75</f>
        <v>5.3025000000000002</v>
      </c>
      <c r="AL31">
        <f t="shared" si="72"/>
        <v>5.0400000000000009</v>
      </c>
      <c r="AM31">
        <f t="shared" si="72"/>
        <v>4.2569999999999997</v>
      </c>
      <c r="AN31">
        <f t="shared" si="72"/>
        <v>4.2569999999999997</v>
      </c>
      <c r="AO31">
        <f t="shared" si="72"/>
        <v>4.2569999999999997</v>
      </c>
      <c r="AP31">
        <f t="shared" si="72"/>
        <v>3.4612500000000002</v>
      </c>
      <c r="AQ31">
        <f>AQ27*0.75</f>
        <v>2.7</v>
      </c>
      <c r="AR31">
        <f>AR27*0.75</f>
        <v>2.7</v>
      </c>
      <c r="AS31">
        <f>AS27*0.75</f>
        <v>2.7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 s="1">
        <f>BX27*0.75+0.25*BX29</f>
        <v>50.974999999999994</v>
      </c>
      <c r="BY31" s="1">
        <f t="shared" ref="BY31:CG31" si="73">BY27*0.75+0.25*BY29</f>
        <v>49.625</v>
      </c>
      <c r="BZ31" s="1">
        <f t="shared" si="73"/>
        <v>48.5</v>
      </c>
      <c r="CA31" s="1">
        <f t="shared" si="73"/>
        <v>49.575000000000003</v>
      </c>
      <c r="CB31" s="1">
        <f t="shared" si="73"/>
        <v>48.149999999999991</v>
      </c>
      <c r="CC31" s="1">
        <f t="shared" si="73"/>
        <v>46.274999999999991</v>
      </c>
      <c r="CD31" s="1">
        <f t="shared" si="73"/>
        <v>47.449999999999996</v>
      </c>
      <c r="CE31" s="1">
        <f t="shared" si="73"/>
        <v>46.75</v>
      </c>
      <c r="CF31" s="1">
        <f t="shared" si="73"/>
        <v>46.75</v>
      </c>
      <c r="CG31" s="1">
        <f t="shared" si="73"/>
        <v>43.75</v>
      </c>
      <c r="CH31" s="1">
        <f>CH27*0.75+CH29*0.25</f>
        <v>70145.620379811284</v>
      </c>
      <c r="CI31" s="1">
        <f t="shared" ref="CI31:CP31" si="74">CI27*0.75+CI29*0.25</f>
        <v>67565</v>
      </c>
      <c r="CJ31" s="1">
        <f t="shared" si="74"/>
        <v>65787.228484633059</v>
      </c>
      <c r="CK31" s="1">
        <f t="shared" ref="CK31" si="75">CK27*0.75+CK29*0.25</f>
        <v>39775.994527944153</v>
      </c>
      <c r="CL31" s="1">
        <f t="shared" si="74"/>
        <v>39775.994527944153</v>
      </c>
      <c r="CM31" s="1">
        <f t="shared" ref="CM31" si="76">CM27*0.75+CM29*0.25</f>
        <v>39775.994527944153</v>
      </c>
      <c r="CN31" s="1">
        <f t="shared" si="74"/>
        <v>31125.497263972076</v>
      </c>
      <c r="CO31" s="1">
        <f t="shared" ref="CO31" si="77">CO27*0.75+CO29*0.25</f>
        <v>22475</v>
      </c>
      <c r="CP31" s="1">
        <f t="shared" si="74"/>
        <v>22475</v>
      </c>
      <c r="CQ31" s="1">
        <f t="shared" ref="CQ31" si="78">CQ27*0.75+CQ29*0.25</f>
        <v>22475</v>
      </c>
      <c r="CR31" s="1">
        <f>CR27*0.75+CR29*0.25</f>
        <v>6632.9945379811288</v>
      </c>
      <c r="CS31" s="1">
        <f t="shared" ref="CS31:FP31" si="79">CS27*0.75+CS29*0.25</f>
        <v>6374.9325000000008</v>
      </c>
      <c r="CT31" s="1">
        <f t="shared" si="79"/>
        <v>6197.1553484633059</v>
      </c>
      <c r="CU31" s="1">
        <f t="shared" ref="CU31" si="80">CU27*0.75+CU29*0.25</f>
        <v>3834.1075321392254</v>
      </c>
      <c r="CV31" s="1">
        <f t="shared" si="79"/>
        <v>3834.1075321392254</v>
      </c>
      <c r="CW31" s="1">
        <f t="shared" ref="CW31" si="81">CW27*0.75+CW29*0.25</f>
        <v>3834.1075321392254</v>
      </c>
      <c r="CX31" s="1">
        <f t="shared" si="79"/>
        <v>3013.2537660696125</v>
      </c>
      <c r="CY31" s="1">
        <f t="shared" ref="CY31" si="82">CY27*0.75+CY29*0.25</f>
        <v>2192.4</v>
      </c>
      <c r="CZ31" s="1">
        <f t="shared" si="79"/>
        <v>2192.4</v>
      </c>
      <c r="DA31" s="1">
        <f t="shared" ref="DA31" si="83">DA27*0.75+DA29*0.25</f>
        <v>2192.4</v>
      </c>
      <c r="DB31" s="1">
        <f t="shared" si="79"/>
        <v>0</v>
      </c>
      <c r="DC31" s="1">
        <f t="shared" si="79"/>
        <v>0</v>
      </c>
      <c r="DD31" s="1">
        <f t="shared" si="79"/>
        <v>0</v>
      </c>
      <c r="DE31">
        <v>0</v>
      </c>
      <c r="DF31" s="1">
        <f t="shared" si="79"/>
        <v>0</v>
      </c>
      <c r="DG31">
        <v>0</v>
      </c>
      <c r="DH31" s="1">
        <f t="shared" si="79"/>
        <v>0</v>
      </c>
      <c r="DI31">
        <v>0</v>
      </c>
      <c r="DJ31" s="1">
        <f t="shared" si="79"/>
        <v>0</v>
      </c>
      <c r="DK31">
        <v>0</v>
      </c>
      <c r="DL31" s="1">
        <f t="shared" si="79"/>
        <v>0</v>
      </c>
      <c r="DM31" s="1">
        <f t="shared" si="79"/>
        <v>0</v>
      </c>
      <c r="DN31" s="1">
        <f t="shared" si="79"/>
        <v>0</v>
      </c>
      <c r="DO31">
        <v>0</v>
      </c>
      <c r="DP31" s="1">
        <f t="shared" si="79"/>
        <v>0</v>
      </c>
      <c r="DQ31">
        <v>0</v>
      </c>
      <c r="DR31" s="1">
        <f t="shared" si="79"/>
        <v>0</v>
      </c>
      <c r="DS31">
        <v>0</v>
      </c>
      <c r="DT31" s="1">
        <f t="shared" si="79"/>
        <v>0</v>
      </c>
      <c r="DU31">
        <v>0</v>
      </c>
      <c r="DV31" s="1">
        <f t="shared" si="79"/>
        <v>0</v>
      </c>
      <c r="DW31" s="1">
        <f t="shared" si="79"/>
        <v>0</v>
      </c>
      <c r="DX31" s="1">
        <f t="shared" si="79"/>
        <v>0</v>
      </c>
      <c r="DY31">
        <v>0</v>
      </c>
      <c r="DZ31" s="1">
        <f t="shared" si="79"/>
        <v>0</v>
      </c>
      <c r="EA31">
        <v>0</v>
      </c>
      <c r="EB31" s="1">
        <f t="shared" si="79"/>
        <v>0</v>
      </c>
      <c r="EC31">
        <v>0</v>
      </c>
      <c r="ED31" s="1">
        <f t="shared" si="79"/>
        <v>0</v>
      </c>
      <c r="EE31">
        <v>0</v>
      </c>
      <c r="EF31" s="1">
        <f t="shared" si="79"/>
        <v>123.18516478109692</v>
      </c>
      <c r="EG31" s="1">
        <f t="shared" si="79"/>
        <v>116.74670054442417</v>
      </c>
      <c r="EH31" s="1">
        <f t="shared" si="79"/>
        <v>110.95904681586784</v>
      </c>
      <c r="EI31">
        <v>0</v>
      </c>
      <c r="EJ31" s="1">
        <f t="shared" si="79"/>
        <v>116.74670054442417</v>
      </c>
      <c r="EK31">
        <v>0</v>
      </c>
      <c r="EL31" s="1">
        <f t="shared" si="79"/>
        <v>116.74670054442417</v>
      </c>
      <c r="EM31">
        <v>0</v>
      </c>
      <c r="EN31" s="1">
        <f t="shared" si="79"/>
        <v>116.74670054442417</v>
      </c>
      <c r="EO31">
        <v>0</v>
      </c>
      <c r="EP31" s="1">
        <f t="shared" si="79"/>
        <v>0</v>
      </c>
      <c r="EQ31" s="1">
        <f t="shared" si="79"/>
        <v>0</v>
      </c>
      <c r="ER31" s="1">
        <f t="shared" si="79"/>
        <v>0</v>
      </c>
      <c r="ES31">
        <v>0</v>
      </c>
      <c r="ET31" s="1">
        <f t="shared" si="79"/>
        <v>0</v>
      </c>
      <c r="EU31">
        <v>0</v>
      </c>
      <c r="EV31" s="1">
        <f t="shared" si="79"/>
        <v>0</v>
      </c>
      <c r="EW31">
        <v>0</v>
      </c>
      <c r="EX31" s="1">
        <f t="shared" si="79"/>
        <v>0</v>
      </c>
      <c r="EY31">
        <v>0</v>
      </c>
      <c r="EZ31" s="1">
        <f t="shared" si="79"/>
        <v>20.791499999999999</v>
      </c>
      <c r="FA31" s="1">
        <f t="shared" si="79"/>
        <v>20.791499999999999</v>
      </c>
      <c r="FB31" s="1">
        <f t="shared" si="79"/>
        <v>20.791499999999999</v>
      </c>
      <c r="FC31" s="1">
        <f t="shared" si="79"/>
        <v>20.791499999999999</v>
      </c>
      <c r="FD31" s="1">
        <f t="shared" si="79"/>
        <v>20.791499999999999</v>
      </c>
      <c r="FE31" s="1">
        <f t="shared" si="79"/>
        <v>20.791499999999999</v>
      </c>
      <c r="FF31" s="1">
        <f t="shared" si="79"/>
        <v>20.791499999999999</v>
      </c>
      <c r="FG31" s="1">
        <f t="shared" si="79"/>
        <v>20.791499999999999</v>
      </c>
      <c r="FH31" s="1">
        <f t="shared" si="79"/>
        <v>20.791499999999999</v>
      </c>
      <c r="FI31" s="1">
        <f t="shared" si="79"/>
        <v>20.791499999999999</v>
      </c>
      <c r="FJ31" s="1">
        <f t="shared" si="79"/>
        <v>8.8495575221238937E-2</v>
      </c>
      <c r="FK31" s="1">
        <f t="shared" si="79"/>
        <v>8.8495575221238937E-2</v>
      </c>
      <c r="FL31" s="1">
        <f t="shared" si="79"/>
        <v>8.8495575221238937E-2</v>
      </c>
      <c r="FM31" s="1">
        <f t="shared" ref="FM31" si="84">FM27*0.75+FM29*0.25</f>
        <v>8.8495575221238937E-2</v>
      </c>
      <c r="FN31" s="1">
        <f t="shared" si="79"/>
        <v>8.8495575221238937E-2</v>
      </c>
      <c r="FO31" s="1">
        <f t="shared" ref="FO31" si="85">FO27*0.75+FO29*0.25</f>
        <v>8.8495575221238937E-2</v>
      </c>
      <c r="FP31" s="1">
        <f t="shared" si="79"/>
        <v>8.8495575221238937E-2</v>
      </c>
      <c r="FQ31" s="1">
        <f t="shared" ref="FQ31" si="86">FQ27*0.75+FQ29*0.25</f>
        <v>8.8495575221238937E-2</v>
      </c>
      <c r="FR31" s="1">
        <f t="shared" ref="FR31:FS31" si="87">FR27*0.75+FR29*0.25</f>
        <v>8.8495575221238937E-2</v>
      </c>
      <c r="FS31" s="1">
        <f t="shared" si="87"/>
        <v>8.8495575221238937E-2</v>
      </c>
    </row>
    <row r="32" spans="1:175" x14ac:dyDescent="0.3">
      <c r="A32" s="83"/>
      <c r="B32" s="25" t="s">
        <v>136</v>
      </c>
      <c r="C32" s="11" t="s">
        <v>276</v>
      </c>
      <c r="D32" s="2" t="s">
        <v>534</v>
      </c>
      <c r="E32" s="9">
        <f t="shared" si="5"/>
        <v>24</v>
      </c>
      <c r="F32" s="13">
        <v>1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-1</v>
      </c>
      <c r="N32">
        <v>0</v>
      </c>
      <c r="O32">
        <f>O27</f>
        <v>20000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f t="shared" ref="EJ32:EJ33" si="88">$EG32*B$3</f>
        <v>0</v>
      </c>
      <c r="EK32">
        <v>0</v>
      </c>
      <c r="EL32">
        <f t="shared" ref="EL32:EL33" si="89">$EG32*C$3</f>
        <v>0</v>
      </c>
      <c r="EM32">
        <v>0</v>
      </c>
      <c r="EN32">
        <f t="shared" ref="EN32:EN33" si="90">$EG32*D$3</f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f t="shared" ref="ET32:ET33" si="91">$EQ32*B$3</f>
        <v>0</v>
      </c>
      <c r="EU32">
        <v>0</v>
      </c>
      <c r="EV32">
        <f t="shared" ref="EV32:EV33" si="92">$EQ32*C$3</f>
        <v>0</v>
      </c>
      <c r="EW32">
        <v>0</v>
      </c>
      <c r="EX32">
        <f t="shared" ref="EX32:EX33" si="93">$EQ32*D$3</f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83"/>
      <c r="B33" s="25" t="s">
        <v>139</v>
      </c>
      <c r="C33" s="11" t="s">
        <v>276</v>
      </c>
      <c r="D33" s="2" t="s">
        <v>409</v>
      </c>
      <c r="E33" s="9">
        <f t="shared" si="5"/>
        <v>25</v>
      </c>
      <c r="F33" s="13">
        <v>1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-1</v>
      </c>
      <c r="N33">
        <v>0</v>
      </c>
      <c r="O33" t="e">
        <f>#REF!</f>
        <v>#REF!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f t="shared" si="88"/>
        <v>0</v>
      </c>
      <c r="EK33">
        <v>0</v>
      </c>
      <c r="EL33">
        <f t="shared" si="89"/>
        <v>0</v>
      </c>
      <c r="EM33">
        <v>0</v>
      </c>
      <c r="EN33">
        <f t="shared" si="90"/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f t="shared" si="91"/>
        <v>0</v>
      </c>
      <c r="EU33">
        <v>0</v>
      </c>
      <c r="EV33">
        <f t="shared" si="92"/>
        <v>0</v>
      </c>
      <c r="EW33">
        <v>0</v>
      </c>
      <c r="EX33">
        <f t="shared" si="93"/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83"/>
      <c r="B34" s="25" t="s">
        <v>416</v>
      </c>
      <c r="C34" s="11" t="s">
        <v>276</v>
      </c>
      <c r="D34" s="2" t="s">
        <v>252</v>
      </c>
      <c r="E34" s="9">
        <f t="shared" si="5"/>
        <v>26</v>
      </c>
      <c r="F34" s="13">
        <v>1</v>
      </c>
      <c r="G34" s="13" t="s">
        <v>253</v>
      </c>
      <c r="H34" s="57">
        <v>0</v>
      </c>
      <c r="I34" t="s">
        <v>12</v>
      </c>
      <c r="J34">
        <v>0</v>
      </c>
      <c r="K34">
        <v>0</v>
      </c>
      <c r="L34">
        <v>0</v>
      </c>
      <c r="M34">
        <v>-1</v>
      </c>
      <c r="N34">
        <v>0</v>
      </c>
      <c r="O34">
        <f>O28</f>
        <v>20000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60">
        <v>0</v>
      </c>
      <c r="AU34" s="60">
        <v>0</v>
      </c>
      <c r="AV34" s="60">
        <v>0</v>
      </c>
      <c r="AW34" s="60">
        <v>0</v>
      </c>
      <c r="AX34" s="60">
        <v>0</v>
      </c>
      <c r="AY34" s="60">
        <v>0</v>
      </c>
      <c r="AZ34" s="60">
        <v>0</v>
      </c>
      <c r="BA34" s="60">
        <v>0</v>
      </c>
      <c r="BB34" s="60">
        <v>0</v>
      </c>
      <c r="BC34" s="60">
        <v>0</v>
      </c>
      <c r="BD34" s="60">
        <v>1</v>
      </c>
      <c r="BE34" s="60">
        <v>1</v>
      </c>
      <c r="BF34" s="60">
        <v>1</v>
      </c>
      <c r="BG34" s="60">
        <v>1</v>
      </c>
      <c r="BH34" s="60">
        <v>1</v>
      </c>
      <c r="BI34" s="60">
        <v>1</v>
      </c>
      <c r="BJ34" s="60">
        <v>1</v>
      </c>
      <c r="BK34" s="60">
        <v>1</v>
      </c>
      <c r="BL34" s="60">
        <v>1</v>
      </c>
      <c r="BM34" s="60">
        <v>1</v>
      </c>
      <c r="BN34" s="60">
        <v>1</v>
      </c>
      <c r="BO34" s="60">
        <v>1</v>
      </c>
      <c r="BP34" s="60">
        <v>1</v>
      </c>
      <c r="BQ34" s="60">
        <v>1</v>
      </c>
      <c r="BR34" s="60">
        <v>1</v>
      </c>
      <c r="BS34" s="60">
        <v>1</v>
      </c>
      <c r="BT34" s="60">
        <v>1</v>
      </c>
      <c r="BU34" s="60">
        <v>1</v>
      </c>
      <c r="BV34" s="60">
        <v>1</v>
      </c>
      <c r="BW34" s="60">
        <v>1</v>
      </c>
      <c r="BX34" s="57">
        <v>0</v>
      </c>
      <c r="BY34" s="57">
        <v>0</v>
      </c>
      <c r="BZ34" s="57">
        <v>0</v>
      </c>
      <c r="CA34" s="57">
        <v>0</v>
      </c>
      <c r="CB34" s="57">
        <v>0</v>
      </c>
      <c r="CC34" s="57">
        <v>0</v>
      </c>
      <c r="CD34" s="57">
        <v>0</v>
      </c>
      <c r="CE34" s="57">
        <v>0</v>
      </c>
      <c r="CF34" s="57">
        <v>0</v>
      </c>
      <c r="CG34" s="57">
        <v>0</v>
      </c>
      <c r="CH34" s="57">
        <v>0</v>
      </c>
      <c r="CI34" s="57">
        <v>0</v>
      </c>
      <c r="CJ34" s="57">
        <v>0</v>
      </c>
      <c r="CK34">
        <v>0</v>
      </c>
      <c r="CL34" s="57">
        <v>0</v>
      </c>
      <c r="CM34">
        <v>0</v>
      </c>
      <c r="CN34" s="57">
        <v>0</v>
      </c>
      <c r="CO34">
        <v>0</v>
      </c>
      <c r="CP34" s="57">
        <v>0</v>
      </c>
      <c r="CQ34">
        <v>0</v>
      </c>
      <c r="CR34" s="57">
        <v>0</v>
      </c>
      <c r="CS34" s="57">
        <v>0</v>
      </c>
      <c r="CT34" s="57">
        <v>0</v>
      </c>
      <c r="CU34">
        <v>0</v>
      </c>
      <c r="CV34" s="57">
        <v>0</v>
      </c>
      <c r="CW34">
        <v>0</v>
      </c>
      <c r="CX34" s="57">
        <v>0</v>
      </c>
      <c r="CY34">
        <v>0</v>
      </c>
      <c r="CZ34" s="57">
        <v>0</v>
      </c>
      <c r="DA34">
        <v>0</v>
      </c>
      <c r="DB34" s="57">
        <v>0</v>
      </c>
      <c r="DC34" s="57">
        <v>0</v>
      </c>
      <c r="DD34" s="57">
        <v>0</v>
      </c>
      <c r="DE34">
        <v>0</v>
      </c>
      <c r="DF34" s="57">
        <v>0</v>
      </c>
      <c r="DG34">
        <v>0</v>
      </c>
      <c r="DH34" s="57">
        <v>0</v>
      </c>
      <c r="DI34">
        <v>0</v>
      </c>
      <c r="DJ34" s="57">
        <v>0</v>
      </c>
      <c r="DK34">
        <v>0</v>
      </c>
      <c r="DL34" s="57">
        <v>0</v>
      </c>
      <c r="DM34" s="57">
        <v>0</v>
      </c>
      <c r="DN34" s="57">
        <v>0</v>
      </c>
      <c r="DO34">
        <v>0</v>
      </c>
      <c r="DP34" s="57">
        <v>0</v>
      </c>
      <c r="DQ34">
        <v>0</v>
      </c>
      <c r="DR34" s="57">
        <v>0</v>
      </c>
      <c r="DS34">
        <v>0</v>
      </c>
      <c r="DT34" s="57">
        <v>0</v>
      </c>
      <c r="DU34">
        <v>0</v>
      </c>
      <c r="DV34" s="57">
        <v>0</v>
      </c>
      <c r="DW34" s="57">
        <v>0</v>
      </c>
      <c r="DX34" s="57">
        <v>0</v>
      </c>
      <c r="DY34">
        <v>0</v>
      </c>
      <c r="DZ34" s="57">
        <v>0</v>
      </c>
      <c r="EA34">
        <v>0</v>
      </c>
      <c r="EB34" s="57">
        <v>0</v>
      </c>
      <c r="EC34">
        <v>0</v>
      </c>
      <c r="ED34" s="57">
        <v>0</v>
      </c>
      <c r="EE34">
        <v>0</v>
      </c>
      <c r="EF34" s="57">
        <v>0</v>
      </c>
      <c r="EG34" s="57">
        <v>0</v>
      </c>
      <c r="EH34" s="57">
        <v>0</v>
      </c>
      <c r="EI34">
        <v>0</v>
      </c>
      <c r="EJ34" s="57">
        <v>0</v>
      </c>
      <c r="EK34">
        <v>0</v>
      </c>
      <c r="EL34" s="57">
        <v>0</v>
      </c>
      <c r="EM34">
        <v>0</v>
      </c>
      <c r="EN34" s="57">
        <v>0</v>
      </c>
      <c r="EO34">
        <v>0</v>
      </c>
      <c r="EP34" s="57">
        <v>0</v>
      </c>
      <c r="EQ34" s="57">
        <v>0</v>
      </c>
      <c r="ER34" s="57">
        <v>0</v>
      </c>
      <c r="ES34">
        <v>0</v>
      </c>
      <c r="ET34" s="57">
        <v>0</v>
      </c>
      <c r="EU34">
        <v>0</v>
      </c>
      <c r="EV34" s="57">
        <v>0</v>
      </c>
      <c r="EW34">
        <v>0</v>
      </c>
      <c r="EX34" s="57">
        <v>0</v>
      </c>
      <c r="EY34">
        <v>0</v>
      </c>
      <c r="EZ34" s="57">
        <v>0</v>
      </c>
      <c r="FA34" s="57">
        <v>0</v>
      </c>
      <c r="FB34" s="57">
        <v>0</v>
      </c>
      <c r="FC34">
        <v>0</v>
      </c>
      <c r="FD34" s="57">
        <v>0</v>
      </c>
      <c r="FE34">
        <v>0</v>
      </c>
      <c r="FF34" s="57">
        <v>0</v>
      </c>
      <c r="FG34">
        <v>0</v>
      </c>
      <c r="FH34" s="57">
        <v>0</v>
      </c>
      <c r="FI34">
        <v>0</v>
      </c>
      <c r="FJ34" s="57">
        <v>0</v>
      </c>
      <c r="FK34" s="57">
        <v>0</v>
      </c>
      <c r="FL34" s="57">
        <v>0</v>
      </c>
      <c r="FM34">
        <v>0</v>
      </c>
      <c r="FN34" s="57">
        <v>0</v>
      </c>
      <c r="FO34">
        <v>0</v>
      </c>
      <c r="FP34" s="57">
        <v>0</v>
      </c>
      <c r="FQ34">
        <v>0</v>
      </c>
      <c r="FR34" s="57">
        <v>0</v>
      </c>
      <c r="FS34">
        <v>0</v>
      </c>
    </row>
    <row r="35" spans="1:175" x14ac:dyDescent="0.3">
      <c r="A35" s="83"/>
      <c r="B35" s="3" t="s">
        <v>29</v>
      </c>
      <c r="C35" s="4" t="s">
        <v>31</v>
      </c>
      <c r="D35" s="2" t="s">
        <v>37</v>
      </c>
      <c r="E35" s="9">
        <f t="shared" si="5"/>
        <v>27</v>
      </c>
      <c r="F35" s="13">
        <v>1</v>
      </c>
      <c r="G35" s="13" t="s">
        <v>20</v>
      </c>
      <c r="H35" s="10">
        <v>0</v>
      </c>
      <c r="I35" t="s">
        <v>12</v>
      </c>
      <c r="J35">
        <v>0</v>
      </c>
      <c r="K35">
        <v>1</v>
      </c>
      <c r="L35">
        <v>0</v>
      </c>
      <c r="M35">
        <v>0</v>
      </c>
      <c r="N35">
        <v>0</v>
      </c>
      <c r="O35">
        <f>O45</f>
        <v>2000000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f>$EG35*B$3</f>
        <v>0</v>
      </c>
      <c r="EK35">
        <v>0</v>
      </c>
      <c r="EL35">
        <f t="shared" ref="EL35:EL41" si="94">$EG35*C$3</f>
        <v>0</v>
      </c>
      <c r="EM35">
        <v>0</v>
      </c>
      <c r="EN35">
        <f t="shared" ref="EN35:EN41" si="95">$EG35*D$3</f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f t="shared" ref="ET35:ET41" si="96">$EQ35*B$3</f>
        <v>0</v>
      </c>
      <c r="EU35">
        <v>0</v>
      </c>
      <c r="EV35">
        <f t="shared" ref="EV35:EV41" si="97">$EQ35*C$3</f>
        <v>0</v>
      </c>
      <c r="EW35">
        <v>0</v>
      </c>
      <c r="EX35">
        <f t="shared" ref="EX35:EX41" si="98">$EQ35*D$3</f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83"/>
      <c r="B36" s="3" t="s">
        <v>30</v>
      </c>
      <c r="C36" s="4" t="s">
        <v>32</v>
      </c>
      <c r="D36" s="2" t="s">
        <v>38</v>
      </c>
      <c r="E36" s="9">
        <f t="shared" si="5"/>
        <v>28</v>
      </c>
      <c r="F36" s="13">
        <v>1</v>
      </c>
      <c r="G36" s="13" t="s">
        <v>21</v>
      </c>
      <c r="H36" s="10">
        <v>0</v>
      </c>
      <c r="I36" t="s">
        <v>12</v>
      </c>
      <c r="J36" s="10">
        <v>0</v>
      </c>
      <c r="K36">
        <v>-1</v>
      </c>
      <c r="L36">
        <v>0</v>
      </c>
      <c r="M36" s="10">
        <v>0</v>
      </c>
      <c r="N36">
        <v>0</v>
      </c>
      <c r="O36">
        <f>O45</f>
        <v>2000000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28">
        <v>0</v>
      </c>
      <c r="DM36" s="28">
        <v>0.02</v>
      </c>
      <c r="DN36" s="10">
        <v>3.3500000000000002E-2</v>
      </c>
      <c r="DO36" s="28">
        <v>0</v>
      </c>
      <c r="DP36" s="28">
        <v>0.02</v>
      </c>
      <c r="DQ36" s="10">
        <v>3.3500000000000002E-2</v>
      </c>
      <c r="DR36" s="10">
        <v>0.02</v>
      </c>
      <c r="DS36" s="28">
        <v>0</v>
      </c>
      <c r="DT36" s="28">
        <v>0.02</v>
      </c>
      <c r="DU36" s="10">
        <v>3.3500000000000002E-2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f t="shared" ref="EJ36:EJ41" si="99">$EG36*B$3</f>
        <v>0</v>
      </c>
      <c r="EK36">
        <v>0</v>
      </c>
      <c r="EL36">
        <f t="shared" si="94"/>
        <v>0</v>
      </c>
      <c r="EM36">
        <v>0</v>
      </c>
      <c r="EN36">
        <f t="shared" si="95"/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f t="shared" si="96"/>
        <v>0</v>
      </c>
      <c r="EU36">
        <v>0</v>
      </c>
      <c r="EV36">
        <f t="shared" si="97"/>
        <v>0</v>
      </c>
      <c r="EW36">
        <v>0</v>
      </c>
      <c r="EX36">
        <f t="shared" si="98"/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83"/>
      <c r="B37" t="s">
        <v>276</v>
      </c>
      <c r="C37" s="4" t="s">
        <v>434</v>
      </c>
      <c r="D37" s="2" t="s">
        <v>425</v>
      </c>
      <c r="E37" s="9">
        <f t="shared" si="5"/>
        <v>29</v>
      </c>
      <c r="F37" s="13">
        <v>1</v>
      </c>
      <c r="G37" s="13" t="s">
        <v>426</v>
      </c>
      <c r="H37" s="10">
        <v>0</v>
      </c>
      <c r="I37" t="s">
        <v>12</v>
      </c>
      <c r="J37" s="10">
        <v>0</v>
      </c>
      <c r="K37" s="10">
        <v>0</v>
      </c>
      <c r="L37" s="10">
        <v>-1</v>
      </c>
      <c r="M37" s="10">
        <v>0</v>
      </c>
      <c r="N37" s="10">
        <v>0</v>
      </c>
      <c r="O37">
        <f>O46</f>
        <v>2000000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1</v>
      </c>
      <c r="AK37" s="10">
        <v>1</v>
      </c>
      <c r="AL37" s="10">
        <v>1</v>
      </c>
      <c r="AM37" s="10">
        <v>1</v>
      </c>
      <c r="AN37" s="10">
        <v>1</v>
      </c>
      <c r="AO37" s="10">
        <v>1</v>
      </c>
      <c r="AP37" s="10">
        <v>1</v>
      </c>
      <c r="AQ37" s="10">
        <v>1</v>
      </c>
      <c r="AR37" s="10">
        <v>1</v>
      </c>
      <c r="AS37" s="10">
        <v>1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28">
        <v>0.02</v>
      </c>
      <c r="DM37" s="28">
        <v>3.3500000000000002E-2</v>
      </c>
      <c r="DN37" s="28">
        <v>6.7000000000000004E-2</v>
      </c>
      <c r="DO37" s="28">
        <v>0.02</v>
      </c>
      <c r="DP37" s="28">
        <v>3.3500000000000002E-2</v>
      </c>
      <c r="DQ37" s="28">
        <v>6.7000000000000004E-2</v>
      </c>
      <c r="DR37" s="28">
        <v>3.3500000000000002E-2</v>
      </c>
      <c r="DS37" s="28">
        <v>0.02</v>
      </c>
      <c r="DT37" s="28">
        <v>3.3500000000000002E-2</v>
      </c>
      <c r="DU37" s="28">
        <v>6.7000000000000004E-2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f t="shared" si="99"/>
        <v>0</v>
      </c>
      <c r="EK37">
        <v>1</v>
      </c>
      <c r="EL37">
        <f t="shared" si="94"/>
        <v>0</v>
      </c>
      <c r="EM37">
        <v>1</v>
      </c>
      <c r="EN37">
        <f t="shared" si="95"/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f t="shared" si="96"/>
        <v>0</v>
      </c>
      <c r="EU37">
        <v>1</v>
      </c>
      <c r="EV37">
        <f t="shared" si="97"/>
        <v>0</v>
      </c>
      <c r="EW37">
        <v>1</v>
      </c>
      <c r="EX37">
        <f t="shared" si="98"/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83"/>
      <c r="B38" s="3" t="s">
        <v>135</v>
      </c>
      <c r="C38" s="4" t="s">
        <v>130</v>
      </c>
      <c r="D38" s="2" t="s">
        <v>39</v>
      </c>
      <c r="E38" s="9">
        <f t="shared" si="5"/>
        <v>30</v>
      </c>
      <c r="F38" s="13">
        <v>1</v>
      </c>
      <c r="G38" s="13" t="s">
        <v>14</v>
      </c>
      <c r="H38">
        <v>0</v>
      </c>
      <c r="I38" s="24" t="str">
        <f>B27</f>
        <v>Product/Reactant3</v>
      </c>
      <c r="J38">
        <v>0</v>
      </c>
      <c r="K38">
        <v>0</v>
      </c>
      <c r="L38" s="10">
        <v>0</v>
      </c>
      <c r="M38">
        <v>0</v>
      </c>
      <c r="N38">
        <v>0</v>
      </c>
      <c r="O38">
        <f>9*O27</f>
        <v>180000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8</v>
      </c>
      <c r="W38">
        <v>8</v>
      </c>
      <c r="X38">
        <v>8</v>
      </c>
      <c r="Y38">
        <v>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1</v>
      </c>
      <c r="BE38" s="14">
        <v>1</v>
      </c>
      <c r="BF38" s="14">
        <v>1</v>
      </c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>
        <v>1</v>
      </c>
      <c r="BM38" s="14">
        <v>1</v>
      </c>
      <c r="BN38" s="14">
        <v>1</v>
      </c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4">
        <v>1</v>
      </c>
      <c r="BV38" s="14">
        <v>1</v>
      </c>
      <c r="BW38" s="14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2.7E-2</v>
      </c>
      <c r="DM38">
        <v>0.05</v>
      </c>
      <c r="DN38">
        <v>0.15</v>
      </c>
      <c r="DO38">
        <v>2.7E-2</v>
      </c>
      <c r="DP38">
        <v>0.05</v>
      </c>
      <c r="DQ38">
        <v>0.15</v>
      </c>
      <c r="DR38">
        <v>0.05</v>
      </c>
      <c r="DS38">
        <v>2.7E-2</v>
      </c>
      <c r="DT38">
        <v>0.05</v>
      </c>
      <c r="DU38">
        <v>0.15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f t="shared" si="99"/>
        <v>0</v>
      </c>
      <c r="EK38">
        <v>0</v>
      </c>
      <c r="EL38">
        <f t="shared" si="94"/>
        <v>0</v>
      </c>
      <c r="EM38">
        <v>0</v>
      </c>
      <c r="EN38">
        <f t="shared" si="95"/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f t="shared" si="96"/>
        <v>0</v>
      </c>
      <c r="EU38">
        <v>0</v>
      </c>
      <c r="EV38">
        <f t="shared" si="97"/>
        <v>0</v>
      </c>
      <c r="EW38">
        <v>0</v>
      </c>
      <c r="EX38">
        <f t="shared" si="98"/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</row>
    <row r="39" spans="1:175" x14ac:dyDescent="0.3">
      <c r="A39" s="83"/>
      <c r="B39" s="3" t="s">
        <v>15</v>
      </c>
      <c r="C39" s="11" t="s">
        <v>276</v>
      </c>
      <c r="D39" s="2" t="s">
        <v>40</v>
      </c>
      <c r="E39" s="9">
        <f t="shared" si="5"/>
        <v>31</v>
      </c>
      <c r="F39" s="13">
        <v>1</v>
      </c>
      <c r="G39" s="13" t="s">
        <v>22</v>
      </c>
      <c r="H39">
        <v>0</v>
      </c>
      <c r="I39" t="s">
        <v>12</v>
      </c>
      <c r="J39">
        <v>0</v>
      </c>
      <c r="K39">
        <v>0</v>
      </c>
      <c r="L39" s="10">
        <v>0</v>
      </c>
      <c r="M39" s="10">
        <v>-1</v>
      </c>
      <c r="N39">
        <v>0</v>
      </c>
      <c r="O39">
        <v>20000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>
        <v>4</v>
      </c>
      <c r="BY39">
        <v>3.5</v>
      </c>
      <c r="BZ39">
        <v>3.5</v>
      </c>
      <c r="CA39">
        <v>3.5</v>
      </c>
      <c r="CB39">
        <v>3.5</v>
      </c>
      <c r="CC39">
        <v>3.5</v>
      </c>
      <c r="CD39">
        <v>3.5</v>
      </c>
      <c r="CE39">
        <v>3.5</v>
      </c>
      <c r="CF39">
        <v>3.5</v>
      </c>
      <c r="CG39">
        <v>3.5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f t="shared" si="99"/>
        <v>0</v>
      </c>
      <c r="EK39">
        <v>0</v>
      </c>
      <c r="EL39">
        <f t="shared" si="94"/>
        <v>0</v>
      </c>
      <c r="EM39">
        <v>0</v>
      </c>
      <c r="EN39">
        <f t="shared" si="95"/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f t="shared" si="96"/>
        <v>0</v>
      </c>
      <c r="EU39">
        <v>0</v>
      </c>
      <c r="EV39">
        <f t="shared" si="97"/>
        <v>0</v>
      </c>
      <c r="EW39">
        <v>0</v>
      </c>
      <c r="EX39">
        <f t="shared" si="98"/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</row>
    <row r="40" spans="1:175" x14ac:dyDescent="0.3">
      <c r="A40" s="83"/>
      <c r="B40" s="3" t="s">
        <v>16</v>
      </c>
      <c r="C40" s="11" t="s">
        <v>276</v>
      </c>
      <c r="D40" s="2" t="s">
        <v>41</v>
      </c>
      <c r="E40" s="9">
        <f t="shared" si="5"/>
        <v>32</v>
      </c>
      <c r="F40" s="13">
        <v>1</v>
      </c>
      <c r="G40" s="13" t="s">
        <v>23</v>
      </c>
      <c r="H40">
        <v>0</v>
      </c>
      <c r="I40" t="s">
        <v>12</v>
      </c>
      <c r="J40">
        <v>0</v>
      </c>
      <c r="K40">
        <v>0</v>
      </c>
      <c r="L40" s="10">
        <v>0</v>
      </c>
      <c r="M40">
        <v>1</v>
      </c>
      <c r="N40">
        <v>0</v>
      </c>
      <c r="O40">
        <f>O39</f>
        <v>20000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f t="shared" si="99"/>
        <v>0</v>
      </c>
      <c r="EK40">
        <v>0</v>
      </c>
      <c r="EL40">
        <f t="shared" si="94"/>
        <v>0</v>
      </c>
      <c r="EM40">
        <v>0</v>
      </c>
      <c r="EN40">
        <f t="shared" si="95"/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f t="shared" si="96"/>
        <v>0</v>
      </c>
      <c r="EU40">
        <v>0</v>
      </c>
      <c r="EV40">
        <f t="shared" si="97"/>
        <v>0</v>
      </c>
      <c r="EW40">
        <v>0</v>
      </c>
      <c r="EX40">
        <f t="shared" si="98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</row>
    <row r="41" spans="1:175" x14ac:dyDescent="0.3">
      <c r="A41" s="83"/>
      <c r="B41" s="3" t="s">
        <v>17</v>
      </c>
      <c r="C41" s="11" t="s">
        <v>276</v>
      </c>
      <c r="D41" s="6" t="s">
        <v>42</v>
      </c>
      <c r="E41" s="9">
        <f t="shared" si="5"/>
        <v>33</v>
      </c>
      <c r="F41" s="13">
        <v>1</v>
      </c>
      <c r="G41" s="13" t="s">
        <v>157</v>
      </c>
      <c r="H41">
        <v>0</v>
      </c>
      <c r="I41" t="s">
        <v>12</v>
      </c>
      <c r="J41">
        <v>0</v>
      </c>
      <c r="K41">
        <v>0</v>
      </c>
      <c r="L41" s="10">
        <v>0</v>
      </c>
      <c r="M41">
        <v>0</v>
      </c>
      <c r="N41">
        <v>0</v>
      </c>
      <c r="O41">
        <v>20000000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0.03</v>
      </c>
      <c r="AU41" s="14">
        <v>0.03</v>
      </c>
      <c r="AV41" s="14">
        <v>0.03</v>
      </c>
      <c r="AW41" s="14">
        <v>0.03</v>
      </c>
      <c r="AX41" s="14">
        <v>0.03</v>
      </c>
      <c r="AY41" s="14">
        <v>0.03</v>
      </c>
      <c r="AZ41" s="14">
        <v>0.03</v>
      </c>
      <c r="BA41" s="14">
        <v>0.03</v>
      </c>
      <c r="BB41" s="14">
        <v>0.03</v>
      </c>
      <c r="BC41" s="14">
        <v>0.03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1000</v>
      </c>
      <c r="CI41">
        <v>900</v>
      </c>
      <c r="CJ41">
        <v>900</v>
      </c>
      <c r="CK41">
        <v>800</v>
      </c>
      <c r="CL41">
        <v>800</v>
      </c>
      <c r="CM41">
        <v>800</v>
      </c>
      <c r="CN41">
        <f>(CP41+CL41)/2</f>
        <v>650</v>
      </c>
      <c r="CO41">
        <v>500</v>
      </c>
      <c r="CP41">
        <v>500</v>
      </c>
      <c r="CQ41">
        <v>500</v>
      </c>
      <c r="CR41">
        <f>CH41*0.04</f>
        <v>40</v>
      </c>
      <c r="CS41">
        <f>CI41*0.03</f>
        <v>27</v>
      </c>
      <c r="CT41">
        <f>CJ41*0.03</f>
        <v>27</v>
      </c>
      <c r="CU41">
        <v>0</v>
      </c>
      <c r="CV41">
        <f>CL41*0.03</f>
        <v>24</v>
      </c>
      <c r="CW41">
        <v>0</v>
      </c>
      <c r="CX41">
        <f>CN41*0.03</f>
        <v>19.5</v>
      </c>
      <c r="CY41">
        <v>0</v>
      </c>
      <c r="CZ41">
        <f t="shared" ref="CZ41" si="100">CP41*0.03</f>
        <v>15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6.2260740740740748E-3</v>
      </c>
      <c r="EG41">
        <v>6.2260740740740748E-3</v>
      </c>
      <c r="EH41">
        <v>6.2260740740740748E-3</v>
      </c>
      <c r="EI41">
        <v>0</v>
      </c>
      <c r="EJ41">
        <f t="shared" si="99"/>
        <v>6.2260740740740748E-3</v>
      </c>
      <c r="EK41">
        <v>0</v>
      </c>
      <c r="EL41">
        <f t="shared" si="94"/>
        <v>6.2260740740740748E-3</v>
      </c>
      <c r="EM41">
        <v>0</v>
      </c>
      <c r="EN41">
        <f t="shared" si="95"/>
        <v>6.2260740740740748E-3</v>
      </c>
      <c r="EO41">
        <v>0</v>
      </c>
      <c r="EP41">
        <v>0</v>
      </c>
      <c r="EQ41">
        <v>0</v>
      </c>
      <c r="ER41">
        <v>0</v>
      </c>
      <c r="ES41">
        <v>0</v>
      </c>
      <c r="ET41">
        <f t="shared" si="96"/>
        <v>0</v>
      </c>
      <c r="EU41">
        <v>0</v>
      </c>
      <c r="EV41">
        <f t="shared" si="97"/>
        <v>0</v>
      </c>
      <c r="EW41">
        <v>0</v>
      </c>
      <c r="EX41">
        <f t="shared" si="98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0.14902948869707539</v>
      </c>
      <c r="FK41">
        <v>0.14902948869707539</v>
      </c>
      <c r="FL41">
        <v>0.14902948869707539</v>
      </c>
      <c r="FM41">
        <v>0.14902948869707539</v>
      </c>
      <c r="FN41">
        <v>0.14902948869707539</v>
      </c>
      <c r="FO41">
        <v>0.14902948869707539</v>
      </c>
      <c r="FP41">
        <v>0.14902948869707539</v>
      </c>
      <c r="FQ41">
        <v>0.14902948869707539</v>
      </c>
      <c r="FR41">
        <v>0.14902948869707539</v>
      </c>
      <c r="FS41">
        <v>0.14902948869707539</v>
      </c>
    </row>
    <row r="42" spans="1:175" x14ac:dyDescent="0.3">
      <c r="A42" s="83"/>
      <c r="B42" s="3" t="s">
        <v>15</v>
      </c>
      <c r="C42" s="11" t="s">
        <v>276</v>
      </c>
      <c r="D42" s="6" t="s">
        <v>158</v>
      </c>
      <c r="E42" s="9">
        <f t="shared" si="5"/>
        <v>34</v>
      </c>
      <c r="F42" s="13">
        <v>1</v>
      </c>
      <c r="G42" s="13" t="s">
        <v>159</v>
      </c>
      <c r="H42">
        <v>0</v>
      </c>
      <c r="I42" t="s">
        <v>12</v>
      </c>
      <c r="J42">
        <v>0</v>
      </c>
      <c r="K42">
        <v>0</v>
      </c>
      <c r="L42" s="10">
        <v>0</v>
      </c>
      <c r="M42">
        <v>-1</v>
      </c>
      <c r="N42">
        <v>0</v>
      </c>
      <c r="O42">
        <v>20000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>
        <v>0.94</v>
      </c>
      <c r="BY42">
        <v>0.94</v>
      </c>
      <c r="BZ42">
        <v>0.94</v>
      </c>
      <c r="CA42">
        <v>0.94</v>
      </c>
      <c r="CB42">
        <v>0.94</v>
      </c>
      <c r="CC42">
        <v>0.94</v>
      </c>
      <c r="CD42">
        <v>0.94</v>
      </c>
      <c r="CE42">
        <v>0.94</v>
      </c>
      <c r="CF42">
        <v>0.94</v>
      </c>
      <c r="CG42">
        <v>0.94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9.3678779051968114E-2</v>
      </c>
      <c r="FK42">
        <v>9.3678779051968114E-2</v>
      </c>
      <c r="FL42">
        <v>9.3678779051968114E-2</v>
      </c>
      <c r="FM42">
        <v>9.3678779051968114E-2</v>
      </c>
      <c r="FN42">
        <v>9.3678779051968114E-2</v>
      </c>
      <c r="FO42">
        <v>9.3678779051968114E-2</v>
      </c>
      <c r="FP42">
        <v>9.3678779051968114E-2</v>
      </c>
      <c r="FQ42">
        <v>9.3678779051968114E-2</v>
      </c>
      <c r="FR42">
        <v>9.3678779051968114E-2</v>
      </c>
      <c r="FS42">
        <v>9.3678779051968114E-2</v>
      </c>
    </row>
    <row r="43" spans="1:175" x14ac:dyDescent="0.3">
      <c r="A43" s="83"/>
      <c r="B43" s="3" t="s">
        <v>16</v>
      </c>
      <c r="C43" s="11" t="s">
        <v>276</v>
      </c>
      <c r="D43" s="6" t="s">
        <v>160</v>
      </c>
      <c r="E43" s="9">
        <f t="shared" si="5"/>
        <v>35</v>
      </c>
      <c r="F43" s="13">
        <v>1</v>
      </c>
      <c r="G43" s="13" t="s">
        <v>161</v>
      </c>
      <c r="H43">
        <v>0</v>
      </c>
      <c r="I43" t="s">
        <v>12</v>
      </c>
      <c r="J43">
        <v>0</v>
      </c>
      <c r="K43">
        <v>0</v>
      </c>
      <c r="L43" s="10">
        <v>0</v>
      </c>
      <c r="M43">
        <v>1</v>
      </c>
      <c r="N43">
        <v>0</v>
      </c>
      <c r="O43">
        <f>O39</f>
        <v>20000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83"/>
      <c r="B44" s="3" t="s">
        <v>17</v>
      </c>
      <c r="C44" s="11" t="s">
        <v>276</v>
      </c>
      <c r="D44" s="6" t="s">
        <v>162</v>
      </c>
      <c r="E44" s="9">
        <f t="shared" si="5"/>
        <v>36</v>
      </c>
      <c r="F44" s="13">
        <v>1</v>
      </c>
      <c r="G44" s="13" t="s">
        <v>163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0</v>
      </c>
      <c r="N44">
        <v>0</v>
      </c>
      <c r="O44">
        <v>20000000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0.09</v>
      </c>
      <c r="AU44" s="14">
        <v>0.09</v>
      </c>
      <c r="AV44" s="14">
        <v>0.09</v>
      </c>
      <c r="AW44" s="14">
        <v>0.09</v>
      </c>
      <c r="AX44" s="14">
        <v>0.09</v>
      </c>
      <c r="AY44" s="14">
        <v>0.09</v>
      </c>
      <c r="AZ44" s="14">
        <v>0.09</v>
      </c>
      <c r="BA44" s="14">
        <v>0.09</v>
      </c>
      <c r="BB44" s="14">
        <v>0.09</v>
      </c>
      <c r="BC44" s="14">
        <v>0.09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460.75542459148141</v>
      </c>
      <c r="CI44">
        <v>250</v>
      </c>
      <c r="CJ44">
        <v>250</v>
      </c>
      <c r="CK44">
        <v>250</v>
      </c>
      <c r="CL44">
        <v>250</v>
      </c>
      <c r="CM44">
        <v>250</v>
      </c>
      <c r="CN44">
        <v>250</v>
      </c>
      <c r="CO44">
        <v>250</v>
      </c>
      <c r="CP44">
        <v>250</v>
      </c>
      <c r="CQ44">
        <v>250</v>
      </c>
      <c r="CR44">
        <f>0.04*CH44</f>
        <v>18.430216983659257</v>
      </c>
      <c r="CS44">
        <f>0.03*CI44</f>
        <v>7.5</v>
      </c>
      <c r="CT44">
        <f>0.03*CJ44</f>
        <v>7.5</v>
      </c>
      <c r="CU44">
        <f t="shared" ref="CU44:DA44" si="101">0.03*CK44</f>
        <v>7.5</v>
      </c>
      <c r="CV44">
        <f t="shared" si="101"/>
        <v>7.5</v>
      </c>
      <c r="CW44">
        <f t="shared" si="101"/>
        <v>7.5</v>
      </c>
      <c r="CX44">
        <f t="shared" si="101"/>
        <v>7.5</v>
      </c>
      <c r="CY44">
        <f t="shared" si="101"/>
        <v>7.5</v>
      </c>
      <c r="CZ44">
        <f t="shared" si="101"/>
        <v>7.5</v>
      </c>
      <c r="DA44">
        <f t="shared" si="101"/>
        <v>7.5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6.2260740740740748E-3</v>
      </c>
      <c r="EG44">
        <v>6.2260740740740748E-3</v>
      </c>
      <c r="EH44">
        <v>6.2260740740740748E-3</v>
      </c>
      <c r="EI44">
        <v>0</v>
      </c>
      <c r="EJ44">
        <f t="shared" ref="EJ44:EJ58" si="102">$EG44*B$3</f>
        <v>6.2260740740740748E-3</v>
      </c>
      <c r="EK44">
        <v>0</v>
      </c>
      <c r="EL44">
        <f t="shared" ref="EL44:EL58" si="103">$EG44*C$3</f>
        <v>6.2260740740740748E-3</v>
      </c>
      <c r="EM44">
        <v>0</v>
      </c>
      <c r="EN44">
        <f t="shared" ref="EN44:EN58" si="104">$EG44*D$3</f>
        <v>6.2260740740740748E-3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 s="51">
        <v>1</v>
      </c>
      <c r="FA44" s="51">
        <v>1</v>
      </c>
      <c r="FB44" s="51">
        <v>1</v>
      </c>
      <c r="FC44">
        <v>0</v>
      </c>
      <c r="FD44" s="51">
        <v>1</v>
      </c>
      <c r="FE44">
        <v>0</v>
      </c>
      <c r="FF44" s="51">
        <v>1</v>
      </c>
      <c r="FG44">
        <v>0</v>
      </c>
      <c r="FH44" s="51">
        <v>1</v>
      </c>
      <c r="FI44">
        <v>0</v>
      </c>
      <c r="FJ44">
        <v>8.174285816161557E-2</v>
      </c>
      <c r="FK44">
        <v>8.174285816161557E-2</v>
      </c>
      <c r="FL44">
        <v>8.174285816161557E-2</v>
      </c>
      <c r="FM44">
        <v>8.174285816161557E-2</v>
      </c>
      <c r="FN44">
        <v>8.174285816161557E-2</v>
      </c>
      <c r="FO44">
        <v>8.174285816161557E-2</v>
      </c>
      <c r="FP44">
        <v>8.174285816161557E-2</v>
      </c>
      <c r="FQ44">
        <v>8.174285816161557E-2</v>
      </c>
      <c r="FR44">
        <v>8.174285816161557E-2</v>
      </c>
      <c r="FS44">
        <v>8.174285816161557E-2</v>
      </c>
    </row>
    <row r="45" spans="1:175" ht="14.55" customHeight="1" x14ac:dyDescent="0.3">
      <c r="A45" s="83" t="s">
        <v>18</v>
      </c>
      <c r="B45" s="12" t="s">
        <v>52</v>
      </c>
      <c r="C45" s="11" t="s">
        <v>276</v>
      </c>
      <c r="D45" s="6" t="s">
        <v>47</v>
      </c>
      <c r="E45" s="9">
        <f t="shared" si="5"/>
        <v>37</v>
      </c>
      <c r="F45" s="13">
        <v>1</v>
      </c>
      <c r="G45" s="13" t="s">
        <v>48</v>
      </c>
      <c r="H45">
        <v>0</v>
      </c>
      <c r="I45" t="s">
        <v>12</v>
      </c>
      <c r="J45">
        <v>1</v>
      </c>
      <c r="K45">
        <v>0</v>
      </c>
      <c r="L45" s="10">
        <v>0</v>
      </c>
      <c r="M45">
        <v>0</v>
      </c>
      <c r="N45">
        <v>0</v>
      </c>
      <c r="O45">
        <v>2000000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552.67870000000005</v>
      </c>
      <c r="CI45">
        <v>552.67870000000005</v>
      </c>
      <c r="CJ45">
        <v>552.67870000000005</v>
      </c>
      <c r="CK45">
        <v>396.26020000000005</v>
      </c>
      <c r="CL45">
        <v>396.26020000000005</v>
      </c>
      <c r="CM45">
        <v>396.26020000000005</v>
      </c>
      <c r="CN45">
        <v>344.12070000000006</v>
      </c>
      <c r="CO45">
        <v>312.83700000000005</v>
      </c>
      <c r="CP45">
        <v>312.83700000000005</v>
      </c>
      <c r="CQ45">
        <v>312.83700000000005</v>
      </c>
      <c r="CR45">
        <v>9.1244125000000018</v>
      </c>
      <c r="CS45">
        <v>9.1244125000000018</v>
      </c>
      <c r="CT45">
        <v>9.1244125000000018</v>
      </c>
      <c r="CU45">
        <v>7.5602274999999999</v>
      </c>
      <c r="CV45">
        <v>7.5602275000000008</v>
      </c>
      <c r="CW45">
        <v>7.5602275000000008</v>
      </c>
      <c r="CX45">
        <v>6.9084837500000003</v>
      </c>
      <c r="CY45">
        <v>6.5174375000000007</v>
      </c>
      <c r="CZ45">
        <v>6.5174375000000007</v>
      </c>
      <c r="DA45">
        <v>6.5174374999999998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90.584795321637415</v>
      </c>
      <c r="EG45">
        <v>90.584795321637415</v>
      </c>
      <c r="EH45">
        <v>90.584795321637415</v>
      </c>
      <c r="EI45">
        <v>0</v>
      </c>
      <c r="EJ45">
        <f t="shared" si="102"/>
        <v>90.584795321637415</v>
      </c>
      <c r="EK45">
        <v>0</v>
      </c>
      <c r="EL45">
        <f t="shared" si="103"/>
        <v>90.584795321637415</v>
      </c>
      <c r="EM45">
        <v>0</v>
      </c>
      <c r="EN45">
        <f t="shared" si="104"/>
        <v>90.584795321637415</v>
      </c>
      <c r="EO45">
        <v>0</v>
      </c>
      <c r="EP45">
        <v>0</v>
      </c>
      <c r="EQ45">
        <v>0</v>
      </c>
      <c r="ER45">
        <v>0</v>
      </c>
      <c r="ES45">
        <v>0</v>
      </c>
      <c r="ET45">
        <f t="shared" ref="ET45:ET58" si="105">$EQ45*B$3</f>
        <v>0</v>
      </c>
      <c r="EU45">
        <v>0</v>
      </c>
      <c r="EV45">
        <f t="shared" ref="EV45:EV58" si="106">$EQ45*C$3</f>
        <v>0</v>
      </c>
      <c r="EW45">
        <v>0</v>
      </c>
      <c r="EX45">
        <f t="shared" ref="EX45:EX58" si="107">$EQ45*D$3</f>
        <v>0</v>
      </c>
      <c r="EY45">
        <v>0</v>
      </c>
      <c r="EZ45">
        <v>13.75</v>
      </c>
      <c r="FA45">
        <v>13.75</v>
      </c>
      <c r="FB45">
        <v>13.75</v>
      </c>
      <c r="FC45">
        <v>0</v>
      </c>
      <c r="FD45">
        <v>12.26</v>
      </c>
      <c r="FE45">
        <v>0</v>
      </c>
      <c r="FF45">
        <v>11.51</v>
      </c>
      <c r="FG45">
        <v>0</v>
      </c>
      <c r="FH45">
        <v>10.84</v>
      </c>
      <c r="FI45">
        <v>0</v>
      </c>
      <c r="FJ45">
        <v>8.5803264560679798E-2</v>
      </c>
      <c r="FK45">
        <v>8.5803264560679798E-2</v>
      </c>
      <c r="FL45">
        <v>8.5803264560679798E-2</v>
      </c>
      <c r="FM45">
        <v>8.3860161500585326E-2</v>
      </c>
      <c r="FN45">
        <v>8.3860161500585326E-2</v>
      </c>
      <c r="FO45">
        <v>8.3860161500585326E-2</v>
      </c>
      <c r="FP45">
        <v>8.3860161500585326E-2</v>
      </c>
      <c r="FQ45">
        <v>8.3860161500585326E-2</v>
      </c>
      <c r="FR45">
        <v>8.3860161500585326E-2</v>
      </c>
      <c r="FS45">
        <v>8.3860161500585326E-2</v>
      </c>
    </row>
    <row r="46" spans="1:175" ht="14.55" customHeight="1" x14ac:dyDescent="0.3">
      <c r="A46" s="83"/>
      <c r="B46" s="12" t="s">
        <v>51</v>
      </c>
      <c r="C46" s="11" t="s">
        <v>276</v>
      </c>
      <c r="D46" s="6" t="s">
        <v>49</v>
      </c>
      <c r="E46" s="9">
        <f>ROW(D46)-ROW($E$8)</f>
        <v>38</v>
      </c>
      <c r="F46" s="13">
        <v>1</v>
      </c>
      <c r="G46" s="13" t="s">
        <v>50</v>
      </c>
      <c r="H46">
        <v>0</v>
      </c>
      <c r="I46" t="s">
        <v>12</v>
      </c>
      <c r="J46">
        <v>1</v>
      </c>
      <c r="K46">
        <v>0</v>
      </c>
      <c r="L46" s="10">
        <v>0</v>
      </c>
      <c r="M46">
        <v>0</v>
      </c>
      <c r="N46">
        <v>0</v>
      </c>
      <c r="O46">
        <f t="shared" ref="O46:O64" si="108">$O$45</f>
        <v>2000000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761.23670000000004</v>
      </c>
      <c r="CI46">
        <v>646.52980000000002</v>
      </c>
      <c r="CJ46">
        <v>583.96240000000012</v>
      </c>
      <c r="CK46">
        <v>458.82760000000007</v>
      </c>
      <c r="CL46">
        <v>458.82760000000007</v>
      </c>
      <c r="CM46">
        <v>458.82760000000007</v>
      </c>
      <c r="CN46">
        <v>406.68810000000002</v>
      </c>
      <c r="CO46">
        <v>375.40440000000001</v>
      </c>
      <c r="CP46">
        <v>375.40440000000001</v>
      </c>
      <c r="CQ46">
        <v>375.40440000000001</v>
      </c>
      <c r="CR46">
        <v>11.601038750000001</v>
      </c>
      <c r="CS46">
        <v>11.157853000000001</v>
      </c>
      <c r="CT46">
        <v>7.6905762500000012</v>
      </c>
      <c r="CU46">
        <v>9.2808309999999992</v>
      </c>
      <c r="CV46">
        <v>9.2808310000000009</v>
      </c>
      <c r="CW46">
        <v>9.2808310000000009</v>
      </c>
      <c r="CX46">
        <v>8.5508780000000009</v>
      </c>
      <c r="CY46">
        <v>8.1337620000000008</v>
      </c>
      <c r="CZ46">
        <v>8.1337620000000008</v>
      </c>
      <c r="DA46">
        <v>8.1337620000000008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90.584795321637415</v>
      </c>
      <c r="EG46">
        <v>90.584795321637415</v>
      </c>
      <c r="EH46">
        <v>90.584795321637415</v>
      </c>
      <c r="EI46">
        <v>0</v>
      </c>
      <c r="EJ46">
        <f t="shared" si="102"/>
        <v>90.584795321637415</v>
      </c>
      <c r="EK46">
        <v>0</v>
      </c>
      <c r="EL46">
        <f t="shared" si="103"/>
        <v>90.584795321637415</v>
      </c>
      <c r="EM46">
        <v>0</v>
      </c>
      <c r="EN46">
        <f t="shared" si="104"/>
        <v>90.584795321637415</v>
      </c>
      <c r="EO46">
        <v>0</v>
      </c>
      <c r="EP46">
        <v>0</v>
      </c>
      <c r="EQ46">
        <v>0</v>
      </c>
      <c r="ER46">
        <v>0</v>
      </c>
      <c r="ES46">
        <v>0</v>
      </c>
      <c r="ET46">
        <f t="shared" si="105"/>
        <v>0</v>
      </c>
      <c r="EU46">
        <v>0</v>
      </c>
      <c r="EV46">
        <f t="shared" si="106"/>
        <v>0</v>
      </c>
      <c r="EW46">
        <v>0</v>
      </c>
      <c r="EX46">
        <f t="shared" si="107"/>
        <v>0</v>
      </c>
      <c r="EY46">
        <v>0</v>
      </c>
      <c r="EZ46">
        <v>17.88</v>
      </c>
      <c r="FA46">
        <v>17.88</v>
      </c>
      <c r="FB46">
        <v>17.88</v>
      </c>
      <c r="FC46">
        <v>0</v>
      </c>
      <c r="FD46">
        <v>15.93</v>
      </c>
      <c r="FE46">
        <v>0</v>
      </c>
      <c r="FF46">
        <v>14.96</v>
      </c>
      <c r="FG46">
        <v>0</v>
      </c>
      <c r="FH46">
        <v>14.09</v>
      </c>
      <c r="FI46">
        <v>0</v>
      </c>
      <c r="FJ46">
        <v>8.5803264560679798E-2</v>
      </c>
      <c r="FK46">
        <v>8.5803264560679798E-2</v>
      </c>
      <c r="FL46">
        <v>8.5803264560679798E-2</v>
      </c>
      <c r="FM46">
        <v>8.3860161500585326E-2</v>
      </c>
      <c r="FN46">
        <v>8.3860161500585326E-2</v>
      </c>
      <c r="FO46">
        <v>8.3860161500585326E-2</v>
      </c>
      <c r="FP46">
        <v>8.3860161500585326E-2</v>
      </c>
      <c r="FQ46">
        <v>8.3860161500585326E-2</v>
      </c>
      <c r="FR46">
        <v>8.3860161500585326E-2</v>
      </c>
      <c r="FS46">
        <v>8.3860161500585326E-2</v>
      </c>
    </row>
    <row r="47" spans="1:175" x14ac:dyDescent="0.3">
      <c r="A47" s="83"/>
      <c r="B47" s="12" t="str">
        <f>CONCATENATE("RPU_"&amp;D47)</f>
        <v>RPU_ON_SP198-HH100</v>
      </c>
      <c r="C47" s="11" t="s">
        <v>276</v>
      </c>
      <c r="D47" s="2" t="s">
        <v>164</v>
      </c>
      <c r="E47" s="9">
        <f t="shared" si="5"/>
        <v>39</v>
      </c>
      <c r="F47" s="13">
        <v>1</v>
      </c>
      <c r="G47" s="13" t="s">
        <v>53</v>
      </c>
      <c r="H47">
        <v>0</v>
      </c>
      <c r="I47" t="s">
        <v>12</v>
      </c>
      <c r="J47">
        <v>1</v>
      </c>
      <c r="K47">
        <v>0</v>
      </c>
      <c r="L47" s="10">
        <v>0</v>
      </c>
      <c r="M47">
        <v>0</v>
      </c>
      <c r="N47">
        <v>0</v>
      </c>
      <c r="O47">
        <f t="shared" si="108"/>
        <v>2000000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1758.6807528485745</v>
      </c>
      <c r="CI47">
        <v>1758.6807528485745</v>
      </c>
      <c r="CJ47">
        <v>1758.6807528485745</v>
      </c>
      <c r="CK47">
        <v>1633.060699073676</v>
      </c>
      <c r="CL47">
        <v>1633.060699073676</v>
      </c>
      <c r="CM47">
        <v>1633.060699073676</v>
      </c>
      <c r="CN47">
        <v>1538.8456587425023</v>
      </c>
      <c r="CO47">
        <v>1507.4406452987776</v>
      </c>
      <c r="CP47">
        <v>1507.4406452987776</v>
      </c>
      <c r="CQ47">
        <v>1507.4406452987776</v>
      </c>
      <c r="CR47">
        <v>14.599060000000001</v>
      </c>
      <c r="CS47">
        <v>14.599060000000001</v>
      </c>
      <c r="CT47">
        <v>14.599060000000001</v>
      </c>
      <c r="CU47">
        <v>13.139154</v>
      </c>
      <c r="CV47">
        <v>13.139154000000001</v>
      </c>
      <c r="CW47">
        <v>13.139154000000001</v>
      </c>
      <c r="CX47">
        <v>12.088021680000002</v>
      </c>
      <c r="CY47">
        <v>11.8252386</v>
      </c>
      <c r="CZ47">
        <v>11.8252386</v>
      </c>
      <c r="DA47">
        <v>11.8252386</v>
      </c>
      <c r="DB47">
        <v>1.5641850000000001E-3</v>
      </c>
      <c r="DC47">
        <v>1.5641850000000001E-3</v>
      </c>
      <c r="DD47">
        <v>1.5641850000000001E-3</v>
      </c>
      <c r="DE47">
        <v>1.4077665000000001E-3</v>
      </c>
      <c r="DF47">
        <v>1.4077665000000001E-3</v>
      </c>
      <c r="DG47">
        <v>1.4077664999999999E-3</v>
      </c>
      <c r="DH47">
        <v>1.2930596E-3</v>
      </c>
      <c r="DI47">
        <v>1.2722038E-3</v>
      </c>
      <c r="DJ47">
        <v>1.2722038E-3</v>
      </c>
      <c r="DK47">
        <v>1.2722038E-3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 s="16">
        <v>55.12222222222222</v>
      </c>
      <c r="EG47" s="16">
        <v>55.12222222222222</v>
      </c>
      <c r="EH47" s="16">
        <v>55.12222222222222</v>
      </c>
      <c r="EI47">
        <v>0</v>
      </c>
      <c r="EJ47">
        <f t="shared" si="102"/>
        <v>55.12222222222222</v>
      </c>
      <c r="EK47">
        <v>0</v>
      </c>
      <c r="EL47">
        <f t="shared" si="103"/>
        <v>55.12222222222222</v>
      </c>
      <c r="EM47">
        <v>0</v>
      </c>
      <c r="EN47">
        <f t="shared" si="104"/>
        <v>55.12222222222222</v>
      </c>
      <c r="EO47">
        <v>0</v>
      </c>
      <c r="EP47">
        <v>0</v>
      </c>
      <c r="EQ47">
        <v>0</v>
      </c>
      <c r="ER47">
        <v>0</v>
      </c>
      <c r="ES47">
        <v>0</v>
      </c>
      <c r="ET47">
        <f t="shared" si="105"/>
        <v>0</v>
      </c>
      <c r="EU47">
        <v>0</v>
      </c>
      <c r="EV47">
        <f t="shared" si="106"/>
        <v>0</v>
      </c>
      <c r="EW47">
        <v>0</v>
      </c>
      <c r="EX47">
        <f t="shared" si="107"/>
        <v>0</v>
      </c>
      <c r="EY47">
        <v>0</v>
      </c>
      <c r="EZ47">
        <v>203.96</v>
      </c>
      <c r="FA47">
        <v>177.36</v>
      </c>
      <c r="FB47">
        <v>150.76</v>
      </c>
      <c r="FC47">
        <v>0</v>
      </c>
      <c r="FD47">
        <v>171.96</v>
      </c>
      <c r="FE47">
        <v>0</v>
      </c>
      <c r="FF47">
        <v>169.84</v>
      </c>
      <c r="FG47">
        <v>0</v>
      </c>
      <c r="FH47">
        <v>171.26</v>
      </c>
      <c r="FI47">
        <v>0</v>
      </c>
      <c r="FJ47">
        <v>9.1448096207564403E-2</v>
      </c>
      <c r="FK47">
        <v>9.1448096207564403E-2</v>
      </c>
      <c r="FL47">
        <v>9.1448096207564403E-2</v>
      </c>
      <c r="FM47">
        <v>8.8827433387272267E-2</v>
      </c>
      <c r="FN47">
        <v>8.8827433387272267E-2</v>
      </c>
      <c r="FO47">
        <v>8.8827433387272267E-2</v>
      </c>
      <c r="FP47">
        <v>8.8827433387272267E-2</v>
      </c>
      <c r="FQ47">
        <v>8.8827433387272267E-2</v>
      </c>
      <c r="FR47">
        <v>8.8827433387272267E-2</v>
      </c>
      <c r="FS47">
        <v>8.8827433387272267E-2</v>
      </c>
    </row>
    <row r="48" spans="1:175" x14ac:dyDescent="0.3">
      <c r="A48" s="83"/>
      <c r="B48" s="12" t="str">
        <f t="shared" ref="B48:B58" si="109">CONCATENATE("RPU_"&amp;D48)</f>
        <v>RPU_ON_SP198-HH150</v>
      </c>
      <c r="C48" s="11" t="s">
        <v>276</v>
      </c>
      <c r="D48" s="2" t="s">
        <v>54</v>
      </c>
      <c r="E48" s="9">
        <f t="shared" si="5"/>
        <v>40</v>
      </c>
      <c r="F48" s="13">
        <v>1</v>
      </c>
      <c r="G48" s="13" t="s">
        <v>55</v>
      </c>
      <c r="H48">
        <v>0</v>
      </c>
      <c r="I48" t="s">
        <v>12</v>
      </c>
      <c r="J48">
        <v>1</v>
      </c>
      <c r="K48">
        <v>0</v>
      </c>
      <c r="L48" s="10">
        <v>0</v>
      </c>
      <c r="M48">
        <v>0</v>
      </c>
      <c r="N48">
        <v>0</v>
      </c>
      <c r="O48">
        <f t="shared" si="108"/>
        <v>2000000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2188.7934195531479</v>
      </c>
      <c r="CI48">
        <v>2188.7934195531479</v>
      </c>
      <c r="CJ48">
        <v>2188.7934195531479</v>
      </c>
      <c r="CK48">
        <v>2032.4510324422088</v>
      </c>
      <c r="CL48">
        <v>2032.4510324422088</v>
      </c>
      <c r="CM48">
        <v>2032.4510324422088</v>
      </c>
      <c r="CN48">
        <v>1915.1942421090046</v>
      </c>
      <c r="CO48">
        <v>1876.1086453312696</v>
      </c>
      <c r="CP48">
        <v>1876.1086453312696</v>
      </c>
      <c r="CQ48">
        <v>1876.1086453312696</v>
      </c>
      <c r="CR48">
        <v>14.599060000000001</v>
      </c>
      <c r="CS48">
        <v>14.599060000000001</v>
      </c>
      <c r="CT48">
        <v>14.599060000000001</v>
      </c>
      <c r="CU48">
        <v>13.139154</v>
      </c>
      <c r="CV48">
        <v>13.139154000000001</v>
      </c>
      <c r="CW48">
        <v>13.139154000000001</v>
      </c>
      <c r="CX48">
        <v>12.088021680000002</v>
      </c>
      <c r="CY48">
        <v>11.8252386</v>
      </c>
      <c r="CZ48">
        <v>11.8252386</v>
      </c>
      <c r="DA48">
        <v>11.8252386</v>
      </c>
      <c r="DB48">
        <v>1.5641850000000001E-3</v>
      </c>
      <c r="DC48">
        <v>1.5641850000000001E-3</v>
      </c>
      <c r="DD48">
        <v>1.5641850000000001E-3</v>
      </c>
      <c r="DE48">
        <v>1.4077665000000001E-3</v>
      </c>
      <c r="DF48">
        <v>1.4077665000000001E-3</v>
      </c>
      <c r="DG48">
        <v>1.4077664999999999E-3</v>
      </c>
      <c r="DH48">
        <v>1.2930596E-3</v>
      </c>
      <c r="DI48">
        <v>1.2722038E-3</v>
      </c>
      <c r="DJ48">
        <v>1.2722038E-3</v>
      </c>
      <c r="DK48">
        <v>1.2722038E-3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 s="16">
        <v>55.12222222222222</v>
      </c>
      <c r="EG48" s="16">
        <v>55.12222222222222</v>
      </c>
      <c r="EH48" s="16">
        <v>55.12222222222222</v>
      </c>
      <c r="EI48">
        <v>0</v>
      </c>
      <c r="EJ48">
        <f t="shared" si="102"/>
        <v>55.12222222222222</v>
      </c>
      <c r="EK48">
        <v>0</v>
      </c>
      <c r="EL48">
        <f t="shared" si="103"/>
        <v>55.12222222222222</v>
      </c>
      <c r="EM48">
        <v>0</v>
      </c>
      <c r="EN48">
        <f t="shared" si="104"/>
        <v>55.12222222222222</v>
      </c>
      <c r="EO48">
        <v>0</v>
      </c>
      <c r="EP48">
        <v>0</v>
      </c>
      <c r="EQ48">
        <v>0</v>
      </c>
      <c r="ER48">
        <v>0</v>
      </c>
      <c r="ES48">
        <v>0</v>
      </c>
      <c r="ET48">
        <f t="shared" si="105"/>
        <v>0</v>
      </c>
      <c r="EU48">
        <v>0</v>
      </c>
      <c r="EV48">
        <f t="shared" si="106"/>
        <v>0</v>
      </c>
      <c r="EW48">
        <v>0</v>
      </c>
      <c r="EX48">
        <f t="shared" si="107"/>
        <v>0</v>
      </c>
      <c r="EY48">
        <v>0</v>
      </c>
      <c r="EZ48">
        <v>203.96</v>
      </c>
      <c r="FA48">
        <v>177.36</v>
      </c>
      <c r="FB48">
        <v>150.76</v>
      </c>
      <c r="FC48">
        <v>0</v>
      </c>
      <c r="FD48">
        <v>171.96</v>
      </c>
      <c r="FE48">
        <v>0</v>
      </c>
      <c r="FF48">
        <v>169.84</v>
      </c>
      <c r="FG48">
        <v>0</v>
      </c>
      <c r="FH48">
        <v>171.26</v>
      </c>
      <c r="FI48">
        <v>0</v>
      </c>
      <c r="FJ48">
        <v>9.1448096207564403E-2</v>
      </c>
      <c r="FK48">
        <v>9.1448096207564403E-2</v>
      </c>
      <c r="FL48">
        <v>9.1448096207564403E-2</v>
      </c>
      <c r="FM48">
        <v>8.8827433387272267E-2</v>
      </c>
      <c r="FN48">
        <v>8.8827433387272267E-2</v>
      </c>
      <c r="FO48">
        <v>8.8827433387272267E-2</v>
      </c>
      <c r="FP48">
        <v>8.8827433387272267E-2</v>
      </c>
      <c r="FQ48">
        <v>8.8827433387272267E-2</v>
      </c>
      <c r="FR48">
        <v>8.8827433387272267E-2</v>
      </c>
      <c r="FS48">
        <v>8.8827433387272267E-2</v>
      </c>
    </row>
    <row r="49" spans="1:175" x14ac:dyDescent="0.3">
      <c r="A49" s="83"/>
      <c r="B49" s="12" t="str">
        <f t="shared" si="109"/>
        <v>RPU_ON_SP237-HH100</v>
      </c>
      <c r="C49" s="11" t="s">
        <v>276</v>
      </c>
      <c r="D49" s="2" t="s">
        <v>56</v>
      </c>
      <c r="E49" s="9">
        <f t="shared" si="5"/>
        <v>41</v>
      </c>
      <c r="F49" s="13">
        <v>1</v>
      </c>
      <c r="G49" s="13" t="s">
        <v>57</v>
      </c>
      <c r="H49">
        <v>0</v>
      </c>
      <c r="I49" t="s">
        <v>12</v>
      </c>
      <c r="J49">
        <v>1</v>
      </c>
      <c r="K49">
        <v>0</v>
      </c>
      <c r="L49" s="10">
        <v>0</v>
      </c>
      <c r="M49">
        <v>0</v>
      </c>
      <c r="N49">
        <v>0</v>
      </c>
      <c r="O49">
        <f t="shared" si="108"/>
        <v>2000000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1554.7627916706663</v>
      </c>
      <c r="CI49">
        <v>1554.7627916706663</v>
      </c>
      <c r="CJ49">
        <v>1554.7627916706663</v>
      </c>
      <c r="CK49">
        <v>1443.7083065513327</v>
      </c>
      <c r="CL49">
        <v>1443.7083065513327</v>
      </c>
      <c r="CM49">
        <v>1443.7083065513327</v>
      </c>
      <c r="CN49">
        <v>1360.4174427118328</v>
      </c>
      <c r="CO49">
        <v>1332.6538214319989</v>
      </c>
      <c r="CP49">
        <v>1332.6538214319989</v>
      </c>
      <c r="CQ49">
        <v>1332.6538214319989</v>
      </c>
      <c r="CR49">
        <v>14.599060000000001</v>
      </c>
      <c r="CS49">
        <v>14.599060000000001</v>
      </c>
      <c r="CT49">
        <v>14.599060000000001</v>
      </c>
      <c r="CU49">
        <v>13.139154</v>
      </c>
      <c r="CV49">
        <v>13.139154000000001</v>
      </c>
      <c r="CW49">
        <v>13.139154000000001</v>
      </c>
      <c r="CX49">
        <v>12.088021680000002</v>
      </c>
      <c r="CY49">
        <v>11.8252386</v>
      </c>
      <c r="CZ49">
        <v>11.8252386</v>
      </c>
      <c r="DA49">
        <v>11.8252386</v>
      </c>
      <c r="DB49">
        <v>1.5641850000000001E-3</v>
      </c>
      <c r="DC49">
        <v>1.5641850000000001E-3</v>
      </c>
      <c r="DD49">
        <v>1.5641850000000001E-3</v>
      </c>
      <c r="DE49">
        <v>1.4077665000000001E-3</v>
      </c>
      <c r="DF49">
        <v>1.4077665000000001E-3</v>
      </c>
      <c r="DG49">
        <v>1.4077664999999999E-3</v>
      </c>
      <c r="DH49">
        <v>1.2930596E-3</v>
      </c>
      <c r="DI49">
        <v>1.2722038E-3</v>
      </c>
      <c r="DJ49">
        <v>1.2722038E-3</v>
      </c>
      <c r="DK49">
        <v>1.2722038E-3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 s="16">
        <v>55.12222222222222</v>
      </c>
      <c r="EG49" s="16">
        <v>55.12222222222222</v>
      </c>
      <c r="EH49" s="16">
        <v>55.12222222222222</v>
      </c>
      <c r="EI49">
        <v>0</v>
      </c>
      <c r="EJ49">
        <f t="shared" si="102"/>
        <v>55.12222222222222</v>
      </c>
      <c r="EK49">
        <v>0</v>
      </c>
      <c r="EL49">
        <f t="shared" si="103"/>
        <v>55.12222222222222</v>
      </c>
      <c r="EM49">
        <v>0</v>
      </c>
      <c r="EN49">
        <f t="shared" si="104"/>
        <v>55.12222222222222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si="105"/>
        <v>0</v>
      </c>
      <c r="EU49">
        <v>0</v>
      </c>
      <c r="EV49">
        <f t="shared" si="106"/>
        <v>0</v>
      </c>
      <c r="EW49">
        <v>0</v>
      </c>
      <c r="EX49">
        <f t="shared" si="107"/>
        <v>0</v>
      </c>
      <c r="EY49">
        <v>0</v>
      </c>
      <c r="EZ49">
        <v>203.96</v>
      </c>
      <c r="FA49">
        <v>177.36</v>
      </c>
      <c r="FB49">
        <v>150.76</v>
      </c>
      <c r="FC49">
        <v>0</v>
      </c>
      <c r="FD49">
        <v>171.96</v>
      </c>
      <c r="FE49">
        <v>0</v>
      </c>
      <c r="FF49">
        <v>169.84</v>
      </c>
      <c r="FG49">
        <v>0</v>
      </c>
      <c r="FH49">
        <v>171.26</v>
      </c>
      <c r="FI49">
        <v>0</v>
      </c>
      <c r="FJ49">
        <v>9.1448096207564403E-2</v>
      </c>
      <c r="FK49">
        <v>9.1448096207564403E-2</v>
      </c>
      <c r="FL49">
        <v>9.1448096207564403E-2</v>
      </c>
      <c r="FM49">
        <v>8.8827433387272267E-2</v>
      </c>
      <c r="FN49">
        <v>8.8827433387272267E-2</v>
      </c>
      <c r="FO49">
        <v>8.8827433387272267E-2</v>
      </c>
      <c r="FP49">
        <v>8.8827433387272267E-2</v>
      </c>
      <c r="FQ49">
        <v>8.8827433387272267E-2</v>
      </c>
      <c r="FR49">
        <v>8.8827433387272267E-2</v>
      </c>
      <c r="FS49">
        <v>8.8827433387272267E-2</v>
      </c>
    </row>
    <row r="50" spans="1:175" x14ac:dyDescent="0.3">
      <c r="A50" s="83"/>
      <c r="B50" s="12" t="str">
        <f t="shared" si="109"/>
        <v>RPU_ON_SP237-HH150</v>
      </c>
      <c r="C50" s="11" t="s">
        <v>276</v>
      </c>
      <c r="D50" s="2" t="s">
        <v>58</v>
      </c>
      <c r="E50" s="9">
        <f t="shared" si="5"/>
        <v>42</v>
      </c>
      <c r="F50" s="13">
        <v>1</v>
      </c>
      <c r="G50" s="13" t="s">
        <v>59</v>
      </c>
      <c r="H50">
        <v>0</v>
      </c>
      <c r="I50" t="s">
        <v>12</v>
      </c>
      <c r="J50">
        <v>1</v>
      </c>
      <c r="K50">
        <v>0</v>
      </c>
      <c r="L50" s="10">
        <v>0</v>
      </c>
      <c r="M50">
        <v>0</v>
      </c>
      <c r="N50">
        <v>0</v>
      </c>
      <c r="O50">
        <f t="shared" si="108"/>
        <v>2000000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1947.4738868244795</v>
      </c>
      <c r="CI50">
        <v>1947.4738868244795</v>
      </c>
      <c r="CJ50">
        <v>1947.4738868244795</v>
      </c>
      <c r="CK50">
        <v>1808.3686091941595</v>
      </c>
      <c r="CL50">
        <v>1808.3686091941595</v>
      </c>
      <c r="CM50">
        <v>1808.3686091941595</v>
      </c>
      <c r="CN50">
        <v>1704.0396509714192</v>
      </c>
      <c r="CO50">
        <v>1669.2633315638391</v>
      </c>
      <c r="CP50">
        <v>1669.2633315638391</v>
      </c>
      <c r="CQ50">
        <v>1669.2633315638391</v>
      </c>
      <c r="CR50">
        <v>14.599060000000001</v>
      </c>
      <c r="CS50">
        <v>14.599060000000001</v>
      </c>
      <c r="CT50">
        <v>14.599060000000001</v>
      </c>
      <c r="CU50">
        <v>13.139154</v>
      </c>
      <c r="CV50">
        <v>13.139154000000001</v>
      </c>
      <c r="CW50">
        <v>13.139154000000001</v>
      </c>
      <c r="CX50">
        <v>12.088021680000002</v>
      </c>
      <c r="CY50">
        <v>11.8252386</v>
      </c>
      <c r="CZ50">
        <v>11.8252386</v>
      </c>
      <c r="DA50">
        <v>11.8252386</v>
      </c>
      <c r="DB50">
        <v>1.5641850000000001E-3</v>
      </c>
      <c r="DC50">
        <v>1.5641850000000001E-3</v>
      </c>
      <c r="DD50">
        <v>1.5641850000000001E-3</v>
      </c>
      <c r="DE50">
        <v>1.4077665000000001E-3</v>
      </c>
      <c r="DF50">
        <v>1.4077665000000001E-3</v>
      </c>
      <c r="DG50">
        <v>1.4077664999999999E-3</v>
      </c>
      <c r="DH50">
        <v>1.2930596E-3</v>
      </c>
      <c r="DI50">
        <v>1.2722038E-3</v>
      </c>
      <c r="DJ50">
        <v>1.2722038E-3</v>
      </c>
      <c r="DK50">
        <v>1.2722038E-3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 s="16">
        <v>55.12222222222222</v>
      </c>
      <c r="EG50" s="16">
        <v>55.12222222222222</v>
      </c>
      <c r="EH50" s="16">
        <v>55.12222222222222</v>
      </c>
      <c r="EI50">
        <v>0</v>
      </c>
      <c r="EJ50">
        <f t="shared" si="102"/>
        <v>55.12222222222222</v>
      </c>
      <c r="EK50">
        <v>0</v>
      </c>
      <c r="EL50">
        <f t="shared" si="103"/>
        <v>55.12222222222222</v>
      </c>
      <c r="EM50">
        <v>0</v>
      </c>
      <c r="EN50">
        <f t="shared" si="104"/>
        <v>55.12222222222222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105"/>
        <v>0</v>
      </c>
      <c r="EU50">
        <v>0</v>
      </c>
      <c r="EV50">
        <f t="shared" si="106"/>
        <v>0</v>
      </c>
      <c r="EW50">
        <v>0</v>
      </c>
      <c r="EX50">
        <f t="shared" si="107"/>
        <v>0</v>
      </c>
      <c r="EY50">
        <v>0</v>
      </c>
      <c r="EZ50">
        <v>203.96</v>
      </c>
      <c r="FA50">
        <v>177.36</v>
      </c>
      <c r="FB50">
        <v>150.76</v>
      </c>
      <c r="FC50">
        <v>0</v>
      </c>
      <c r="FD50">
        <v>171.96</v>
      </c>
      <c r="FE50">
        <v>0</v>
      </c>
      <c r="FF50">
        <v>169.84</v>
      </c>
      <c r="FG50">
        <v>0</v>
      </c>
      <c r="FH50">
        <v>171.26</v>
      </c>
      <c r="FI50">
        <v>0</v>
      </c>
      <c r="FJ50">
        <v>9.1448096207564403E-2</v>
      </c>
      <c r="FK50">
        <v>9.1448096207564403E-2</v>
      </c>
      <c r="FL50">
        <v>9.1448096207564403E-2</v>
      </c>
      <c r="FM50">
        <v>8.8827433387272267E-2</v>
      </c>
      <c r="FN50">
        <v>8.8827433387272267E-2</v>
      </c>
      <c r="FO50">
        <v>8.8827433387272267E-2</v>
      </c>
      <c r="FP50">
        <v>8.8827433387272267E-2</v>
      </c>
      <c r="FQ50">
        <v>8.8827433387272267E-2</v>
      </c>
      <c r="FR50">
        <v>8.8827433387272267E-2</v>
      </c>
      <c r="FS50">
        <v>8.8827433387272267E-2</v>
      </c>
    </row>
    <row r="51" spans="1:175" x14ac:dyDescent="0.3">
      <c r="A51" s="83"/>
      <c r="B51" s="12" t="str">
        <f t="shared" si="109"/>
        <v>RPU_ON_SP277-HH100</v>
      </c>
      <c r="C51" s="11" t="s">
        <v>276</v>
      </c>
      <c r="D51" s="2" t="s">
        <v>60</v>
      </c>
      <c r="E51" s="9">
        <f t="shared" si="5"/>
        <v>43</v>
      </c>
      <c r="F51" s="13">
        <v>1</v>
      </c>
      <c r="G51" s="13" t="s">
        <v>61</v>
      </c>
      <c r="H51">
        <v>0</v>
      </c>
      <c r="I51" t="s">
        <v>12</v>
      </c>
      <c r="J51">
        <v>1</v>
      </c>
      <c r="K51">
        <v>0</v>
      </c>
      <c r="L51" s="10">
        <v>0</v>
      </c>
      <c r="M51">
        <v>0</v>
      </c>
      <c r="N51">
        <v>0</v>
      </c>
      <c r="O51">
        <f t="shared" si="108"/>
        <v>2000000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1414.9828559823698</v>
      </c>
      <c r="CI51">
        <v>1414.9828559823698</v>
      </c>
      <c r="CJ51">
        <v>1414.9828559823698</v>
      </c>
      <c r="CK51">
        <v>1313.9126519836288</v>
      </c>
      <c r="CL51">
        <v>1313.9126519836288</v>
      </c>
      <c r="CM51">
        <v>1313.9126519836288</v>
      </c>
      <c r="CN51">
        <v>1238.1099989845734</v>
      </c>
      <c r="CO51">
        <v>1212.8424479848879</v>
      </c>
      <c r="CP51">
        <v>1212.8424479848879</v>
      </c>
      <c r="CQ51">
        <v>1212.8424479848879</v>
      </c>
      <c r="CR51">
        <v>14.599060000000001</v>
      </c>
      <c r="CS51">
        <v>14.599060000000001</v>
      </c>
      <c r="CT51">
        <v>14.599060000000001</v>
      </c>
      <c r="CU51">
        <v>13.139154</v>
      </c>
      <c r="CV51">
        <v>13.139154000000001</v>
      </c>
      <c r="CW51">
        <v>13.139154000000001</v>
      </c>
      <c r="CX51">
        <v>12.088021680000002</v>
      </c>
      <c r="CY51">
        <v>11.8252386</v>
      </c>
      <c r="CZ51">
        <v>11.8252386</v>
      </c>
      <c r="DA51">
        <v>11.8252386</v>
      </c>
      <c r="DB51">
        <v>1.5641850000000001E-3</v>
      </c>
      <c r="DC51">
        <v>1.5641850000000001E-3</v>
      </c>
      <c r="DD51">
        <v>1.5641850000000001E-3</v>
      </c>
      <c r="DE51">
        <v>1.4077665000000001E-3</v>
      </c>
      <c r="DF51">
        <v>1.4077665000000001E-3</v>
      </c>
      <c r="DG51">
        <v>1.4077664999999999E-3</v>
      </c>
      <c r="DH51">
        <v>1.2930596E-3</v>
      </c>
      <c r="DI51">
        <v>1.2722038E-3</v>
      </c>
      <c r="DJ51">
        <v>1.2722038E-3</v>
      </c>
      <c r="DK51">
        <v>1.2722038E-3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55.12222222222222</v>
      </c>
      <c r="EG51" s="16">
        <v>55.12222222222222</v>
      </c>
      <c r="EH51" s="16">
        <v>55.12222222222222</v>
      </c>
      <c r="EI51">
        <v>0</v>
      </c>
      <c r="EJ51">
        <f t="shared" si="102"/>
        <v>55.12222222222222</v>
      </c>
      <c r="EK51">
        <v>0</v>
      </c>
      <c r="EL51">
        <f t="shared" si="103"/>
        <v>55.12222222222222</v>
      </c>
      <c r="EM51">
        <v>0</v>
      </c>
      <c r="EN51">
        <f t="shared" si="104"/>
        <v>55.12222222222222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105"/>
        <v>0</v>
      </c>
      <c r="EU51">
        <v>0</v>
      </c>
      <c r="EV51">
        <f t="shared" si="106"/>
        <v>0</v>
      </c>
      <c r="EW51">
        <v>0</v>
      </c>
      <c r="EX51">
        <f t="shared" si="107"/>
        <v>0</v>
      </c>
      <c r="EY51">
        <v>0</v>
      </c>
      <c r="EZ51">
        <v>203.96</v>
      </c>
      <c r="FA51">
        <v>177.36</v>
      </c>
      <c r="FB51">
        <v>150.76</v>
      </c>
      <c r="FC51">
        <v>0</v>
      </c>
      <c r="FD51">
        <v>171.96</v>
      </c>
      <c r="FE51">
        <v>0</v>
      </c>
      <c r="FF51">
        <v>169.84</v>
      </c>
      <c r="FG51">
        <v>0</v>
      </c>
      <c r="FH51">
        <v>171.26</v>
      </c>
      <c r="FI51">
        <v>0</v>
      </c>
      <c r="FJ51">
        <v>9.1448096207564403E-2</v>
      </c>
      <c r="FK51">
        <v>9.1448096207564403E-2</v>
      </c>
      <c r="FL51">
        <v>9.1448096207564403E-2</v>
      </c>
      <c r="FM51">
        <v>8.8827433387272267E-2</v>
      </c>
      <c r="FN51">
        <v>8.8827433387272267E-2</v>
      </c>
      <c r="FO51">
        <v>8.8827433387272267E-2</v>
      </c>
      <c r="FP51">
        <v>8.8827433387272267E-2</v>
      </c>
      <c r="FQ51">
        <v>8.8827433387272267E-2</v>
      </c>
      <c r="FR51">
        <v>8.8827433387272267E-2</v>
      </c>
      <c r="FS51">
        <v>8.8827433387272267E-2</v>
      </c>
    </row>
    <row r="52" spans="1:175" x14ac:dyDescent="0.3">
      <c r="A52" s="83"/>
      <c r="B52" s="12" t="str">
        <f t="shared" si="109"/>
        <v>RPU_ON_SP277-HH150</v>
      </c>
      <c r="C52" s="11" t="s">
        <v>276</v>
      </c>
      <c r="D52" s="2" t="s">
        <v>62</v>
      </c>
      <c r="E52" s="9">
        <f t="shared" si="5"/>
        <v>44</v>
      </c>
      <c r="F52" s="13">
        <v>1</v>
      </c>
      <c r="G52" s="13" t="s">
        <v>63</v>
      </c>
      <c r="H52">
        <v>0</v>
      </c>
      <c r="I52" t="s">
        <v>12</v>
      </c>
      <c r="J52">
        <v>1</v>
      </c>
      <c r="K52">
        <v>0</v>
      </c>
      <c r="L52" s="10">
        <v>0</v>
      </c>
      <c r="M52">
        <v>0</v>
      </c>
      <c r="N52">
        <v>0</v>
      </c>
      <c r="O52">
        <f t="shared" si="108"/>
        <v>2000000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1807.6939511361822</v>
      </c>
      <c r="CI52">
        <v>1807.6939511361822</v>
      </c>
      <c r="CJ52">
        <v>1807.6939511361822</v>
      </c>
      <c r="CK52">
        <v>1678.5729546264547</v>
      </c>
      <c r="CL52">
        <v>1678.5729546264547</v>
      </c>
      <c r="CM52">
        <v>1678.5729546264547</v>
      </c>
      <c r="CN52">
        <v>1581.7322072441593</v>
      </c>
      <c r="CO52">
        <v>1549.4519581167272</v>
      </c>
      <c r="CP52">
        <v>1549.4519581167272</v>
      </c>
      <c r="CQ52">
        <v>1549.4519581167272</v>
      </c>
      <c r="CR52">
        <v>14.599060000000001</v>
      </c>
      <c r="CS52">
        <v>14.599060000000001</v>
      </c>
      <c r="CT52">
        <v>14.599060000000001</v>
      </c>
      <c r="CU52">
        <v>13.139154</v>
      </c>
      <c r="CV52">
        <v>13.139154000000001</v>
      </c>
      <c r="CW52">
        <v>13.139154000000001</v>
      </c>
      <c r="CX52">
        <v>12.088021680000002</v>
      </c>
      <c r="CY52">
        <v>11.8252386</v>
      </c>
      <c r="CZ52">
        <v>11.8252386</v>
      </c>
      <c r="DA52">
        <v>11.8252386</v>
      </c>
      <c r="DB52">
        <v>1.5641850000000001E-3</v>
      </c>
      <c r="DC52">
        <v>1.5641850000000001E-3</v>
      </c>
      <c r="DD52">
        <v>1.5641850000000001E-3</v>
      </c>
      <c r="DE52">
        <v>1.4077665000000001E-3</v>
      </c>
      <c r="DF52">
        <v>1.4077665000000001E-3</v>
      </c>
      <c r="DG52">
        <v>1.4077664999999999E-3</v>
      </c>
      <c r="DH52">
        <v>1.2930596E-3</v>
      </c>
      <c r="DI52">
        <v>1.2722038E-3</v>
      </c>
      <c r="DJ52">
        <v>1.2722038E-3</v>
      </c>
      <c r="DK52">
        <v>1.2722038E-3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55.12222222222222</v>
      </c>
      <c r="EG52" s="16">
        <v>55.12222222222222</v>
      </c>
      <c r="EH52" s="16">
        <v>55.12222222222222</v>
      </c>
      <c r="EI52">
        <v>0</v>
      </c>
      <c r="EJ52">
        <f t="shared" si="102"/>
        <v>55.12222222222222</v>
      </c>
      <c r="EK52">
        <v>0</v>
      </c>
      <c r="EL52">
        <f t="shared" si="103"/>
        <v>55.12222222222222</v>
      </c>
      <c r="EM52">
        <v>0</v>
      </c>
      <c r="EN52">
        <f t="shared" si="104"/>
        <v>55.12222222222222</v>
      </c>
      <c r="EO52">
        <v>0</v>
      </c>
      <c r="EP52">
        <v>0</v>
      </c>
      <c r="EQ52">
        <v>0</v>
      </c>
      <c r="ER52">
        <v>0</v>
      </c>
      <c r="ES52">
        <v>0</v>
      </c>
      <c r="ET52">
        <f t="shared" si="105"/>
        <v>0</v>
      </c>
      <c r="EU52">
        <v>0</v>
      </c>
      <c r="EV52">
        <f t="shared" si="106"/>
        <v>0</v>
      </c>
      <c r="EW52">
        <v>0</v>
      </c>
      <c r="EX52">
        <f t="shared" si="107"/>
        <v>0</v>
      </c>
      <c r="EY52">
        <v>0</v>
      </c>
      <c r="EZ52">
        <v>203.96</v>
      </c>
      <c r="FA52">
        <v>177.36</v>
      </c>
      <c r="FB52">
        <v>150.76</v>
      </c>
      <c r="FC52">
        <v>0</v>
      </c>
      <c r="FD52">
        <v>171.96</v>
      </c>
      <c r="FE52">
        <v>0</v>
      </c>
      <c r="FF52">
        <v>169.84</v>
      </c>
      <c r="FG52">
        <v>0</v>
      </c>
      <c r="FH52">
        <v>171.26</v>
      </c>
      <c r="FI52">
        <v>0</v>
      </c>
      <c r="FJ52">
        <v>9.1448096207564403E-2</v>
      </c>
      <c r="FK52">
        <v>9.1448096207564403E-2</v>
      </c>
      <c r="FL52">
        <v>9.1448096207564403E-2</v>
      </c>
      <c r="FM52">
        <v>8.8827433387272267E-2</v>
      </c>
      <c r="FN52">
        <v>8.8827433387272267E-2</v>
      </c>
      <c r="FO52">
        <v>8.8827433387272267E-2</v>
      </c>
      <c r="FP52">
        <v>8.8827433387272267E-2</v>
      </c>
      <c r="FQ52">
        <v>8.8827433387272267E-2</v>
      </c>
      <c r="FR52">
        <v>8.8827433387272267E-2</v>
      </c>
      <c r="FS52">
        <v>8.8827433387272267E-2</v>
      </c>
    </row>
    <row r="53" spans="1:175" x14ac:dyDescent="0.3">
      <c r="A53" s="83"/>
      <c r="B53" s="12" t="str">
        <f t="shared" si="109"/>
        <v>RPU_ON_SP321-HH100</v>
      </c>
      <c r="C53" s="11" t="s">
        <v>276</v>
      </c>
      <c r="D53" s="2" t="s">
        <v>64</v>
      </c>
      <c r="E53" s="9">
        <f t="shared" si="5"/>
        <v>45</v>
      </c>
      <c r="F53" s="13">
        <v>1</v>
      </c>
      <c r="G53" s="13" t="s">
        <v>65</v>
      </c>
      <c r="H53">
        <v>0</v>
      </c>
      <c r="I53" t="s">
        <v>12</v>
      </c>
      <c r="J53">
        <v>1</v>
      </c>
      <c r="K53">
        <v>0</v>
      </c>
      <c r="L53" s="10">
        <v>0</v>
      </c>
      <c r="M53">
        <v>0</v>
      </c>
      <c r="N53">
        <v>0</v>
      </c>
      <c r="O53">
        <f t="shared" si="108"/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1301.2947800734096</v>
      </c>
      <c r="CI53">
        <v>1301.2947800734096</v>
      </c>
      <c r="CJ53">
        <v>1301.2947800734096</v>
      </c>
      <c r="CK53">
        <v>1208.3451529253089</v>
      </c>
      <c r="CL53">
        <v>1208.3451529253089</v>
      </c>
      <c r="CM53">
        <v>1208.3451529253089</v>
      </c>
      <c r="CN53">
        <v>1138.6329325642334</v>
      </c>
      <c r="CO53">
        <v>1115.3955257772077</v>
      </c>
      <c r="CP53">
        <v>1115.3955257772077</v>
      </c>
      <c r="CQ53">
        <v>1115.3955257772077</v>
      </c>
      <c r="CR53">
        <v>14.599060000000001</v>
      </c>
      <c r="CS53">
        <v>14.599060000000001</v>
      </c>
      <c r="CT53">
        <v>14.599060000000001</v>
      </c>
      <c r="CU53">
        <v>13.139154</v>
      </c>
      <c r="CV53">
        <v>13.139154000000001</v>
      </c>
      <c r="CW53">
        <v>13.139154000000001</v>
      </c>
      <c r="CX53">
        <v>12.088021680000002</v>
      </c>
      <c r="CY53">
        <v>11.8252386</v>
      </c>
      <c r="CZ53">
        <v>11.8252386</v>
      </c>
      <c r="DA53">
        <v>11.8252386</v>
      </c>
      <c r="DB53">
        <v>1.5641850000000001E-3</v>
      </c>
      <c r="DC53">
        <v>1.5641850000000001E-3</v>
      </c>
      <c r="DD53">
        <v>1.5641850000000001E-3</v>
      </c>
      <c r="DE53">
        <v>1.4077665000000001E-3</v>
      </c>
      <c r="DF53">
        <v>1.4077665000000001E-3</v>
      </c>
      <c r="DG53">
        <v>1.4077664999999999E-3</v>
      </c>
      <c r="DH53">
        <v>1.2930596E-3</v>
      </c>
      <c r="DI53">
        <v>1.2722038E-3</v>
      </c>
      <c r="DJ53">
        <v>1.2722038E-3</v>
      </c>
      <c r="DK53">
        <v>1.2722038E-3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55.12222222222222</v>
      </c>
      <c r="EG53" s="16">
        <v>55.12222222222222</v>
      </c>
      <c r="EH53" s="16">
        <v>55.12222222222222</v>
      </c>
      <c r="EI53">
        <v>0</v>
      </c>
      <c r="EJ53">
        <f t="shared" si="102"/>
        <v>55.12222222222222</v>
      </c>
      <c r="EK53">
        <v>0</v>
      </c>
      <c r="EL53">
        <f t="shared" si="103"/>
        <v>55.12222222222222</v>
      </c>
      <c r="EM53">
        <v>0</v>
      </c>
      <c r="EN53">
        <f t="shared" si="104"/>
        <v>55.12222222222222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si="105"/>
        <v>0</v>
      </c>
      <c r="EU53">
        <v>0</v>
      </c>
      <c r="EV53">
        <f t="shared" si="106"/>
        <v>0</v>
      </c>
      <c r="EW53">
        <v>0</v>
      </c>
      <c r="EX53">
        <f t="shared" si="107"/>
        <v>0</v>
      </c>
      <c r="EY53">
        <v>0</v>
      </c>
      <c r="EZ53">
        <v>203.96</v>
      </c>
      <c r="FA53">
        <v>177.36</v>
      </c>
      <c r="FB53">
        <v>150.76</v>
      </c>
      <c r="FC53">
        <v>0</v>
      </c>
      <c r="FD53">
        <v>171.96</v>
      </c>
      <c r="FE53">
        <v>0</v>
      </c>
      <c r="FF53">
        <v>169.84</v>
      </c>
      <c r="FG53">
        <v>0</v>
      </c>
      <c r="FH53">
        <v>171.26</v>
      </c>
      <c r="FI53">
        <v>0</v>
      </c>
      <c r="FJ53">
        <v>9.1448096207564403E-2</v>
      </c>
      <c r="FK53">
        <v>9.1448096207564403E-2</v>
      </c>
      <c r="FL53">
        <v>9.1448096207564403E-2</v>
      </c>
      <c r="FM53">
        <v>8.8827433387272267E-2</v>
      </c>
      <c r="FN53">
        <v>8.8827433387272267E-2</v>
      </c>
      <c r="FO53">
        <v>8.8827433387272267E-2</v>
      </c>
      <c r="FP53">
        <v>8.8827433387272267E-2</v>
      </c>
      <c r="FQ53">
        <v>8.8827433387272267E-2</v>
      </c>
      <c r="FR53">
        <v>8.8827433387272267E-2</v>
      </c>
      <c r="FS53">
        <v>8.8827433387272267E-2</v>
      </c>
    </row>
    <row r="54" spans="1:175" x14ac:dyDescent="0.3">
      <c r="A54" s="83"/>
      <c r="B54" s="12" t="str">
        <f t="shared" si="109"/>
        <v>RPU_ON_SP321-HH150</v>
      </c>
      <c r="C54" s="11" t="s">
        <v>276</v>
      </c>
      <c r="D54" s="2" t="s">
        <v>66</v>
      </c>
      <c r="E54" s="9">
        <f t="shared" si="5"/>
        <v>46</v>
      </c>
      <c r="F54" s="13">
        <v>1</v>
      </c>
      <c r="G54" s="13" t="s">
        <v>67</v>
      </c>
      <c r="H54">
        <v>0</v>
      </c>
      <c r="I54" t="s">
        <v>12</v>
      </c>
      <c r="J54">
        <v>1</v>
      </c>
      <c r="K54">
        <v>0</v>
      </c>
      <c r="L54" s="10">
        <v>0</v>
      </c>
      <c r="M54">
        <v>0</v>
      </c>
      <c r="N54">
        <v>0</v>
      </c>
      <c r="O54">
        <f t="shared" si="108"/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1694.0063453254108</v>
      </c>
      <c r="CI54">
        <v>1694.0063453254108</v>
      </c>
      <c r="CJ54">
        <v>1694.0063453254108</v>
      </c>
      <c r="CK54">
        <v>1573.0058920878812</v>
      </c>
      <c r="CL54">
        <v>1573.0058920878812</v>
      </c>
      <c r="CM54">
        <v>1573.0058920878812</v>
      </c>
      <c r="CN54">
        <v>1482.2555521597342</v>
      </c>
      <c r="CO54">
        <v>1452.0054388503518</v>
      </c>
      <c r="CP54">
        <v>1452.0054388503518</v>
      </c>
      <c r="CQ54">
        <v>1452.0054388503518</v>
      </c>
      <c r="CR54">
        <v>14.599060000000001</v>
      </c>
      <c r="CS54">
        <v>14.599060000000001</v>
      </c>
      <c r="CT54">
        <v>14.599060000000001</v>
      </c>
      <c r="CU54">
        <v>13.139154</v>
      </c>
      <c r="CV54">
        <v>13.139154000000001</v>
      </c>
      <c r="CW54">
        <v>13.139154000000001</v>
      </c>
      <c r="CX54">
        <v>12.088021680000002</v>
      </c>
      <c r="CY54">
        <v>11.8252386</v>
      </c>
      <c r="CZ54">
        <v>11.8252386</v>
      </c>
      <c r="DA54">
        <v>11.8252386</v>
      </c>
      <c r="DB54">
        <v>1.5641850000000001E-3</v>
      </c>
      <c r="DC54">
        <v>1.5641850000000001E-3</v>
      </c>
      <c r="DD54">
        <v>1.5641850000000001E-3</v>
      </c>
      <c r="DE54">
        <v>1.4077665000000001E-3</v>
      </c>
      <c r="DF54">
        <v>1.4077665000000001E-3</v>
      </c>
      <c r="DG54">
        <v>1.4077664999999999E-3</v>
      </c>
      <c r="DH54">
        <v>1.2930596E-3</v>
      </c>
      <c r="DI54">
        <v>1.2722038E-3</v>
      </c>
      <c r="DJ54">
        <v>1.2722038E-3</v>
      </c>
      <c r="DK54">
        <v>1.2722038E-3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55.12222222222222</v>
      </c>
      <c r="EG54" s="16">
        <v>55.12222222222222</v>
      </c>
      <c r="EH54" s="16">
        <v>55.12222222222222</v>
      </c>
      <c r="EI54">
        <v>0</v>
      </c>
      <c r="EJ54">
        <f t="shared" si="102"/>
        <v>55.12222222222222</v>
      </c>
      <c r="EK54">
        <v>0</v>
      </c>
      <c r="EL54">
        <f t="shared" si="103"/>
        <v>55.12222222222222</v>
      </c>
      <c r="EM54">
        <v>0</v>
      </c>
      <c r="EN54">
        <f t="shared" si="104"/>
        <v>55.12222222222222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105"/>
        <v>0</v>
      </c>
      <c r="EU54">
        <v>0</v>
      </c>
      <c r="EV54">
        <f t="shared" si="106"/>
        <v>0</v>
      </c>
      <c r="EW54">
        <v>0</v>
      </c>
      <c r="EX54">
        <f t="shared" si="107"/>
        <v>0</v>
      </c>
      <c r="EY54">
        <v>0</v>
      </c>
      <c r="EZ54">
        <v>203.96</v>
      </c>
      <c r="FA54">
        <v>177.36</v>
      </c>
      <c r="FB54">
        <v>150.76</v>
      </c>
      <c r="FC54">
        <v>0</v>
      </c>
      <c r="FD54">
        <v>171.96</v>
      </c>
      <c r="FE54">
        <v>0</v>
      </c>
      <c r="FF54">
        <v>169.84</v>
      </c>
      <c r="FG54">
        <v>0</v>
      </c>
      <c r="FH54">
        <v>171.26</v>
      </c>
      <c r="FI54">
        <v>0</v>
      </c>
      <c r="FJ54">
        <v>9.1448096207564403E-2</v>
      </c>
      <c r="FK54">
        <v>9.1448096207564403E-2</v>
      </c>
      <c r="FL54">
        <v>9.1448096207564403E-2</v>
      </c>
      <c r="FM54">
        <v>8.8827433387272267E-2</v>
      </c>
      <c r="FN54">
        <v>8.8827433387272267E-2</v>
      </c>
      <c r="FO54">
        <v>8.8827433387272267E-2</v>
      </c>
      <c r="FP54">
        <v>8.8827433387272267E-2</v>
      </c>
      <c r="FQ54">
        <v>8.8827433387272267E-2</v>
      </c>
      <c r="FR54">
        <v>8.8827433387272267E-2</v>
      </c>
      <c r="FS54">
        <v>8.8827433387272267E-2</v>
      </c>
    </row>
    <row r="55" spans="1:175" x14ac:dyDescent="0.3">
      <c r="A55" s="83"/>
      <c r="B55" s="12" t="str">
        <f t="shared" si="109"/>
        <v>RPU_OFF_SP379-HH100</v>
      </c>
      <c r="C55" s="11" t="s">
        <v>276</v>
      </c>
      <c r="D55" s="2" t="s">
        <v>68</v>
      </c>
      <c r="E55" s="9">
        <f t="shared" si="5"/>
        <v>47</v>
      </c>
      <c r="F55" s="13">
        <v>1</v>
      </c>
      <c r="G55" s="13" t="s">
        <v>69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f t="shared" si="108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2205.1904479084506</v>
      </c>
      <c r="CI55">
        <v>2205.1904479084506</v>
      </c>
      <c r="CJ55">
        <v>2205.1904479084506</v>
      </c>
      <c r="CK55">
        <v>1998.1303119546053</v>
      </c>
      <c r="CL55">
        <v>1998.1303119546053</v>
      </c>
      <c r="CM55">
        <v>1998.1303119546053</v>
      </c>
      <c r="CN55">
        <v>1873.8942303822985</v>
      </c>
      <c r="CO55">
        <v>1842.8352099892215</v>
      </c>
      <c r="CP55">
        <v>1842.8352099892215</v>
      </c>
      <c r="CQ55">
        <v>1842.8352099892215</v>
      </c>
      <c r="CR55">
        <v>41.773124610000004</v>
      </c>
      <c r="CS55">
        <v>41.773124610000004</v>
      </c>
      <c r="CT55">
        <v>41.773124610000004</v>
      </c>
      <c r="CU55">
        <v>37.595707869999998</v>
      </c>
      <c r="CV55">
        <v>37.595707870000005</v>
      </c>
      <c r="CW55">
        <v>37.595707870000005</v>
      </c>
      <c r="CX55">
        <v>34.588301510000008</v>
      </c>
      <c r="CY55">
        <v>33.836449920000007</v>
      </c>
      <c r="CZ55">
        <v>33.836449920000007</v>
      </c>
      <c r="DA55">
        <v>33.83644992</v>
      </c>
      <c r="DB55">
        <v>3.1283700000000001E-3</v>
      </c>
      <c r="DC55">
        <v>3.1283700000000001E-3</v>
      </c>
      <c r="DD55">
        <v>3.1283700000000001E-3</v>
      </c>
      <c r="DE55">
        <v>2.8155330000000003E-3</v>
      </c>
      <c r="DF55">
        <v>2.8155330000000003E-3</v>
      </c>
      <c r="DG55">
        <v>2.8155329999999998E-3</v>
      </c>
      <c r="DH55">
        <v>2.6069750000000001E-3</v>
      </c>
      <c r="DI55">
        <v>2.5026960000000004E-3</v>
      </c>
      <c r="DJ55">
        <v>2.5026960000000004E-3</v>
      </c>
      <c r="DK55">
        <v>2.502696E-3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53.529999999999994</v>
      </c>
      <c r="EG55">
        <v>53.53</v>
      </c>
      <c r="EH55">
        <v>53.529999999999994</v>
      </c>
      <c r="EI55">
        <v>0</v>
      </c>
      <c r="EJ55">
        <f t="shared" si="102"/>
        <v>53.53</v>
      </c>
      <c r="EK55">
        <v>0</v>
      </c>
      <c r="EL55">
        <f t="shared" si="103"/>
        <v>53.53</v>
      </c>
      <c r="EM55">
        <v>0</v>
      </c>
      <c r="EN55">
        <f t="shared" si="104"/>
        <v>53.53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105"/>
        <v>0</v>
      </c>
      <c r="EU55">
        <v>0</v>
      </c>
      <c r="EV55">
        <f t="shared" si="106"/>
        <v>0</v>
      </c>
      <c r="EW55">
        <v>0</v>
      </c>
      <c r="EX55">
        <f t="shared" si="107"/>
        <v>0</v>
      </c>
      <c r="EY55">
        <v>0</v>
      </c>
      <c r="EZ55">
        <v>203.96</v>
      </c>
      <c r="FA55">
        <v>177.36</v>
      </c>
      <c r="FB55">
        <v>150.76</v>
      </c>
      <c r="FC55">
        <v>0</v>
      </c>
      <c r="FD55">
        <v>171.96</v>
      </c>
      <c r="FE55">
        <v>0</v>
      </c>
      <c r="FF55">
        <v>169.84</v>
      </c>
      <c r="FG55">
        <v>0</v>
      </c>
      <c r="FH55">
        <v>171.26</v>
      </c>
      <c r="FI55">
        <v>0</v>
      </c>
      <c r="FJ55">
        <v>9.1448096207564403E-2</v>
      </c>
      <c r="FK55">
        <v>9.1448096207564403E-2</v>
      </c>
      <c r="FL55">
        <v>9.1448096207564403E-2</v>
      </c>
      <c r="FM55">
        <v>8.8827433387272267E-2</v>
      </c>
      <c r="FN55">
        <v>8.8827433387272267E-2</v>
      </c>
      <c r="FO55">
        <v>8.8827433387272267E-2</v>
      </c>
      <c r="FP55">
        <v>8.8827433387272267E-2</v>
      </c>
      <c r="FQ55">
        <v>8.8827433387272267E-2</v>
      </c>
      <c r="FR55">
        <v>8.8827433387272267E-2</v>
      </c>
      <c r="FS55">
        <v>8.8827433387272267E-2</v>
      </c>
    </row>
    <row r="56" spans="1:175" x14ac:dyDescent="0.3">
      <c r="A56" s="83"/>
      <c r="B56" s="12" t="str">
        <f t="shared" si="109"/>
        <v>RPU_OFF_SP379-HH150</v>
      </c>
      <c r="C56" s="11" t="s">
        <v>276</v>
      </c>
      <c r="D56" s="2" t="s">
        <v>70</v>
      </c>
      <c r="E56" s="9">
        <f t="shared" si="5"/>
        <v>48</v>
      </c>
      <c r="F56" s="13">
        <v>1</v>
      </c>
      <c r="G56" s="13" t="s">
        <v>71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si="108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2534.6071744804217</v>
      </c>
      <c r="CI56">
        <v>2534.6071744804217</v>
      </c>
      <c r="CJ56">
        <v>2534.6071744804217</v>
      </c>
      <c r="CK56">
        <v>2296.6158904916497</v>
      </c>
      <c r="CL56">
        <v>2296.6158904916497</v>
      </c>
      <c r="CM56">
        <v>2296.6158904916497</v>
      </c>
      <c r="CN56">
        <v>2153.8211200983869</v>
      </c>
      <c r="CO56">
        <v>2118.1224275000709</v>
      </c>
      <c r="CP56">
        <v>2118.1224275000709</v>
      </c>
      <c r="CQ56">
        <v>2118.1224275000709</v>
      </c>
      <c r="CR56">
        <v>41.773124610000004</v>
      </c>
      <c r="CS56">
        <v>41.773124610000004</v>
      </c>
      <c r="CT56">
        <v>41.773124610000004</v>
      </c>
      <c r="CU56">
        <v>37.595707869999998</v>
      </c>
      <c r="CV56">
        <v>37.595707870000005</v>
      </c>
      <c r="CW56">
        <v>37.595707870000005</v>
      </c>
      <c r="CX56">
        <v>34.588301510000008</v>
      </c>
      <c r="CY56">
        <v>33.836449920000007</v>
      </c>
      <c r="CZ56">
        <v>33.836449920000007</v>
      </c>
      <c r="DA56">
        <v>33.83644992</v>
      </c>
      <c r="DB56">
        <v>3.1283700000000001E-3</v>
      </c>
      <c r="DC56">
        <v>3.1283700000000001E-3</v>
      </c>
      <c r="DD56">
        <v>3.1283700000000001E-3</v>
      </c>
      <c r="DE56">
        <v>2.8155330000000003E-3</v>
      </c>
      <c r="DF56">
        <v>2.8155330000000003E-3</v>
      </c>
      <c r="DG56">
        <v>2.8155329999999998E-3</v>
      </c>
      <c r="DH56">
        <v>2.6069750000000001E-3</v>
      </c>
      <c r="DI56">
        <v>2.5026960000000004E-3</v>
      </c>
      <c r="DJ56">
        <v>2.5026960000000004E-3</v>
      </c>
      <c r="DK56">
        <v>2.502696E-3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53.529999999999994</v>
      </c>
      <c r="EG56">
        <v>53.529999999999994</v>
      </c>
      <c r="EH56">
        <v>53.529999999999994</v>
      </c>
      <c r="EI56">
        <v>0</v>
      </c>
      <c r="EJ56">
        <f t="shared" si="102"/>
        <v>53.529999999999994</v>
      </c>
      <c r="EK56">
        <v>0</v>
      </c>
      <c r="EL56">
        <f t="shared" si="103"/>
        <v>53.529999999999994</v>
      </c>
      <c r="EM56">
        <v>0</v>
      </c>
      <c r="EN56">
        <f t="shared" si="104"/>
        <v>53.529999999999994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05"/>
        <v>0</v>
      </c>
      <c r="EU56">
        <v>0</v>
      </c>
      <c r="EV56">
        <f t="shared" si="106"/>
        <v>0</v>
      </c>
      <c r="EW56">
        <v>0</v>
      </c>
      <c r="EX56">
        <f t="shared" si="107"/>
        <v>0</v>
      </c>
      <c r="EY56">
        <v>0</v>
      </c>
      <c r="EZ56">
        <v>203.96</v>
      </c>
      <c r="FA56">
        <v>177.36</v>
      </c>
      <c r="FB56">
        <v>150.76</v>
      </c>
      <c r="FC56">
        <v>0</v>
      </c>
      <c r="FD56">
        <v>171.96</v>
      </c>
      <c r="FE56">
        <v>0</v>
      </c>
      <c r="FF56">
        <v>169.84</v>
      </c>
      <c r="FG56">
        <v>0</v>
      </c>
      <c r="FH56">
        <v>171.26</v>
      </c>
      <c r="FI56">
        <v>0</v>
      </c>
      <c r="FJ56">
        <v>9.1448096207564403E-2</v>
      </c>
      <c r="FK56">
        <v>9.1448096207564403E-2</v>
      </c>
      <c r="FL56">
        <v>9.1448096207564403E-2</v>
      </c>
      <c r="FM56">
        <v>8.8827433387272267E-2</v>
      </c>
      <c r="FN56">
        <v>8.8827433387272267E-2</v>
      </c>
      <c r="FO56">
        <v>8.8827433387272267E-2</v>
      </c>
      <c r="FP56">
        <v>8.8827433387272267E-2</v>
      </c>
      <c r="FQ56">
        <v>8.8827433387272267E-2</v>
      </c>
      <c r="FR56">
        <v>8.8827433387272267E-2</v>
      </c>
      <c r="FS56">
        <v>8.8827433387272267E-2</v>
      </c>
    </row>
    <row r="57" spans="1:175" x14ac:dyDescent="0.3">
      <c r="A57" s="83"/>
      <c r="B57" s="12" t="str">
        <f t="shared" si="109"/>
        <v>RPU_OFF_SP450-HH100</v>
      </c>
      <c r="C57" s="11" t="s">
        <v>276</v>
      </c>
      <c r="D57" s="2" t="s">
        <v>72</v>
      </c>
      <c r="E57" s="9">
        <f t="shared" si="5"/>
        <v>49</v>
      </c>
      <c r="F57" s="13">
        <v>1</v>
      </c>
      <c r="G57" s="13" t="s">
        <v>73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08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1988.1234836201065</v>
      </c>
      <c r="CI57">
        <v>1988.1234836201065</v>
      </c>
      <c r="CJ57">
        <v>1988.1234836201065</v>
      </c>
      <c r="CK57">
        <v>1801.4452222473265</v>
      </c>
      <c r="CL57">
        <v>1801.4452222473265</v>
      </c>
      <c r="CM57">
        <v>1801.4452222473265</v>
      </c>
      <c r="CN57">
        <v>1689.4382654236588</v>
      </c>
      <c r="CO57">
        <v>1661.4365262177421</v>
      </c>
      <c r="CP57">
        <v>1661.4365262177421</v>
      </c>
      <c r="CQ57">
        <v>1661.4365262177421</v>
      </c>
      <c r="CR57">
        <v>41.773124610000004</v>
      </c>
      <c r="CS57">
        <v>41.773124610000004</v>
      </c>
      <c r="CT57">
        <v>41.773124610000004</v>
      </c>
      <c r="CU57">
        <v>37.595707869999998</v>
      </c>
      <c r="CV57">
        <v>37.595707870000005</v>
      </c>
      <c r="CW57">
        <v>37.595707870000005</v>
      </c>
      <c r="CX57">
        <v>34.588301510000008</v>
      </c>
      <c r="CY57">
        <v>33.836449920000007</v>
      </c>
      <c r="CZ57">
        <v>33.836449920000007</v>
      </c>
      <c r="DA57">
        <v>33.83644992</v>
      </c>
      <c r="DB57">
        <v>3.1283700000000001E-3</v>
      </c>
      <c r="DC57">
        <v>3.1283700000000001E-3</v>
      </c>
      <c r="DD57">
        <v>3.1283700000000001E-3</v>
      </c>
      <c r="DE57">
        <v>2.8155330000000003E-3</v>
      </c>
      <c r="DF57">
        <v>2.8155330000000003E-3</v>
      </c>
      <c r="DG57">
        <v>2.8155329999999998E-3</v>
      </c>
      <c r="DH57">
        <v>2.6069750000000001E-3</v>
      </c>
      <c r="DI57">
        <v>2.5026960000000004E-3</v>
      </c>
      <c r="DJ57">
        <v>2.5026960000000004E-3</v>
      </c>
      <c r="DK57">
        <v>2.502696E-3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53.529999999999994</v>
      </c>
      <c r="EG57">
        <v>53.529999999999994</v>
      </c>
      <c r="EH57">
        <v>53.529999999999994</v>
      </c>
      <c r="EI57">
        <v>0</v>
      </c>
      <c r="EJ57">
        <f t="shared" si="102"/>
        <v>53.529999999999994</v>
      </c>
      <c r="EK57">
        <v>0</v>
      </c>
      <c r="EL57">
        <f t="shared" si="103"/>
        <v>53.529999999999994</v>
      </c>
      <c r="EM57">
        <v>0</v>
      </c>
      <c r="EN57">
        <f t="shared" si="104"/>
        <v>53.529999999999994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05"/>
        <v>0</v>
      </c>
      <c r="EU57">
        <v>0</v>
      </c>
      <c r="EV57">
        <f t="shared" si="106"/>
        <v>0</v>
      </c>
      <c r="EW57">
        <v>0</v>
      </c>
      <c r="EX57">
        <f t="shared" si="107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83"/>
      <c r="B58" s="12" t="str">
        <f t="shared" si="109"/>
        <v>RPU_OFF_SP450-HH150</v>
      </c>
      <c r="C58" s="11" t="s">
        <v>276</v>
      </c>
      <c r="D58" s="2" t="s">
        <v>165</v>
      </c>
      <c r="E58" s="9">
        <f t="shared" si="5"/>
        <v>50</v>
      </c>
      <c r="F58" s="13">
        <v>1</v>
      </c>
      <c r="G58" s="13" t="s">
        <v>74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08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2265.5270428386079</v>
      </c>
      <c r="CI58">
        <v>2265.5270428386079</v>
      </c>
      <c r="CJ58">
        <v>2265.5270428386079</v>
      </c>
      <c r="CK58">
        <v>2052.8014989101002</v>
      </c>
      <c r="CL58">
        <v>2052.8014989101002</v>
      </c>
      <c r="CM58">
        <v>2052.8014989101002</v>
      </c>
      <c r="CN58">
        <v>1925.1661725529959</v>
      </c>
      <c r="CO58">
        <v>1893.2573409637196</v>
      </c>
      <c r="CP58">
        <v>1893.2573409637196</v>
      </c>
      <c r="CQ58">
        <v>1893.2573409637196</v>
      </c>
      <c r="CR58">
        <v>41.773124610000004</v>
      </c>
      <c r="CS58">
        <v>41.773124610000004</v>
      </c>
      <c r="CT58">
        <v>41.773124610000004</v>
      </c>
      <c r="CU58">
        <v>37.595707869999998</v>
      </c>
      <c r="CV58">
        <v>37.595707870000005</v>
      </c>
      <c r="CW58">
        <v>37.595707870000005</v>
      </c>
      <c r="CX58">
        <v>34.588301510000008</v>
      </c>
      <c r="CY58">
        <v>33.836449920000007</v>
      </c>
      <c r="CZ58">
        <v>33.836449920000007</v>
      </c>
      <c r="DA58">
        <v>33.83644992</v>
      </c>
      <c r="DB58">
        <v>3.1283700000000001E-3</v>
      </c>
      <c r="DC58">
        <v>3.1283700000000001E-3</v>
      </c>
      <c r="DD58">
        <v>3.1283700000000001E-3</v>
      </c>
      <c r="DE58">
        <v>2.8155330000000003E-3</v>
      </c>
      <c r="DF58">
        <v>2.8155330000000003E-3</v>
      </c>
      <c r="DG58">
        <v>2.8155329999999998E-3</v>
      </c>
      <c r="DH58">
        <v>2.6069750000000001E-3</v>
      </c>
      <c r="DI58">
        <v>2.5026960000000004E-3</v>
      </c>
      <c r="DJ58">
        <v>2.5026960000000004E-3</v>
      </c>
      <c r="DK58">
        <v>2.502696E-3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53.529999999999994</v>
      </c>
      <c r="EG58">
        <v>53.529999999999994</v>
      </c>
      <c r="EH58">
        <v>53.529999999999994</v>
      </c>
      <c r="EI58">
        <v>0</v>
      </c>
      <c r="EJ58">
        <f t="shared" si="102"/>
        <v>53.529999999999994</v>
      </c>
      <c r="EK58">
        <v>0</v>
      </c>
      <c r="EL58">
        <f t="shared" si="103"/>
        <v>53.529999999999994</v>
      </c>
      <c r="EM58">
        <v>0</v>
      </c>
      <c r="EN58">
        <f t="shared" si="104"/>
        <v>53.529999999999994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05"/>
        <v>0</v>
      </c>
      <c r="EU58">
        <v>0</v>
      </c>
      <c r="EV58">
        <f t="shared" si="106"/>
        <v>0</v>
      </c>
      <c r="EW58">
        <v>0</v>
      </c>
      <c r="EX58">
        <f t="shared" si="107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83"/>
      <c r="B59" s="12" t="s">
        <v>236</v>
      </c>
      <c r="C59" s="11" t="s">
        <v>276</v>
      </c>
      <c r="D59" s="2" t="s">
        <v>237</v>
      </c>
      <c r="E59" s="9">
        <f t="shared" si="5"/>
        <v>51</v>
      </c>
      <c r="F59" s="13">
        <v>1</v>
      </c>
      <c r="G59" s="13" t="s">
        <v>237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1</v>
      </c>
      <c r="O59">
        <f t="shared" si="108"/>
        <v>2000000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60">
        <v>0</v>
      </c>
      <c r="AU59" s="60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60">
        <v>1</v>
      </c>
      <c r="BE59" s="60">
        <v>1</v>
      </c>
      <c r="BF59" s="60">
        <v>1</v>
      </c>
      <c r="BG59" s="60">
        <v>1</v>
      </c>
      <c r="BH59" s="60">
        <v>1</v>
      </c>
      <c r="BI59" s="60">
        <v>1</v>
      </c>
      <c r="BJ59" s="60">
        <v>1</v>
      </c>
      <c r="BK59" s="60">
        <v>1</v>
      </c>
      <c r="BL59" s="60">
        <v>1</v>
      </c>
      <c r="BM59" s="60">
        <v>1</v>
      </c>
      <c r="BN59" s="60">
        <v>1</v>
      </c>
      <c r="BO59" s="60">
        <v>1</v>
      </c>
      <c r="BP59" s="60">
        <v>1</v>
      </c>
      <c r="BQ59" s="60">
        <v>1</v>
      </c>
      <c r="BR59" s="60">
        <v>1</v>
      </c>
      <c r="BS59" s="60">
        <v>1</v>
      </c>
      <c r="BT59" s="60">
        <v>1</v>
      </c>
      <c r="BU59" s="60">
        <v>1</v>
      </c>
      <c r="BV59" s="60">
        <v>1</v>
      </c>
      <c r="BW59" s="60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3662.1</v>
      </c>
      <c r="CI59">
        <v>3662.1</v>
      </c>
      <c r="CJ59">
        <v>3662.1</v>
      </c>
      <c r="CK59">
        <v>3662.1</v>
      </c>
      <c r="CL59">
        <v>3662.1</v>
      </c>
      <c r="CM59">
        <v>3662.1</v>
      </c>
      <c r="CN59">
        <v>3662.1</v>
      </c>
      <c r="CO59">
        <v>3662.1</v>
      </c>
      <c r="CP59">
        <v>3662.1</v>
      </c>
      <c r="CQ59">
        <v>3662.1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f>8.77/1000</f>
        <v>8.77E-3</v>
      </c>
      <c r="DC59">
        <f t="shared" ref="DC59:DK59" si="110">8.77/1000</f>
        <v>8.77E-3</v>
      </c>
      <c r="DD59">
        <f t="shared" si="110"/>
        <v>8.77E-3</v>
      </c>
      <c r="DE59">
        <f t="shared" si="110"/>
        <v>8.77E-3</v>
      </c>
      <c r="DF59">
        <f t="shared" si="110"/>
        <v>8.77E-3</v>
      </c>
      <c r="DG59">
        <f t="shared" si="110"/>
        <v>8.77E-3</v>
      </c>
      <c r="DH59">
        <f t="shared" si="110"/>
        <v>8.77E-3</v>
      </c>
      <c r="DI59">
        <f t="shared" si="110"/>
        <v>8.77E-3</v>
      </c>
      <c r="DJ59">
        <f t="shared" si="110"/>
        <v>8.77E-3</v>
      </c>
      <c r="DK59">
        <f t="shared" si="110"/>
        <v>8.77E-3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f>((6.78*10^7)/(20*10^3))/30</f>
        <v>113</v>
      </c>
      <c r="EG59">
        <f t="shared" ref="EG59:EN59" si="111">((6.78*10^7)/(20*10^3))/30</f>
        <v>113</v>
      </c>
      <c r="EH59">
        <f t="shared" si="111"/>
        <v>113</v>
      </c>
      <c r="EI59">
        <v>0</v>
      </c>
      <c r="EJ59">
        <f t="shared" si="111"/>
        <v>113</v>
      </c>
      <c r="EK59">
        <v>0</v>
      </c>
      <c r="EL59">
        <f t="shared" si="111"/>
        <v>113</v>
      </c>
      <c r="EM59">
        <v>0</v>
      </c>
      <c r="EN59">
        <f t="shared" si="111"/>
        <v>113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 s="32">
        <v>8.0586403511111196E-2</v>
      </c>
      <c r="FK59" s="32">
        <v>8.0586403511111196E-2</v>
      </c>
      <c r="FL59" s="32">
        <v>8.0586403511111196E-2</v>
      </c>
      <c r="FM59" s="32">
        <v>8.0586403511111196E-2</v>
      </c>
      <c r="FN59" s="32">
        <v>8.0586403511111196E-2</v>
      </c>
      <c r="FO59" s="32">
        <v>8.0586403511111196E-2</v>
      </c>
      <c r="FP59" s="32">
        <v>8.0586403511111196E-2</v>
      </c>
      <c r="FQ59" s="32">
        <v>8.0586403511111196E-2</v>
      </c>
      <c r="FR59" s="32">
        <v>8.0586403511111196E-2</v>
      </c>
      <c r="FS59" s="32">
        <v>8.0586403511111196E-2</v>
      </c>
    </row>
    <row r="60" spans="1:175" x14ac:dyDescent="0.3">
      <c r="A60" s="83"/>
      <c r="B60" s="12" t="s">
        <v>15</v>
      </c>
      <c r="C60" s="11" t="s">
        <v>276</v>
      </c>
      <c r="D60" s="2" t="s">
        <v>270</v>
      </c>
      <c r="E60" s="9">
        <f t="shared" si="5"/>
        <v>52</v>
      </c>
      <c r="F60" s="13">
        <v>1</v>
      </c>
      <c r="G60" s="13" t="s">
        <v>273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-1</v>
      </c>
      <c r="O60">
        <f t="shared" si="108"/>
        <v>2000000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60">
        <v>0</v>
      </c>
      <c r="AU60" s="60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60">
        <v>1</v>
      </c>
      <c r="BE60" s="60">
        <v>1</v>
      </c>
      <c r="BF60" s="60">
        <v>1</v>
      </c>
      <c r="BG60" s="60">
        <v>1</v>
      </c>
      <c r="BH60" s="60">
        <v>1</v>
      </c>
      <c r="BI60" s="60">
        <v>1</v>
      </c>
      <c r="BJ60" s="60">
        <v>1</v>
      </c>
      <c r="BK60" s="60">
        <v>1</v>
      </c>
      <c r="BL60" s="60">
        <v>1</v>
      </c>
      <c r="BM60" s="60">
        <v>1</v>
      </c>
      <c r="BN60" s="60">
        <v>1</v>
      </c>
      <c r="BO60" s="60">
        <v>1</v>
      </c>
      <c r="BP60" s="60">
        <v>1</v>
      </c>
      <c r="BQ60" s="60">
        <v>1</v>
      </c>
      <c r="BR60" s="60">
        <v>1</v>
      </c>
      <c r="BS60" s="60">
        <v>1</v>
      </c>
      <c r="BT60" s="60">
        <v>1</v>
      </c>
      <c r="BU60" s="60">
        <v>1</v>
      </c>
      <c r="BV60" s="60">
        <v>1</v>
      </c>
      <c r="BW60" s="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83"/>
      <c r="B61" s="12" t="s">
        <v>16</v>
      </c>
      <c r="C61" s="11" t="s">
        <v>276</v>
      </c>
      <c r="D61" s="2" t="s">
        <v>271</v>
      </c>
      <c r="E61" s="9">
        <f t="shared" si="5"/>
        <v>53</v>
      </c>
      <c r="F61" s="13">
        <v>1</v>
      </c>
      <c r="G61" s="13" t="s">
        <v>274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1</v>
      </c>
      <c r="O61">
        <f t="shared" si="108"/>
        <v>2000000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60">
        <v>0</v>
      </c>
      <c r="AU61" s="60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60">
        <v>1</v>
      </c>
      <c r="BE61" s="60">
        <v>1</v>
      </c>
      <c r="BF61" s="60">
        <v>1</v>
      </c>
      <c r="BG61" s="60">
        <v>1</v>
      </c>
      <c r="BH61" s="60">
        <v>1</v>
      </c>
      <c r="BI61" s="60">
        <v>1</v>
      </c>
      <c r="BJ61" s="60">
        <v>1</v>
      </c>
      <c r="BK61" s="60">
        <v>1</v>
      </c>
      <c r="BL61" s="60">
        <v>1</v>
      </c>
      <c r="BM61" s="60">
        <v>1</v>
      </c>
      <c r="BN61" s="60">
        <v>1</v>
      </c>
      <c r="BO61" s="60">
        <v>1</v>
      </c>
      <c r="BP61" s="60">
        <v>1</v>
      </c>
      <c r="BQ61" s="60">
        <v>1</v>
      </c>
      <c r="BR61" s="60">
        <v>1</v>
      </c>
      <c r="BS61" s="60">
        <v>1</v>
      </c>
      <c r="BT61" s="60">
        <v>1</v>
      </c>
      <c r="BU61" s="60">
        <v>1</v>
      </c>
      <c r="BV61" s="60">
        <v>1</v>
      </c>
      <c r="BW61" s="60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83"/>
      <c r="B62" s="12" t="s">
        <v>17</v>
      </c>
      <c r="C62" s="11" t="s">
        <v>276</v>
      </c>
      <c r="D62" s="2" t="s">
        <v>272</v>
      </c>
      <c r="E62" s="9">
        <f t="shared" si="5"/>
        <v>54</v>
      </c>
      <c r="F62" s="13">
        <v>1</v>
      </c>
      <c r="G62" s="13" t="s">
        <v>272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f t="shared" si="108"/>
        <v>2000000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60">
        <v>0</v>
      </c>
      <c r="AU62" s="60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60">
        <v>1</v>
      </c>
      <c r="BE62" s="60">
        <v>1</v>
      </c>
      <c r="BF62" s="60">
        <v>1</v>
      </c>
      <c r="BG62" s="60">
        <v>1</v>
      </c>
      <c r="BH62" s="60">
        <v>1</v>
      </c>
      <c r="BI62" s="60">
        <v>1</v>
      </c>
      <c r="BJ62" s="60">
        <v>1</v>
      </c>
      <c r="BK62" s="60">
        <v>1</v>
      </c>
      <c r="BL62" s="60">
        <v>1</v>
      </c>
      <c r="BM62" s="60">
        <v>1</v>
      </c>
      <c r="BN62" s="60">
        <v>1</v>
      </c>
      <c r="BO62" s="60">
        <v>1</v>
      </c>
      <c r="BP62" s="60">
        <v>1</v>
      </c>
      <c r="BQ62" s="60">
        <v>1</v>
      </c>
      <c r="BR62" s="60">
        <v>1</v>
      </c>
      <c r="BS62" s="60">
        <v>1</v>
      </c>
      <c r="BT62" s="60">
        <v>1</v>
      </c>
      <c r="BU62" s="60">
        <v>1</v>
      </c>
      <c r="BV62" s="60">
        <v>1</v>
      </c>
      <c r="BW62" s="60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41</v>
      </c>
      <c r="CI62">
        <v>41</v>
      </c>
      <c r="CJ62">
        <v>41</v>
      </c>
      <c r="CK62">
        <v>0</v>
      </c>
      <c r="CL62">
        <f>41</f>
        <v>41</v>
      </c>
      <c r="CM62">
        <v>0</v>
      </c>
      <c r="CN62">
        <v>41</v>
      </c>
      <c r="CO62">
        <v>0</v>
      </c>
      <c r="CP62">
        <v>41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 s="32">
        <v>9.3678779051968114E-2</v>
      </c>
      <c r="FK62" s="32">
        <v>8.0586403511111196E-2</v>
      </c>
      <c r="FL62" s="32">
        <v>8.0586403511111196E-2</v>
      </c>
      <c r="FM62" s="32">
        <v>8.0586403511111196E-2</v>
      </c>
      <c r="FN62" s="32">
        <v>8.0586403511111196E-2</v>
      </c>
      <c r="FO62" s="32">
        <v>8.0586403511111196E-2</v>
      </c>
      <c r="FP62" s="32">
        <v>8.0586403511111196E-2</v>
      </c>
      <c r="FQ62" s="32">
        <v>8.0586403511111196E-2</v>
      </c>
      <c r="FR62" s="32">
        <v>8.0586403511111196E-2</v>
      </c>
      <c r="FS62" s="32">
        <v>8.0586403511111196E-2</v>
      </c>
    </row>
    <row r="63" spans="1:175" x14ac:dyDescent="0.3">
      <c r="A63" s="83"/>
      <c r="B63" s="61" t="s">
        <v>276</v>
      </c>
      <c r="C63" s="11" t="s">
        <v>276</v>
      </c>
      <c r="D63" s="2" t="s">
        <v>277</v>
      </c>
      <c r="E63" s="9">
        <f t="shared" si="5"/>
        <v>55</v>
      </c>
      <c r="F63" s="13">
        <v>1</v>
      </c>
      <c r="G63" s="13" t="s">
        <v>277</v>
      </c>
      <c r="H63">
        <v>0</v>
      </c>
      <c r="I63" t="s">
        <v>12</v>
      </c>
      <c r="J63">
        <v>1</v>
      </c>
      <c r="K63">
        <v>0</v>
      </c>
      <c r="L63" s="10">
        <v>0</v>
      </c>
      <c r="M63">
        <v>0</v>
      </c>
      <c r="N63">
        <v>-1</v>
      </c>
      <c r="O63">
        <f t="shared" si="108"/>
        <v>2000000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0">
        <v>0</v>
      </c>
      <c r="AU63" s="60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0">
        <v>1</v>
      </c>
      <c r="BE63" s="60">
        <v>1</v>
      </c>
      <c r="BF63" s="60">
        <v>1</v>
      </c>
      <c r="BG63" s="60">
        <v>1</v>
      </c>
      <c r="BH63" s="60">
        <v>1</v>
      </c>
      <c r="BI63" s="60">
        <v>1</v>
      </c>
      <c r="BJ63" s="60">
        <v>1</v>
      </c>
      <c r="BK63" s="60">
        <v>1</v>
      </c>
      <c r="BL63" s="60">
        <v>1</v>
      </c>
      <c r="BM63" s="60">
        <v>1</v>
      </c>
      <c r="BN63" s="60">
        <v>1</v>
      </c>
      <c r="BO63" s="60">
        <v>1</v>
      </c>
      <c r="BP63" s="60">
        <v>1</v>
      </c>
      <c r="BQ63" s="60">
        <v>1</v>
      </c>
      <c r="BR63" s="60">
        <v>1</v>
      </c>
      <c r="BS63" s="60">
        <v>1</v>
      </c>
      <c r="BT63" s="60">
        <v>1</v>
      </c>
      <c r="BU63" s="60">
        <v>1</v>
      </c>
      <c r="BV63" s="60">
        <v>1</v>
      </c>
      <c r="BW63" s="60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</row>
    <row r="64" spans="1:175" x14ac:dyDescent="0.3">
      <c r="A64" s="83"/>
      <c r="B64" s="12" t="s">
        <v>28</v>
      </c>
      <c r="C64" s="4" t="s">
        <v>33</v>
      </c>
      <c r="D64" s="6" t="s">
        <v>43</v>
      </c>
      <c r="E64" s="9">
        <f t="shared" si="5"/>
        <v>56</v>
      </c>
      <c r="F64" s="13">
        <v>0</v>
      </c>
      <c r="G64" s="13" t="s">
        <v>24</v>
      </c>
      <c r="H64">
        <v>0</v>
      </c>
      <c r="I64" t="s">
        <v>12</v>
      </c>
      <c r="J64">
        <v>1</v>
      </c>
      <c r="K64">
        <v>0</v>
      </c>
      <c r="L64" s="10">
        <v>0</v>
      </c>
      <c r="M64">
        <v>0</v>
      </c>
      <c r="N64">
        <v>0</v>
      </c>
      <c r="O64">
        <f t="shared" si="108"/>
        <v>2000000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1</v>
      </c>
      <c r="BE64" s="14">
        <v>1</v>
      </c>
      <c r="BF64" s="14">
        <v>1</v>
      </c>
      <c r="BG64" s="14">
        <v>1</v>
      </c>
      <c r="BH64" s="14">
        <v>1</v>
      </c>
      <c r="BI64" s="14">
        <v>1</v>
      </c>
      <c r="BJ64" s="14">
        <v>1</v>
      </c>
      <c r="BK64" s="14">
        <v>1</v>
      </c>
      <c r="BL64" s="14">
        <v>1</v>
      </c>
      <c r="BM64" s="14">
        <v>1</v>
      </c>
      <c r="BN64" s="14">
        <v>1</v>
      </c>
      <c r="BO64" s="14">
        <v>1</v>
      </c>
      <c r="BP64" s="14">
        <v>1</v>
      </c>
      <c r="BQ64" s="14">
        <v>1</v>
      </c>
      <c r="BR64" s="14">
        <v>1</v>
      </c>
      <c r="BS64" s="14">
        <v>1</v>
      </c>
      <c r="BT64" s="14">
        <v>1</v>
      </c>
      <c r="BU64" s="14">
        <v>1</v>
      </c>
      <c r="BV64" s="14">
        <v>1</v>
      </c>
      <c r="BW64" s="1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180</v>
      </c>
      <c r="CI64">
        <v>180</v>
      </c>
      <c r="CJ64">
        <v>180</v>
      </c>
      <c r="CK64">
        <v>180</v>
      </c>
      <c r="CL64">
        <v>180</v>
      </c>
      <c r="CM64">
        <v>180</v>
      </c>
      <c r="CN64">
        <v>180</v>
      </c>
      <c r="CO64">
        <v>180</v>
      </c>
      <c r="CP64">
        <v>180</v>
      </c>
      <c r="CQ64">
        <v>180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1.6649999999999998E-2</v>
      </c>
      <c r="DW64">
        <v>1.6649999999999998E-2</v>
      </c>
      <c r="DX64">
        <v>1.6649999999999998E-2</v>
      </c>
      <c r="DY64">
        <v>1.6649999999999998E-2</v>
      </c>
      <c r="DZ64">
        <v>1.6649999999999998E-2</v>
      </c>
      <c r="EA64">
        <v>1.6649999999999998E-2</v>
      </c>
      <c r="EB64">
        <v>1.6649999999999998E-2</v>
      </c>
      <c r="EC64">
        <v>1.6649999999999998E-2</v>
      </c>
      <c r="ED64">
        <v>1.6649999999999998E-2</v>
      </c>
      <c r="EE64">
        <v>1.6649999999999998E-2</v>
      </c>
      <c r="EF64">
        <v>0</v>
      </c>
      <c r="EG64">
        <v>0</v>
      </c>
      <c r="EH64">
        <v>0</v>
      </c>
      <c r="EI64">
        <v>0</v>
      </c>
      <c r="EJ64">
        <f>$EG64*B$3</f>
        <v>0</v>
      </c>
      <c r="EK64">
        <v>0</v>
      </c>
      <c r="EL64">
        <f>$EG64*C$3</f>
        <v>0</v>
      </c>
      <c r="EM64">
        <v>0</v>
      </c>
      <c r="EN64">
        <f>$EG64*D$3</f>
        <v>0</v>
      </c>
      <c r="EO64">
        <v>0</v>
      </c>
      <c r="EP64">
        <f>0.520716756485048*B1</f>
        <v>0</v>
      </c>
      <c r="EQ64">
        <f>0.520716756485048*B1</f>
        <v>0</v>
      </c>
      <c r="ER64">
        <f>0.520716756485048*B1</f>
        <v>0</v>
      </c>
      <c r="ES64">
        <v>0</v>
      </c>
      <c r="ET64">
        <f>0.187143584625145*B1</f>
        <v>0</v>
      </c>
      <c r="EU64">
        <v>0</v>
      </c>
      <c r="EV64">
        <f>0.0198475609303731*B1</f>
        <v>0</v>
      </c>
      <c r="EW64">
        <v>0</v>
      </c>
      <c r="EX64">
        <f>0.0028336085303343*B1</f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 s="32">
        <v>8.8827433387272267E-2</v>
      </c>
      <c r="FK64" s="32">
        <v>8.8827433387272267E-2</v>
      </c>
      <c r="FL64" s="32">
        <v>8.8827433387272267E-2</v>
      </c>
      <c r="FM64" s="32">
        <v>8.8827433387272267E-2</v>
      </c>
      <c r="FN64" s="32">
        <v>8.8827433387272267E-2</v>
      </c>
      <c r="FO64" s="32">
        <v>8.8827433387272267E-2</v>
      </c>
      <c r="FP64" s="32">
        <v>8.8827433387272267E-2</v>
      </c>
      <c r="FQ64" s="32">
        <v>8.8827433387272267E-2</v>
      </c>
      <c r="FR64" s="32">
        <v>8.8827433387272267E-2</v>
      </c>
      <c r="FS64" s="32">
        <v>8.8827433387272267E-2</v>
      </c>
    </row>
    <row r="65" spans="1:175" x14ac:dyDescent="0.3">
      <c r="A65" s="83"/>
      <c r="B65" s="12" t="s">
        <v>217</v>
      </c>
      <c r="C65" s="4" t="s">
        <v>34</v>
      </c>
      <c r="D65" s="6" t="s">
        <v>278</v>
      </c>
      <c r="E65" s="9">
        <f t="shared" si="5"/>
        <v>57</v>
      </c>
      <c r="F65" s="13">
        <v>1</v>
      </c>
      <c r="G65" s="13" t="s">
        <v>278</v>
      </c>
      <c r="H65">
        <v>0</v>
      </c>
      <c r="I65" t="s">
        <v>12</v>
      </c>
      <c r="J65">
        <v>-1</v>
      </c>
      <c r="K65">
        <v>0</v>
      </c>
      <c r="L65" s="10">
        <v>0</v>
      </c>
      <c r="M65">
        <v>0</v>
      </c>
      <c r="N65">
        <v>0</v>
      </c>
      <c r="O65">
        <v>24000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1</v>
      </c>
      <c r="BE65" s="14">
        <v>1</v>
      </c>
      <c r="BF65" s="14">
        <v>1</v>
      </c>
      <c r="BG65" s="14">
        <v>1</v>
      </c>
      <c r="BH65" s="14">
        <v>1</v>
      </c>
      <c r="BI65" s="14">
        <v>1</v>
      </c>
      <c r="BJ65" s="14">
        <v>1</v>
      </c>
      <c r="BK65" s="14">
        <v>1</v>
      </c>
      <c r="BL65" s="14">
        <v>1</v>
      </c>
      <c r="BM65" s="14">
        <v>1</v>
      </c>
      <c r="BN65" s="14">
        <v>1</v>
      </c>
      <c r="BO65" s="14">
        <v>1</v>
      </c>
      <c r="BP65" s="14">
        <v>1</v>
      </c>
      <c r="BQ65" s="14">
        <v>1</v>
      </c>
      <c r="BR65" s="14">
        <v>1</v>
      </c>
      <c r="BS65" s="14">
        <v>1</v>
      </c>
      <c r="BT65" s="14">
        <v>1</v>
      </c>
      <c r="BU65" s="14">
        <v>1</v>
      </c>
      <c r="BV65" s="14">
        <v>1</v>
      </c>
      <c r="BW65" s="14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f>$EG65*B$3</f>
        <v>0</v>
      </c>
      <c r="EK65">
        <v>0</v>
      </c>
      <c r="EL65">
        <f>$EG65*C$3</f>
        <v>0</v>
      </c>
      <c r="EM65">
        <v>0</v>
      </c>
      <c r="EN65">
        <f>$EG65*D$3</f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f>$EQ65*B$3</f>
        <v>0</v>
      </c>
      <c r="EU65">
        <v>0</v>
      </c>
      <c r="EV65">
        <f>$EQ65*C$3</f>
        <v>0</v>
      </c>
      <c r="EW65">
        <v>0</v>
      </c>
      <c r="EX65">
        <f>$EQ65*D$3</f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83"/>
      <c r="B66" s="12" t="s">
        <v>218</v>
      </c>
      <c r="C66" s="11" t="s">
        <v>276</v>
      </c>
      <c r="D66" s="6" t="s">
        <v>176</v>
      </c>
      <c r="E66" s="9">
        <f t="shared" si="5"/>
        <v>58</v>
      </c>
      <c r="F66" s="13">
        <v>1</v>
      </c>
      <c r="G66" s="13" t="s">
        <v>177</v>
      </c>
      <c r="H66">
        <v>0</v>
      </c>
      <c r="I66" t="s">
        <v>12</v>
      </c>
      <c r="J66">
        <v>1</v>
      </c>
      <c r="K66">
        <v>0</v>
      </c>
      <c r="L66" s="10">
        <v>0</v>
      </c>
      <c r="M66">
        <v>0</v>
      </c>
      <c r="N66">
        <v>0</v>
      </c>
      <c r="O66">
        <v>20000000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34">
        <v>0</v>
      </c>
      <c r="AU66" s="3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34">
        <v>1</v>
      </c>
      <c r="BE66" s="34">
        <v>1</v>
      </c>
      <c r="BF66" s="34">
        <v>1</v>
      </c>
      <c r="BG66" s="34">
        <v>1</v>
      </c>
      <c r="BH66" s="34">
        <v>1</v>
      </c>
      <c r="BI66" s="34">
        <v>1</v>
      </c>
      <c r="BJ66" s="34">
        <v>1</v>
      </c>
      <c r="BK66" s="34">
        <v>1</v>
      </c>
      <c r="BL66" s="34">
        <v>1</v>
      </c>
      <c r="BM66" s="34">
        <v>1</v>
      </c>
      <c r="BN66" s="34">
        <v>1</v>
      </c>
      <c r="BO66" s="34">
        <v>1</v>
      </c>
      <c r="BP66" s="34">
        <v>1</v>
      </c>
      <c r="BQ66" s="34">
        <v>1</v>
      </c>
      <c r="BR66" s="34">
        <v>1</v>
      </c>
      <c r="BS66" s="34">
        <v>1</v>
      </c>
      <c r="BT66" s="34">
        <v>1</v>
      </c>
      <c r="BU66" s="34">
        <v>1</v>
      </c>
      <c r="BV66" s="34">
        <v>1</v>
      </c>
      <c r="BW66" s="34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f>343</f>
        <v>343</v>
      </c>
      <c r="CI66">
        <f>343</f>
        <v>343</v>
      </c>
      <c r="CJ66">
        <f>343</f>
        <v>343</v>
      </c>
      <c r="CK66">
        <f>343</f>
        <v>343</v>
      </c>
      <c r="CL66">
        <f>343</f>
        <v>343</v>
      </c>
      <c r="CM66">
        <f>343</f>
        <v>343</v>
      </c>
      <c r="CN66">
        <f>343</f>
        <v>343</v>
      </c>
      <c r="CO66">
        <f>343</f>
        <v>343</v>
      </c>
      <c r="CP66">
        <f>343</f>
        <v>343</v>
      </c>
      <c r="CQ66">
        <f>343</f>
        <v>343</v>
      </c>
      <c r="CR66">
        <v>8.8000000000000007</v>
      </c>
      <c r="CS66">
        <v>8.8000000000000007</v>
      </c>
      <c r="CT66">
        <v>8.8000000000000007</v>
      </c>
      <c r="CU66">
        <v>8.8000000000000007</v>
      </c>
      <c r="CV66">
        <v>8.8000000000000007</v>
      </c>
      <c r="CW66">
        <v>8.8000000000000007</v>
      </c>
      <c r="CX66">
        <v>8.8000000000000007</v>
      </c>
      <c r="CY66">
        <v>8.8000000000000007</v>
      </c>
      <c r="CZ66">
        <v>8.8000000000000007</v>
      </c>
      <c r="DA66">
        <v>8.8000000000000007</v>
      </c>
      <c r="DB66">
        <f t="shared" ref="DB66:DK66" si="112">6/(10^3)</f>
        <v>6.0000000000000001E-3</v>
      </c>
      <c r="DC66">
        <f t="shared" si="112"/>
        <v>6.0000000000000001E-3</v>
      </c>
      <c r="DD66">
        <f t="shared" si="112"/>
        <v>6.0000000000000001E-3</v>
      </c>
      <c r="DE66">
        <f t="shared" si="112"/>
        <v>6.0000000000000001E-3</v>
      </c>
      <c r="DF66">
        <f t="shared" si="112"/>
        <v>6.0000000000000001E-3</v>
      </c>
      <c r="DG66">
        <f t="shared" si="112"/>
        <v>6.0000000000000001E-3</v>
      </c>
      <c r="DH66">
        <f t="shared" si="112"/>
        <v>6.0000000000000001E-3</v>
      </c>
      <c r="DI66">
        <f t="shared" si="112"/>
        <v>6.0000000000000001E-3</v>
      </c>
      <c r="DJ66">
        <f t="shared" si="112"/>
        <v>6.0000000000000001E-3</v>
      </c>
      <c r="DK66">
        <f t="shared" si="112"/>
        <v>6.0000000000000001E-3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f t="shared" ref="DV66:EE66" si="113">0.3</f>
        <v>0.3</v>
      </c>
      <c r="DW66">
        <f t="shared" si="113"/>
        <v>0.3</v>
      </c>
      <c r="DX66">
        <f t="shared" si="113"/>
        <v>0.3</v>
      </c>
      <c r="DY66">
        <f t="shared" si="113"/>
        <v>0.3</v>
      </c>
      <c r="DZ66">
        <f t="shared" si="113"/>
        <v>0.3</v>
      </c>
      <c r="EA66">
        <f t="shared" si="113"/>
        <v>0.3</v>
      </c>
      <c r="EB66">
        <f t="shared" si="113"/>
        <v>0.3</v>
      </c>
      <c r="EC66">
        <f t="shared" si="113"/>
        <v>0.3</v>
      </c>
      <c r="ED66">
        <f t="shared" si="113"/>
        <v>0.3</v>
      </c>
      <c r="EE66">
        <f t="shared" si="113"/>
        <v>0.3</v>
      </c>
      <c r="EF66">
        <f>66</f>
        <v>66</v>
      </c>
      <c r="EG66">
        <f>66</f>
        <v>66</v>
      </c>
      <c r="EH66">
        <f>66</f>
        <v>66</v>
      </c>
      <c r="EI66">
        <v>0</v>
      </c>
      <c r="EJ66">
        <f>66</f>
        <v>66</v>
      </c>
      <c r="EK66">
        <v>0</v>
      </c>
      <c r="EL66">
        <f>66</f>
        <v>66</v>
      </c>
      <c r="EM66">
        <v>0</v>
      </c>
      <c r="EN66">
        <f>66</f>
        <v>66</v>
      </c>
      <c r="EO66">
        <v>0</v>
      </c>
      <c r="EP66">
        <v>0.73950000000000005</v>
      </c>
      <c r="EQ66">
        <v>0.73950000000000005</v>
      </c>
      <c r="ER66">
        <v>0.73950000000000005</v>
      </c>
      <c r="ES66">
        <v>0</v>
      </c>
      <c r="ET66">
        <v>0.73950000000000005</v>
      </c>
      <c r="EU66">
        <v>0</v>
      </c>
      <c r="EV66">
        <v>0.73950000000000005</v>
      </c>
      <c r="EW66">
        <v>0</v>
      </c>
      <c r="EX66">
        <v>0.73950000000000005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0.09</v>
      </c>
      <c r="FK66">
        <v>0.09</v>
      </c>
      <c r="FL66">
        <v>0.09</v>
      </c>
      <c r="FM66">
        <v>0.09</v>
      </c>
      <c r="FN66">
        <v>0.09</v>
      </c>
      <c r="FO66">
        <v>0.09</v>
      </c>
      <c r="FP66">
        <v>0.09</v>
      </c>
      <c r="FQ66">
        <v>0.09</v>
      </c>
      <c r="FR66">
        <v>0.09</v>
      </c>
      <c r="FS66">
        <v>0.09</v>
      </c>
    </row>
    <row r="67" spans="1:175" x14ac:dyDescent="0.3">
      <c r="A67" s="83"/>
      <c r="B67" s="12" t="s">
        <v>15</v>
      </c>
      <c r="C67" s="11" t="s">
        <v>276</v>
      </c>
      <c r="D67" s="6" t="s">
        <v>44</v>
      </c>
      <c r="E67" s="9">
        <f t="shared" si="5"/>
        <v>59</v>
      </c>
      <c r="F67" s="13">
        <v>1</v>
      </c>
      <c r="G67" s="13" t="s">
        <v>25</v>
      </c>
      <c r="H67">
        <v>0</v>
      </c>
      <c r="I67" t="s">
        <v>12</v>
      </c>
      <c r="J67">
        <v>-1</v>
      </c>
      <c r="K67">
        <v>0</v>
      </c>
      <c r="L67" s="10">
        <v>0</v>
      </c>
      <c r="M67">
        <v>0</v>
      </c>
      <c r="N67">
        <v>0</v>
      </c>
      <c r="O67">
        <f>O69/2</f>
        <v>10000000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1</v>
      </c>
      <c r="BE67" s="14">
        <v>1</v>
      </c>
      <c r="BF67" s="14">
        <v>1</v>
      </c>
      <c r="BG67" s="14">
        <v>1</v>
      </c>
      <c r="BH67" s="14">
        <v>1</v>
      </c>
      <c r="BI67" s="14">
        <v>1</v>
      </c>
      <c r="BJ67" s="14">
        <v>1</v>
      </c>
      <c r="BK67" s="14">
        <v>1</v>
      </c>
      <c r="BL67" s="14">
        <v>1</v>
      </c>
      <c r="BM67" s="14">
        <v>1</v>
      </c>
      <c r="BN67" s="14">
        <v>1</v>
      </c>
      <c r="BO67" s="14">
        <v>1</v>
      </c>
      <c r="BP67" s="14">
        <v>1</v>
      </c>
      <c r="BQ67" s="14">
        <v>1</v>
      </c>
      <c r="BR67" s="14">
        <v>1</v>
      </c>
      <c r="BS67" s="14">
        <v>1</v>
      </c>
      <c r="BT67" s="14">
        <v>1</v>
      </c>
      <c r="BU67" s="14">
        <v>1</v>
      </c>
      <c r="BV67" s="14">
        <v>1</v>
      </c>
      <c r="BW67" s="14">
        <v>1</v>
      </c>
      <c r="BX67">
        <v>0.06</v>
      </c>
      <c r="BY67">
        <v>0.06</v>
      </c>
      <c r="BZ67">
        <v>3.5000000000000003E-2</v>
      </c>
      <c r="CA67">
        <v>0.05</v>
      </c>
      <c r="CB67">
        <v>0.05</v>
      </c>
      <c r="CC67">
        <v>0.05</v>
      </c>
      <c r="CD67">
        <f>(CB67+CF67)/2</f>
        <v>3.7500000000000006E-2</v>
      </c>
      <c r="CE67">
        <v>2.5000000000000001E-2</v>
      </c>
      <c r="CF67">
        <v>2.5000000000000001E-2</v>
      </c>
      <c r="CG67">
        <v>2.5000000000000001E-2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f>$EG67*B$3</f>
        <v>0</v>
      </c>
      <c r="EK67">
        <v>0</v>
      </c>
      <c r="EL67">
        <f>$EG67*C$3</f>
        <v>0</v>
      </c>
      <c r="EM67">
        <v>0</v>
      </c>
      <c r="EN67">
        <f>$EG67*D$3</f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f>$EQ67*B$3</f>
        <v>0</v>
      </c>
      <c r="EU67">
        <v>0</v>
      </c>
      <c r="EV67">
        <f>$EQ67*C$3</f>
        <v>0</v>
      </c>
      <c r="EW67">
        <v>0</v>
      </c>
      <c r="EX67">
        <f>$EQ67*D$3</f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83"/>
      <c r="B68" s="12" t="s">
        <v>16</v>
      </c>
      <c r="C68" s="11" t="s">
        <v>276</v>
      </c>
      <c r="D68" s="6" t="s">
        <v>45</v>
      </c>
      <c r="E68" s="9">
        <f t="shared" si="5"/>
        <v>60</v>
      </c>
      <c r="F68" s="13">
        <v>1</v>
      </c>
      <c r="G68" s="13" t="s">
        <v>26</v>
      </c>
      <c r="H68">
        <v>0</v>
      </c>
      <c r="I68" t="s">
        <v>12</v>
      </c>
      <c r="J68">
        <v>1</v>
      </c>
      <c r="K68">
        <v>0</v>
      </c>
      <c r="L68" s="10">
        <v>0</v>
      </c>
      <c r="M68">
        <v>0</v>
      </c>
      <c r="N68">
        <v>0</v>
      </c>
      <c r="O68">
        <f>3*O69</f>
        <v>60000000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1</v>
      </c>
      <c r="BE68" s="14">
        <v>1</v>
      </c>
      <c r="BF68" s="14">
        <v>1</v>
      </c>
      <c r="BG68" s="14">
        <v>1</v>
      </c>
      <c r="BH68" s="14">
        <v>1</v>
      </c>
      <c r="BI68" s="14">
        <v>1</v>
      </c>
      <c r="BJ68" s="14">
        <v>1</v>
      </c>
      <c r="BK68" s="14">
        <v>1</v>
      </c>
      <c r="BL68" s="14">
        <v>1</v>
      </c>
      <c r="BM68" s="14">
        <v>1</v>
      </c>
      <c r="BN68" s="14">
        <v>1</v>
      </c>
      <c r="BO68" s="14">
        <v>1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14">
        <v>1</v>
      </c>
      <c r="BV68" s="14">
        <v>1</v>
      </c>
      <c r="BW68" s="14">
        <v>1</v>
      </c>
      <c r="BX68">
        <v>0.06</v>
      </c>
      <c r="BY68">
        <v>0.06</v>
      </c>
      <c r="BZ68">
        <v>0.04</v>
      </c>
      <c r="CA68">
        <v>0.05</v>
      </c>
      <c r="CB68">
        <v>0.05</v>
      </c>
      <c r="CC68">
        <v>0.05</v>
      </c>
      <c r="CD68">
        <f>(CB68+CF68)/2</f>
        <v>3.7500000000000006E-2</v>
      </c>
      <c r="CE68">
        <v>2.5000000000000001E-2</v>
      </c>
      <c r="CF68">
        <v>2.5000000000000001E-2</v>
      </c>
      <c r="CG68">
        <v>2.5000000000000001E-2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f>$EG68*B$3</f>
        <v>0</v>
      </c>
      <c r="EK68">
        <v>0</v>
      </c>
      <c r="EL68">
        <f>$EG68*C$3</f>
        <v>0</v>
      </c>
      <c r="EM68">
        <v>0</v>
      </c>
      <c r="EN68">
        <f>$EG68*D$3</f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f>$EQ68*B$3</f>
        <v>0</v>
      </c>
      <c r="EU68">
        <v>0</v>
      </c>
      <c r="EV68">
        <f>$EQ68*C$3</f>
        <v>0</v>
      </c>
      <c r="EW68">
        <v>0</v>
      </c>
      <c r="EX68">
        <f>$EQ68*D$3</f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 x14ac:dyDescent="0.3">
      <c r="A69" s="83"/>
      <c r="B69" s="12" t="s">
        <v>17</v>
      </c>
      <c r="C69" s="11" t="s">
        <v>276</v>
      </c>
      <c r="D69" s="2" t="s">
        <v>46</v>
      </c>
      <c r="E69" s="9">
        <f t="shared" si="5"/>
        <v>61</v>
      </c>
      <c r="F69" s="13">
        <v>1</v>
      </c>
      <c r="G69" s="13" t="s">
        <v>27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20000000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0.2</v>
      </c>
      <c r="AU69" s="14">
        <v>0.1</v>
      </c>
      <c r="AV69" s="14">
        <v>0.1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1</v>
      </c>
      <c r="BE69" s="14">
        <v>1</v>
      </c>
      <c r="BF69" s="14">
        <v>1</v>
      </c>
      <c r="BG69" s="14">
        <v>1</v>
      </c>
      <c r="BH69" s="14">
        <v>1</v>
      </c>
      <c r="BI69" s="14">
        <v>1</v>
      </c>
      <c r="BJ69" s="14">
        <v>1</v>
      </c>
      <c r="BK69" s="14">
        <v>1</v>
      </c>
      <c r="BL69" s="14">
        <v>1</v>
      </c>
      <c r="BM69" s="14">
        <v>1</v>
      </c>
      <c r="BN69" s="14">
        <v>1</v>
      </c>
      <c r="BO69" s="14">
        <v>1</v>
      </c>
      <c r="BP69" s="14">
        <v>1</v>
      </c>
      <c r="BQ69" s="14">
        <v>1</v>
      </c>
      <c r="BR69" s="14">
        <v>1</v>
      </c>
      <c r="BS69" s="14">
        <v>1</v>
      </c>
      <c r="BT69" s="14">
        <v>1</v>
      </c>
      <c r="BU69" s="14">
        <v>1</v>
      </c>
      <c r="BV69" s="14">
        <v>1</v>
      </c>
      <c r="BW69" s="14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750</v>
      </c>
      <c r="CI69">
        <v>550</v>
      </c>
      <c r="CJ69">
        <v>300</v>
      </c>
      <c r="CK69">
        <v>648.61538000000007</v>
      </c>
      <c r="CL69">
        <v>180</v>
      </c>
      <c r="CM69">
        <v>148</v>
      </c>
      <c r="CN69">
        <f>(CL69+CQ69)/2</f>
        <v>164</v>
      </c>
      <c r="CO69">
        <v>265.91145</v>
      </c>
      <c r="CP69">
        <v>180</v>
      </c>
      <c r="CQ69">
        <v>148</v>
      </c>
      <c r="CR69">
        <f>CH69*0.02</f>
        <v>15</v>
      </c>
      <c r="CS69">
        <f>CI69*0.015</f>
        <v>8.25</v>
      </c>
      <c r="CT69">
        <f>CJ69*0.015</f>
        <v>4.5</v>
      </c>
      <c r="CU69">
        <f>CK69*0.015</f>
        <v>9.7292307000000005</v>
      </c>
      <c r="CV69">
        <f>CL69*0.015</f>
        <v>2.6999999999999997</v>
      </c>
      <c r="CW69">
        <f>CM69*0.01</f>
        <v>1.48</v>
      </c>
      <c r="CX69">
        <f>CN69*0.015</f>
        <v>2.46</v>
      </c>
      <c r="CY69">
        <f>CO69*0.015</f>
        <v>3.98867175</v>
      </c>
      <c r="CZ69">
        <f>CP69*0.015</f>
        <v>2.6999999999999997</v>
      </c>
      <c r="DA69">
        <f>CQ69*0.01</f>
        <v>1.48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11.908571428571429</v>
      </c>
      <c r="EG69">
        <v>2.6463492063492065</v>
      </c>
      <c r="EH69">
        <v>1.8503884572697002</v>
      </c>
      <c r="EI69">
        <v>0</v>
      </c>
      <c r="EJ69">
        <v>1.5728301886792453</v>
      </c>
      <c r="EK69">
        <v>0</v>
      </c>
      <c r="EL69">
        <v>1.3106918238993712</v>
      </c>
      <c r="EM69">
        <v>0</v>
      </c>
      <c r="EN69">
        <v>1.0485534591194969</v>
      </c>
      <c r="EO69">
        <v>0</v>
      </c>
      <c r="EP69">
        <v>0</v>
      </c>
      <c r="EQ69">
        <v>0</v>
      </c>
      <c r="ER69">
        <v>0</v>
      </c>
      <c r="ES69">
        <v>0</v>
      </c>
      <c r="ET69">
        <f>$EQ69*B$3</f>
        <v>0</v>
      </c>
      <c r="EU69">
        <v>0</v>
      </c>
      <c r="EV69">
        <f>$EQ69*C$3</f>
        <v>0</v>
      </c>
      <c r="EW69">
        <v>0</v>
      </c>
      <c r="EX69">
        <f>$EQ69*D$3</f>
        <v>0</v>
      </c>
      <c r="EY69">
        <v>0</v>
      </c>
      <c r="EZ69">
        <v>2.5999999999999999E-2</v>
      </c>
      <c r="FA69">
        <v>1.7333333333333333E-2</v>
      </c>
      <c r="FB69">
        <v>1.0399999999999998E-2</v>
      </c>
      <c r="FC69">
        <v>0</v>
      </c>
      <c r="FD69">
        <v>1.7333333333333333E-2</v>
      </c>
      <c r="FE69">
        <v>0</v>
      </c>
      <c r="FF69">
        <v>1.7333333333333333E-2</v>
      </c>
      <c r="FG69">
        <v>0</v>
      </c>
      <c r="FH69">
        <v>1.7333333333333333E-2</v>
      </c>
      <c r="FI69">
        <v>0</v>
      </c>
      <c r="FJ69">
        <v>0.19207240142841048</v>
      </c>
      <c r="FK69">
        <v>0.11682954493601999</v>
      </c>
      <c r="FL69">
        <v>0.1096294314987091</v>
      </c>
      <c r="FM69" s="51">
        <v>0.10185220882315059</v>
      </c>
      <c r="FN69" s="51">
        <v>0.10185220882315059</v>
      </c>
      <c r="FO69" s="51">
        <v>0.10185220882315059</v>
      </c>
      <c r="FP69">
        <f>(FN69+FR69)/2</f>
        <v>9.5339821105211428E-2</v>
      </c>
      <c r="FQ69">
        <v>8.8827433387272267E-2</v>
      </c>
      <c r="FR69">
        <v>8.8827433387272267E-2</v>
      </c>
      <c r="FS69">
        <v>8.8827433387272267E-2</v>
      </c>
    </row>
  </sheetData>
  <mergeCells count="22">
    <mergeCell ref="P4:Y4"/>
    <mergeCell ref="A45:A69"/>
    <mergeCell ref="A4:C4"/>
    <mergeCell ref="D5:D8"/>
    <mergeCell ref="B5:B8"/>
    <mergeCell ref="C5:C8"/>
    <mergeCell ref="A9:A44"/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</mergeCells>
  <conditionalFormatting sqref="A2">
    <cfRule type="cellIs" dxfId="17" priority="3" operator="equal">
      <formula>TRUE</formula>
    </cfRule>
    <cfRule type="cellIs" dxfId="16" priority="4" operator="equal">
      <formula>FALSE</formula>
    </cfRule>
  </conditionalFormatting>
  <conditionalFormatting sqref="B2">
    <cfRule type="cellIs" dxfId="15" priority="1" operator="equal">
      <formula>FALSE</formula>
    </cfRule>
    <cfRule type="cellIs" dxfId="14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6"/>
  <sheetViews>
    <sheetView workbookViewId="0">
      <pane xSplit="2" topLeftCell="C1" activePane="topRight" state="frozen"/>
      <selection activeCell="A4" sqref="A4"/>
      <selection pane="topRight" activeCell="C27" sqref="C27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1.5546875" customWidth="1"/>
    <col min="4" max="4" width="15.109375" bestFit="1" customWidth="1"/>
    <col min="5" max="5" width="16.21875" bestFit="1" customWidth="1"/>
    <col min="6" max="6" width="16.21875" customWidth="1"/>
    <col min="7" max="7" width="13.44140625" bestFit="1" customWidth="1"/>
    <col min="8" max="8" width="14.5546875" bestFit="1" customWidth="1"/>
    <col min="10" max="10" width="15.44140625" customWidth="1"/>
    <col min="11" max="11" width="14.109375" customWidth="1"/>
    <col min="12" max="12" width="17.77734375" customWidth="1"/>
    <col min="13" max="13" width="15.44140625" customWidth="1"/>
  </cols>
  <sheetData>
    <row r="1" spans="1:14" x14ac:dyDescent="0.3">
      <c r="A1" s="17" t="s">
        <v>234</v>
      </c>
      <c r="B1" s="5" t="s">
        <v>170</v>
      </c>
      <c r="C1" t="s">
        <v>532</v>
      </c>
      <c r="D1" t="s">
        <v>103</v>
      </c>
      <c r="E1" t="s">
        <v>103</v>
      </c>
      <c r="F1" t="s">
        <v>103</v>
      </c>
      <c r="G1" t="s">
        <v>103</v>
      </c>
      <c r="H1" t="s">
        <v>103</v>
      </c>
      <c r="I1" t="s">
        <v>103</v>
      </c>
      <c r="J1" t="s">
        <v>103</v>
      </c>
      <c r="K1" t="s">
        <v>103</v>
      </c>
      <c r="L1" t="s">
        <v>103</v>
      </c>
      <c r="M1" t="s">
        <v>103</v>
      </c>
      <c r="N1" t="s">
        <v>103</v>
      </c>
    </row>
    <row r="2" spans="1:14" x14ac:dyDescent="0.3">
      <c r="A2" s="53" t="str">
        <f>B22</f>
        <v>Waste water plant</v>
      </c>
      <c r="B2" s="5" t="s">
        <v>153</v>
      </c>
      <c r="C2" s="33">
        <v>28.8</v>
      </c>
      <c r="D2" s="33">
        <v>19.899999999999999</v>
      </c>
      <c r="E2" s="33">
        <v>19.899999999999999</v>
      </c>
      <c r="F2" s="33">
        <v>19.899999999999999</v>
      </c>
      <c r="G2" s="33">
        <v>19.899999999999999</v>
      </c>
      <c r="H2" s="33">
        <v>19.899999999999999</v>
      </c>
      <c r="I2" s="33">
        <v>19.899999999999999</v>
      </c>
      <c r="J2" s="33">
        <v>19.899999999999999</v>
      </c>
      <c r="K2" s="33">
        <v>19.899999999999999</v>
      </c>
      <c r="L2" s="33">
        <v>19.899999999999999</v>
      </c>
      <c r="M2" s="33">
        <v>19.899999999999999</v>
      </c>
      <c r="N2" s="33">
        <v>19.899999999999999</v>
      </c>
    </row>
    <row r="3" spans="1:14" x14ac:dyDescent="0.3">
      <c r="A3" s="17" t="s">
        <v>235</v>
      </c>
      <c r="B3" t="s">
        <v>107</v>
      </c>
      <c r="C3" t="s">
        <v>104</v>
      </c>
      <c r="D3" t="s">
        <v>87</v>
      </c>
      <c r="E3" t="s">
        <v>104</v>
      </c>
      <c r="F3" t="s">
        <v>233</v>
      </c>
      <c r="G3" t="s">
        <v>87</v>
      </c>
      <c r="H3" t="s">
        <v>104</v>
      </c>
      <c r="I3" t="s">
        <v>233</v>
      </c>
      <c r="J3" t="s">
        <v>104</v>
      </c>
      <c r="K3" t="s">
        <v>87</v>
      </c>
      <c r="L3" t="s">
        <v>122</v>
      </c>
      <c r="M3" t="s">
        <v>104</v>
      </c>
      <c r="N3" t="s">
        <v>104</v>
      </c>
    </row>
    <row r="4" spans="1:14" x14ac:dyDescent="0.3">
      <c r="A4" s="53" t="s">
        <v>162</v>
      </c>
      <c r="B4" t="s">
        <v>123</v>
      </c>
      <c r="C4" t="s">
        <v>533</v>
      </c>
      <c r="D4" t="s">
        <v>93</v>
      </c>
      <c r="E4" t="s">
        <v>93</v>
      </c>
      <c r="F4" t="s">
        <v>93</v>
      </c>
      <c r="G4" t="s">
        <v>124</v>
      </c>
      <c r="H4" t="s">
        <v>124</v>
      </c>
      <c r="I4" t="s">
        <v>124</v>
      </c>
      <c r="J4" t="s">
        <v>529</v>
      </c>
      <c r="K4" t="s">
        <v>529</v>
      </c>
      <c r="L4" t="s">
        <v>529</v>
      </c>
      <c r="M4" t="s">
        <v>512</v>
      </c>
      <c r="N4" t="s">
        <v>528</v>
      </c>
    </row>
    <row r="5" spans="1:14" x14ac:dyDescent="0.3">
      <c r="A5" s="3"/>
      <c r="B5" s="5" t="s">
        <v>125</v>
      </c>
      <c r="C5" t="str">
        <f t="shared" ref="C5:L5" si="0">C1&amp;"_"&amp;C3&amp;"_"&amp;C4</f>
        <v>DME_SOEC_W2</v>
      </c>
      <c r="D5" t="str">
        <f t="shared" si="0"/>
        <v>MeOH_AEC_DAC</v>
      </c>
      <c r="E5" t="str">
        <f t="shared" si="0"/>
        <v>MeOH_SOEC_DAC</v>
      </c>
      <c r="F5" t="str">
        <f t="shared" si="0"/>
        <v>MeOH_Mix_DAC</v>
      </c>
      <c r="G5" t="str">
        <f t="shared" si="0"/>
        <v>MeOH_AEC_PS</v>
      </c>
      <c r="H5" t="str">
        <f t="shared" si="0"/>
        <v>MeOH_SOEC_PS</v>
      </c>
      <c r="I5" t="str">
        <f t="shared" si="0"/>
        <v>MeOH_Mix_PS</v>
      </c>
      <c r="J5" t="str">
        <f t="shared" si="0"/>
        <v>MeOH_SOEC_Biogas</v>
      </c>
      <c r="K5" t="str">
        <f t="shared" si="0"/>
        <v>MeOH_AEC_Biogas</v>
      </c>
      <c r="L5" t="str">
        <f t="shared" si="0"/>
        <v>MeOH_None_Biogas</v>
      </c>
      <c r="M5" t="str">
        <f t="shared" ref="M5:N5" si="1">M1&amp;"_"&amp;M3&amp;"_"&amp;M4</f>
        <v>MeOH_SOEC_HT</v>
      </c>
      <c r="N5" t="str">
        <f t="shared" si="1"/>
        <v>MeOH_SOEC_Biomass</v>
      </c>
    </row>
    <row r="6" spans="1:14" x14ac:dyDescent="0.3">
      <c r="A6" s="2">
        <f>ROW(B6)-ROW($A$5)</f>
        <v>1</v>
      </c>
      <c r="B6" s="2" t="str">
        <f>Data_base_case!D9</f>
        <v>CO2 capture DAC</v>
      </c>
      <c r="C6" s="2">
        <f t="shared" ref="C6:M6" si="2">IF(AND(C1="MeOH",C4="DAC"),1,0)</f>
        <v>0</v>
      </c>
      <c r="D6" s="2">
        <f t="shared" si="2"/>
        <v>1</v>
      </c>
      <c r="E6" s="2">
        <f t="shared" si="2"/>
        <v>1</v>
      </c>
      <c r="F6" s="2">
        <f t="shared" si="2"/>
        <v>1</v>
      </c>
      <c r="G6" s="2">
        <f t="shared" si="2"/>
        <v>0</v>
      </c>
      <c r="H6" s="2">
        <f t="shared" si="2"/>
        <v>0</v>
      </c>
      <c r="I6" s="2">
        <f t="shared" si="2"/>
        <v>0</v>
      </c>
      <c r="J6" s="2">
        <f t="shared" ref="J6" si="3">IF(AND(J1="MeOH",J4="DAC"),1,0)</f>
        <v>0</v>
      </c>
      <c r="K6" s="2">
        <f t="shared" si="2"/>
        <v>0</v>
      </c>
      <c r="L6" s="2">
        <f t="shared" si="2"/>
        <v>0</v>
      </c>
      <c r="M6" s="2">
        <f t="shared" si="2"/>
        <v>0</v>
      </c>
      <c r="N6" s="2">
        <f t="shared" ref="N6" si="4">IF(AND(N1="MeOH",N4="DAC"),1,0)</f>
        <v>0</v>
      </c>
    </row>
    <row r="7" spans="1:14" x14ac:dyDescent="0.3">
      <c r="A7" s="2">
        <f t="shared" ref="A7:A66" si="5">ROW(B7)-ROW($A$5)</f>
        <v>2</v>
      </c>
      <c r="B7" s="2" t="str">
        <f>Data_base_case!D10</f>
        <v>CO2 capture PS</v>
      </c>
      <c r="C7" s="2">
        <f t="shared" ref="C7:M7" si="6">IF(AND(C1="MeOH",C4="PS"),1,0)</f>
        <v>0</v>
      </c>
      <c r="D7" s="2">
        <f t="shared" si="6"/>
        <v>0</v>
      </c>
      <c r="E7" s="2">
        <f t="shared" si="6"/>
        <v>0</v>
      </c>
      <c r="F7" s="2">
        <f t="shared" si="6"/>
        <v>0</v>
      </c>
      <c r="G7" s="2">
        <f t="shared" si="6"/>
        <v>1</v>
      </c>
      <c r="H7" s="2">
        <f t="shared" si="6"/>
        <v>1</v>
      </c>
      <c r="I7" s="2">
        <f t="shared" si="6"/>
        <v>1</v>
      </c>
      <c r="J7" s="2">
        <f t="shared" ref="J7" si="7">IF(AND(J1="MeOH",J4="PS"),1,0)</f>
        <v>0</v>
      </c>
      <c r="K7" s="2">
        <f t="shared" si="6"/>
        <v>0</v>
      </c>
      <c r="L7" s="2">
        <f t="shared" si="6"/>
        <v>0</v>
      </c>
      <c r="M7" s="2">
        <f t="shared" si="6"/>
        <v>0</v>
      </c>
      <c r="N7" s="2">
        <f t="shared" ref="N7" si="8">IF(AND(N1="MeOH",N4="PS"),1,0)</f>
        <v>0</v>
      </c>
    </row>
    <row r="8" spans="1:14" x14ac:dyDescent="0.3">
      <c r="A8" s="2">
        <f t="shared" si="5"/>
        <v>3</v>
      </c>
      <c r="B8" s="2" t="str">
        <f>Data_base_case!D11</f>
        <v>MeOH plant CCU</v>
      </c>
      <c r="C8" s="2">
        <f t="shared" ref="C8:I8" si="9">IF(AND(C1="MeOH"),1,0)</f>
        <v>0</v>
      </c>
      <c r="D8" s="2">
        <f t="shared" si="9"/>
        <v>1</v>
      </c>
      <c r="E8" s="2">
        <f t="shared" si="9"/>
        <v>1</v>
      </c>
      <c r="F8" s="2">
        <f t="shared" si="9"/>
        <v>1</v>
      </c>
      <c r="G8" s="2">
        <f t="shared" si="9"/>
        <v>1</v>
      </c>
      <c r="H8" s="2">
        <f t="shared" si="9"/>
        <v>1</v>
      </c>
      <c r="I8" s="2">
        <f t="shared" si="9"/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3">
      <c r="A9" s="2">
        <f t="shared" si="5"/>
        <v>4</v>
      </c>
      <c r="B9" s="2" t="str">
        <f>Data_base_case!D12</f>
        <v>MeOH plant - Biogas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0</v>
      </c>
    </row>
    <row r="10" spans="1:14" x14ac:dyDescent="0.3">
      <c r="A10" s="2">
        <f t="shared" si="5"/>
        <v>5</v>
      </c>
      <c r="B10" s="2" t="str">
        <f>Data_base_case!D13</f>
        <v>Biogas w H2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</row>
    <row r="11" spans="1:14" x14ac:dyDescent="0.3">
      <c r="A11" s="2">
        <f t="shared" si="5"/>
        <v>6</v>
      </c>
      <c r="B11" s="2" t="str">
        <f>Data_base_case!D14</f>
        <v>MeOH plant - Biogas only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</row>
    <row r="12" spans="1:14" x14ac:dyDescent="0.3">
      <c r="A12" s="2">
        <f t="shared" si="5"/>
        <v>7</v>
      </c>
      <c r="B12" s="2" t="str">
        <f>Data_base_case!D15</f>
        <v>Biogas wo H2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</row>
    <row r="13" spans="1:14" x14ac:dyDescent="0.3">
      <c r="A13" s="2">
        <f t="shared" si="5"/>
        <v>8</v>
      </c>
      <c r="B13" s="2" t="str">
        <f>Data_base_case!D16</f>
        <v>MeOH plant - Topsoe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</row>
    <row r="14" spans="1:14" x14ac:dyDescent="0.3">
      <c r="A14" s="2">
        <f t="shared" si="5"/>
        <v>9</v>
      </c>
      <c r="B14" s="2" t="str">
        <f>Data_base_case!D17</f>
        <v>Biogas HT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</row>
    <row r="15" spans="1:14" x14ac:dyDescent="0.3">
      <c r="A15" s="2">
        <f t="shared" si="5"/>
        <v>10</v>
      </c>
      <c r="B15" s="2" t="str">
        <f>Data_base_case!D18</f>
        <v>MeOH plant - biomass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</row>
    <row r="16" spans="1:14" x14ac:dyDescent="0.3">
      <c r="A16" s="2">
        <f t="shared" si="5"/>
        <v>11</v>
      </c>
      <c r="B16" s="2" t="str">
        <f>Data_base_case!D19</f>
        <v>Biomass wood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</row>
    <row r="17" spans="1:14" x14ac:dyDescent="0.3">
      <c r="A17" s="2">
        <f t="shared" si="5"/>
        <v>12</v>
      </c>
      <c r="B17" s="2" t="str">
        <f>Data_base_case!D20</f>
        <v>Biomass wheat 2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3">
      <c r="A18" s="2">
        <f t="shared" si="5"/>
        <v>13</v>
      </c>
      <c r="B18" s="2" t="str">
        <f>Data_base_case!D21</f>
        <v>Sale of biochar</v>
      </c>
      <c r="C18" s="2">
        <v>1</v>
      </c>
      <c r="D18" s="2">
        <f>IF(D2="Bio-eMeOH",1,0)</f>
        <v>0</v>
      </c>
      <c r="E18" s="2">
        <f>IF(E2="Bio-eMeOH",1,0)</f>
        <v>0</v>
      </c>
      <c r="F18" s="2">
        <f>IF(F2="Bio-eMeOH",1,0)</f>
        <v>0</v>
      </c>
      <c r="G18" s="2">
        <f>IF(G2="Bio-eMeOH",1,0)</f>
        <v>0</v>
      </c>
      <c r="H18" s="2">
        <f>IF(H2="Bio-eMeOH",1,0)</f>
        <v>0</v>
      </c>
      <c r="I18" s="2">
        <f>IF(I2="Bio-eMeOH",1,0)</f>
        <v>0</v>
      </c>
      <c r="J18" s="2">
        <f>IF(J2="Bio-eMeOH",1,0)</f>
        <v>0</v>
      </c>
      <c r="K18" s="2">
        <f>IF(K2="Bio-eMeOH",1,0)</f>
        <v>0</v>
      </c>
      <c r="L18" s="2">
        <f>IF(L2="Bio-eMeOH",1,0)</f>
        <v>0</v>
      </c>
      <c r="M18" s="2">
        <f>IF(M2="Bio-eMeOH",1,0)</f>
        <v>0</v>
      </c>
      <c r="N18" s="2">
        <f>IF(N2="Bio-eMeOH",1,0)</f>
        <v>0</v>
      </c>
    </row>
    <row r="19" spans="1:14" x14ac:dyDescent="0.3">
      <c r="A19" s="2">
        <f t="shared" si="5"/>
        <v>14</v>
      </c>
      <c r="B19" s="2" t="str">
        <f>Data_base_case!D22</f>
        <v>Wheat2-stage-SOEC</v>
      </c>
      <c r="C19" s="2">
        <v>1</v>
      </c>
      <c r="D19" s="2">
        <f>IF(AND(D1="DME-W2",D3="SOEC"),1,0)</f>
        <v>0</v>
      </c>
      <c r="E19" s="2">
        <f>IF(AND(E1="DME-W2",E3="SOEC"),1,0)</f>
        <v>0</v>
      </c>
      <c r="F19" s="2">
        <f>IF(AND(F1="DME-W2",F3="SOEC"),1,0)</f>
        <v>0</v>
      </c>
      <c r="G19" s="2">
        <f>IF(AND(G1="DME-W2",G3="SOEC"),1,0)</f>
        <v>0</v>
      </c>
      <c r="H19" s="2">
        <f>IF(AND(H1="DME-W2",H3="SOEC"),1,0)</f>
        <v>0</v>
      </c>
      <c r="I19" s="2">
        <f>IF(AND(I1="DME-W2",I3="SOEC"),1,0)</f>
        <v>0</v>
      </c>
      <c r="J19" s="2">
        <f>IF(AND(J1="DME-W2",J3="SOEC"),1,0)</f>
        <v>0</v>
      </c>
      <c r="K19" s="2">
        <f>IF(AND(K1="DME-W2",K3="SOEC"),1,0)</f>
        <v>0</v>
      </c>
      <c r="L19" s="2">
        <f>IF(AND(L1="DME-W2",L3="SOEC"),1,0)</f>
        <v>0</v>
      </c>
      <c r="M19" s="2">
        <f>IF(AND(M1="DME-W2",M3="SOEC"),1,0)</f>
        <v>0</v>
      </c>
      <c r="N19" s="2">
        <f>IF(AND(N1="DME-W2",N3="SOEC"),1,0)</f>
        <v>0</v>
      </c>
    </row>
    <row r="20" spans="1:14" x14ac:dyDescent="0.3">
      <c r="A20" s="2">
        <f t="shared" si="5"/>
        <v>15</v>
      </c>
      <c r="B20" s="2" t="str">
        <f>Data_base_case!D23</f>
        <v>H2 client</v>
      </c>
      <c r="C20" s="2">
        <f>IF(C1&lt;&gt;"H2",0,1)</f>
        <v>0</v>
      </c>
      <c r="D20" s="2">
        <f>IF(D1&lt;&gt;"H2",0,1)</f>
        <v>0</v>
      </c>
      <c r="E20" s="2">
        <f>IF(E1&lt;&gt;"H2",0,1)</f>
        <v>0</v>
      </c>
      <c r="F20" s="2">
        <f>IF(F1&lt;&gt;"H2",0,1)</f>
        <v>0</v>
      </c>
      <c r="G20" s="2">
        <f>IF(G1&lt;&gt;"H2",0,1)</f>
        <v>0</v>
      </c>
      <c r="H20" s="2">
        <f>IF(H1&lt;&gt;"H2",0,1)</f>
        <v>0</v>
      </c>
      <c r="I20" s="2">
        <f>IF(I1&lt;&gt;"H2",0,1)</f>
        <v>0</v>
      </c>
      <c r="J20" s="2">
        <f>IF(J1&lt;&gt;"H2",0,1)</f>
        <v>0</v>
      </c>
      <c r="K20" s="2">
        <f>IF(K1&lt;&gt;"H2",0,1)</f>
        <v>0</v>
      </c>
      <c r="L20" s="2">
        <f>IF(L1&lt;&gt;"H2",0,1)</f>
        <v>0</v>
      </c>
      <c r="M20" s="2">
        <f>IF(M1&lt;&gt;"H2",0,1)</f>
        <v>0</v>
      </c>
      <c r="N20" s="2">
        <f>IF(N1&lt;&gt;"H2",0,1)</f>
        <v>0</v>
      </c>
    </row>
    <row r="21" spans="1:14" x14ac:dyDescent="0.3">
      <c r="A21" s="2">
        <f t="shared" si="5"/>
        <v>16</v>
      </c>
      <c r="B21" s="2" t="str">
        <f>Data_base_case!D24</f>
        <v>Desalination plant</v>
      </c>
      <c r="C21" s="2">
        <f t="shared" ref="C21:N21" si="10">IF($A$2=$B21,1,0)</f>
        <v>0</v>
      </c>
      <c r="D21" s="2">
        <f t="shared" si="10"/>
        <v>0</v>
      </c>
      <c r="E21" s="2">
        <f t="shared" si="10"/>
        <v>0</v>
      </c>
      <c r="F21" s="2">
        <f t="shared" si="10"/>
        <v>0</v>
      </c>
      <c r="G21" s="2">
        <f t="shared" si="10"/>
        <v>0</v>
      </c>
      <c r="H21" s="2">
        <f t="shared" si="10"/>
        <v>0</v>
      </c>
      <c r="I21" s="2">
        <f t="shared" si="10"/>
        <v>0</v>
      </c>
      <c r="J21" s="2">
        <f t="shared" si="10"/>
        <v>0</v>
      </c>
      <c r="K21" s="2">
        <f t="shared" si="10"/>
        <v>0</v>
      </c>
      <c r="L21" s="2">
        <f t="shared" si="10"/>
        <v>0</v>
      </c>
      <c r="M21" s="2">
        <f t="shared" si="10"/>
        <v>0</v>
      </c>
      <c r="N21" s="2">
        <f t="shared" si="10"/>
        <v>0</v>
      </c>
    </row>
    <row r="22" spans="1:14" x14ac:dyDescent="0.3">
      <c r="A22" s="2">
        <f t="shared" si="5"/>
        <v>17</v>
      </c>
      <c r="B22" s="2" t="str">
        <f>Data_base_case!D25</f>
        <v>Waste water plant</v>
      </c>
      <c r="C22" s="2">
        <f t="shared" ref="C22:N23" si="11">IF($A$2=$B22,1,0)</f>
        <v>1</v>
      </c>
      <c r="D22" s="2">
        <f t="shared" si="11"/>
        <v>1</v>
      </c>
      <c r="E22" s="2">
        <f t="shared" si="11"/>
        <v>1</v>
      </c>
      <c r="F22" s="2">
        <f t="shared" si="11"/>
        <v>1</v>
      </c>
      <c r="G22" s="2">
        <f t="shared" si="11"/>
        <v>1</v>
      </c>
      <c r="H22" s="2">
        <f t="shared" si="11"/>
        <v>1</v>
      </c>
      <c r="I22" s="2">
        <f t="shared" si="11"/>
        <v>1</v>
      </c>
      <c r="J22" s="2">
        <f t="shared" si="11"/>
        <v>1</v>
      </c>
      <c r="K22" s="2">
        <f t="shared" si="11"/>
        <v>1</v>
      </c>
      <c r="L22" s="2">
        <f t="shared" si="11"/>
        <v>1</v>
      </c>
      <c r="M22" s="2">
        <f t="shared" si="11"/>
        <v>1</v>
      </c>
      <c r="N22" s="2">
        <f t="shared" si="11"/>
        <v>1</v>
      </c>
    </row>
    <row r="23" spans="1:14" x14ac:dyDescent="0.3">
      <c r="A23" s="2">
        <f t="shared" si="5"/>
        <v>18</v>
      </c>
      <c r="B23" s="2" t="str">
        <f>Data_base_case!D26</f>
        <v>Drinking water</v>
      </c>
      <c r="C23" s="2">
        <f t="shared" si="11"/>
        <v>0</v>
      </c>
      <c r="D23" s="2">
        <f t="shared" si="11"/>
        <v>0</v>
      </c>
      <c r="E23" s="2">
        <f t="shared" si="11"/>
        <v>0</v>
      </c>
      <c r="F23" s="2">
        <f t="shared" si="11"/>
        <v>0</v>
      </c>
      <c r="G23" s="2">
        <f t="shared" si="11"/>
        <v>0</v>
      </c>
      <c r="H23" s="2">
        <f t="shared" si="11"/>
        <v>0</v>
      </c>
      <c r="I23" s="2">
        <f t="shared" si="11"/>
        <v>0</v>
      </c>
      <c r="J23" s="2">
        <f t="shared" si="11"/>
        <v>0</v>
      </c>
      <c r="K23" s="2">
        <f t="shared" si="11"/>
        <v>0</v>
      </c>
      <c r="L23" s="2">
        <f t="shared" si="11"/>
        <v>0</v>
      </c>
      <c r="M23" s="2">
        <f t="shared" si="11"/>
        <v>0</v>
      </c>
      <c r="N23" s="2">
        <f t="shared" si="11"/>
        <v>0</v>
      </c>
    </row>
    <row r="24" spans="1:14" x14ac:dyDescent="0.3">
      <c r="A24" s="2">
        <f t="shared" si="5"/>
        <v>19</v>
      </c>
      <c r="B24" s="2" t="str">
        <f>Data_base_case!D27</f>
        <v>Electrolysers AEC</v>
      </c>
      <c r="C24" s="2">
        <f>IF(C3="AEC",1,0)</f>
        <v>0</v>
      </c>
      <c r="D24" s="2">
        <f>IF(D3="AEC",1,0)</f>
        <v>1</v>
      </c>
      <c r="E24" s="2">
        <f>IF(E3="AEC",1,0)</f>
        <v>0</v>
      </c>
      <c r="F24" s="2">
        <f>IF(F3="AEC",1,0)</f>
        <v>0</v>
      </c>
      <c r="G24" s="2">
        <f>IF(G3="AEC",1,0)</f>
        <v>1</v>
      </c>
      <c r="H24" s="2">
        <f>IF(H3="AEC",1,0)</f>
        <v>0</v>
      </c>
      <c r="I24" s="2">
        <f>IF(I3="AEC",1,0)</f>
        <v>0</v>
      </c>
      <c r="J24" s="2">
        <f>IF(J3="AEC",1,0)</f>
        <v>0</v>
      </c>
      <c r="K24" s="2">
        <f>IF(K3="AEC",1,0)</f>
        <v>1</v>
      </c>
      <c r="L24" s="2">
        <f>IF(L3="AEC",1,0)</f>
        <v>0</v>
      </c>
      <c r="M24" s="2">
        <f>IF(M3="AEC",1,0)</f>
        <v>0</v>
      </c>
      <c r="N24" s="2">
        <f>IF(N3="AEC",1,0)</f>
        <v>0</v>
      </c>
    </row>
    <row r="25" spans="1:14" x14ac:dyDescent="0.3">
      <c r="A25" s="2">
        <f t="shared" si="5"/>
        <v>20</v>
      </c>
      <c r="B25" s="2" t="str">
        <f>Data_base_case!D28</f>
        <v>Electrolysers SOEC heat integrated</v>
      </c>
      <c r="C25" s="2">
        <v>1</v>
      </c>
      <c r="D25" s="2">
        <f>IF(AND(D3="SOEC",OR(D1="DME-B2",D1="DME-B1",D1="DME-W2",D1="DME-W1",D1="NH3")),1,0)</f>
        <v>0</v>
      </c>
      <c r="E25" s="2">
        <f>IF(AND(E3="SOEC",OR(E1="DME-B2",E1="DME-B1",E1="DME-W2",E1="DME-W1",E1="NH3")),1,0)</f>
        <v>0</v>
      </c>
      <c r="F25" s="2">
        <f>IF(AND(F3="SOEC",OR(F1="DME-B2",F1="DME-B1",F1="DME-W2",F1="DME-W1",F1="NH3")),1,0)</f>
        <v>0</v>
      </c>
      <c r="G25" s="2">
        <f>IF(AND(G3="SOEC",OR(G1="DME-B2",G1="DME-B1",G1="DME-W2",G1="DME-W1",G1="NH3")),1,0)</f>
        <v>0</v>
      </c>
      <c r="H25" s="2">
        <f>IF(AND(H3="SOEC",OR(H1="DME-B2",H1="DME-B1",H1="DME-W2",H1="DME-W1",H1="NH3")),1,0)</f>
        <v>0</v>
      </c>
      <c r="I25" s="2">
        <f>IF(AND(I3="SOEC",OR(I1="DME-B2",I1="DME-B1",I1="DME-W2",I1="DME-W1",I1="NH3")),1,0)</f>
        <v>0</v>
      </c>
      <c r="J25" s="2">
        <f>IF(AND(J3="SOEC",OR(J1="DME-B2",J1="DME-B1",J1="DME-W2",J1="DME-W1",J1="NH3")),1,0)</f>
        <v>0</v>
      </c>
      <c r="K25" s="2">
        <f>IF(AND(K3="SOEC",OR(K1="DME-B2",K1="DME-B1",K1="DME-W2",K1="DME-W1",K1="NH3")),1,0)</f>
        <v>0</v>
      </c>
      <c r="L25" s="2">
        <f>IF(AND(L3="SOEC",OR(L1="DME-B2",L1="DME-B1",L1="DME-W2",L1="DME-W1",L1="NH3")),1,0)</f>
        <v>0</v>
      </c>
      <c r="M25" s="2">
        <v>0</v>
      </c>
      <c r="N25" s="2">
        <v>0</v>
      </c>
    </row>
    <row r="26" spans="1:14" x14ac:dyDescent="0.3">
      <c r="A26" s="2">
        <f t="shared" si="5"/>
        <v>21</v>
      </c>
      <c r="B26" s="2" t="str">
        <f>Data_base_case!D29</f>
        <v>Electrolysers SOEC alone</v>
      </c>
      <c r="C26" s="2">
        <f>IF(AND(C3="SOEC",OR(C1="MeOH",C1="H2")),1,0)</f>
        <v>0</v>
      </c>
      <c r="D26" s="2">
        <f>IF(AND(D3="SOEC",OR(D1="MeOH",D1="H2")),1,0)</f>
        <v>0</v>
      </c>
      <c r="E26" s="2">
        <f>IF(AND(E3="SOEC",OR(E1="MeOH",E1="H2")),1,0)</f>
        <v>1</v>
      </c>
      <c r="F26" s="2">
        <f>IF(AND(F3="SOEC",OR(F1="MeOH",F1="H2")),1,0)</f>
        <v>0</v>
      </c>
      <c r="G26" s="2">
        <f>IF(AND(G3="SOEC",OR(G1="MeOH",G1="H2")),1,0)</f>
        <v>0</v>
      </c>
      <c r="H26" s="2">
        <f>IF(AND(H3="SOEC",OR(H1="MeOH",H1="H2")),1,0)</f>
        <v>1</v>
      </c>
      <c r="I26" s="2">
        <f>IF(AND(I3="SOEC",OR(I1="MeOH",I1="H2")),1,0)</f>
        <v>0</v>
      </c>
      <c r="J26" s="2">
        <f>IF(AND(J3="SOEC",OR(J1="MeOH",J1="H2")),1,0)</f>
        <v>1</v>
      </c>
      <c r="K26" s="2">
        <f>IF(AND(K3="SOEC",OR(K1="MeOH",K1="H2")),1,0)</f>
        <v>0</v>
      </c>
      <c r="L26" s="2">
        <f>IF(AND(L3="SOEC",OR(L1="MeOH",L1="H2")),1,0)</f>
        <v>0</v>
      </c>
      <c r="M26" s="2">
        <v>0</v>
      </c>
      <c r="N26" s="2">
        <v>1</v>
      </c>
    </row>
    <row r="27" spans="1:14" x14ac:dyDescent="0.3">
      <c r="A27" s="2">
        <f t="shared" si="5"/>
        <v>22</v>
      </c>
      <c r="B27" s="2" t="str">
        <f>Data_base_case!D30</f>
        <v>Electrolysers 75AEC-25SOEC_HI</v>
      </c>
      <c r="C27" s="2">
        <f>IF(AND(C3="Mix",OR(C1="Bio-eMeOH",C1="NH3")),1,0)</f>
        <v>0</v>
      </c>
      <c r="D27" s="2">
        <f>IF(AND(D3="Mix",OR(D1="Bio-eMeOH",D1="NH3")),1,0)</f>
        <v>0</v>
      </c>
      <c r="E27" s="2">
        <f>IF(AND(E3="Mix",OR(E1="Bio-eMeOH",E1="NH3")),1,0)</f>
        <v>0</v>
      </c>
      <c r="F27" s="2">
        <f>IF(AND(F3="Mix",OR(F1="Bio-eMeOH",F1="NH3")),1,0)</f>
        <v>0</v>
      </c>
      <c r="G27" s="2">
        <f>IF(AND(G3="Mix",OR(G1="Bio-eMeOH",G1="NH3")),1,0)</f>
        <v>0</v>
      </c>
      <c r="H27" s="2">
        <f>IF(AND(H3="Mix",OR(H1="Bio-eMeOH",H1="NH3")),1,0)</f>
        <v>0</v>
      </c>
      <c r="I27" s="2">
        <f>IF(AND(I3="Mix",OR(I1="Bio-eMeOH",I1="NH3")),1,0)</f>
        <v>0</v>
      </c>
      <c r="J27" s="2">
        <f>IF(AND(J3="Mix",OR(J1="Bio-eMeOH",J1="NH3")),1,0)</f>
        <v>0</v>
      </c>
      <c r="K27" s="2">
        <f>IF(AND(K3="Mix",OR(K1="Bio-eMeOH",K1="NH3")),1,0)</f>
        <v>0</v>
      </c>
      <c r="L27" s="2">
        <f>IF(AND(L3="Mix",OR(L1="Bio-eMeOH",L1="NH3")),1,0)</f>
        <v>0</v>
      </c>
      <c r="M27" s="2">
        <f>IF(AND(M3="Mix",OR(M1="Bio-eMeOH",M1="NH3")),1,0)</f>
        <v>0</v>
      </c>
      <c r="N27" s="2">
        <f>IF(AND(N3="Mix",OR(N1="Bio-eMeOH",N1="NH3")),1,0)</f>
        <v>0</v>
      </c>
    </row>
    <row r="28" spans="1:14" x14ac:dyDescent="0.3">
      <c r="A28" s="2">
        <f t="shared" si="5"/>
        <v>23</v>
      </c>
      <c r="B28" s="2" t="str">
        <f>Data_base_case!D31</f>
        <v>Electrolysers 75AEC-25SOEC_A</v>
      </c>
      <c r="C28" s="2">
        <f>IF(AND(C3="Mix",OR(C1="MeOH",C1="H2")),1,0)</f>
        <v>0</v>
      </c>
      <c r="D28" s="2">
        <f>IF(AND(D3="Mix",OR(D1="MeOH",D1="H2")),1,0)</f>
        <v>0</v>
      </c>
      <c r="E28" s="2">
        <f>IF(AND(E3="Mix",OR(E1="MeOH",E1="H2")),1,0)</f>
        <v>0</v>
      </c>
      <c r="F28" s="2">
        <f>IF(AND(F3="Mix",OR(F1="MeOH",F1="H2")),1,0)</f>
        <v>1</v>
      </c>
      <c r="G28" s="2">
        <f>IF(AND(G3="Mix",OR(G1="MeOH",G1="H2")),1,0)</f>
        <v>0</v>
      </c>
      <c r="H28" s="2">
        <f>IF(AND(H3="Mix",OR(H1="MeOH",H1="H2")),1,0)</f>
        <v>0</v>
      </c>
      <c r="I28" s="2">
        <f>IF(AND(I3="Mix",OR(I1="MeOH",I1="H2")),1,0)</f>
        <v>1</v>
      </c>
      <c r="J28" s="2">
        <f>IF(AND(J3="Mix",OR(J1="MeOH",J1="H2")),1,0)</f>
        <v>0</v>
      </c>
      <c r="K28" s="2">
        <f>IF(AND(K3="Mix",OR(K1="MeOH",K1="H2")),1,0)</f>
        <v>0</v>
      </c>
      <c r="L28" s="2">
        <f>IF(AND(L3="Mix",OR(L1="MeOH",L1="H2")),1,0)</f>
        <v>0</v>
      </c>
      <c r="M28" s="2">
        <f>IF(AND(M3="Mix",OR(M1="MeOH",M1="H2")),1,0)</f>
        <v>0</v>
      </c>
      <c r="N28" s="2">
        <f>IF(AND(N3="Mix",OR(N1="MeOH",N1="H2")),1,0)</f>
        <v>0</v>
      </c>
    </row>
    <row r="29" spans="1:14" x14ac:dyDescent="0.3">
      <c r="A29" s="2">
        <f t="shared" si="5"/>
        <v>24</v>
      </c>
      <c r="B29" s="2" t="str">
        <f>Data_base_case!D32</f>
        <v>H2 pipeline to MeOH plant</v>
      </c>
      <c r="C29" s="2">
        <f>IF(C1="MeOH",1,0)</f>
        <v>0</v>
      </c>
      <c r="D29" s="2">
        <f>IF(D1="MeOH",1,0)</f>
        <v>1</v>
      </c>
      <c r="E29" s="2">
        <f>IF(E1="MeOH",1,0)</f>
        <v>1</v>
      </c>
      <c r="F29" s="2">
        <f>IF(F1="MeOH",1,0)</f>
        <v>1</v>
      </c>
      <c r="G29" s="2">
        <f>IF(G1="MeOH",1,0)</f>
        <v>1</v>
      </c>
      <c r="H29" s="2">
        <f>IF(H1="MeOH",1,0)</f>
        <v>1</v>
      </c>
      <c r="I29" s="2">
        <f>IF(I1="MeOH",1,0)</f>
        <v>1</v>
      </c>
      <c r="J29" s="2">
        <f>IF(J1="MeOH",1,0)</f>
        <v>1</v>
      </c>
      <c r="K29" s="2">
        <f>IF(K1="MeOH",1,0)</f>
        <v>1</v>
      </c>
      <c r="L29" s="2">
        <v>0</v>
      </c>
      <c r="M29" s="2">
        <v>0</v>
      </c>
      <c r="N29" s="2">
        <v>1</v>
      </c>
    </row>
    <row r="30" spans="1:14" x14ac:dyDescent="0.3">
      <c r="A30" s="2">
        <f t="shared" si="5"/>
        <v>25</v>
      </c>
      <c r="B30" s="2" t="str">
        <f>Data_base_case!D33</f>
        <v>H2 pipeline to Wheat-2</v>
      </c>
      <c r="C30" s="2">
        <f>C19</f>
        <v>1</v>
      </c>
      <c r="D30" s="2">
        <f>D19</f>
        <v>0</v>
      </c>
      <c r="E30" s="2">
        <f>E19</f>
        <v>0</v>
      </c>
      <c r="F30" s="2">
        <f>F19</f>
        <v>0</v>
      </c>
      <c r="G30" s="2">
        <f>G19</f>
        <v>0</v>
      </c>
      <c r="H30" s="2">
        <f>H19</f>
        <v>0</v>
      </c>
      <c r="I30" s="2">
        <f>I19</f>
        <v>0</v>
      </c>
      <c r="J30" s="2">
        <f>J19</f>
        <v>0</v>
      </c>
      <c r="K30" s="2">
        <f>K19</f>
        <v>0</v>
      </c>
      <c r="L30" s="2">
        <f>L19</f>
        <v>0</v>
      </c>
      <c r="M30" s="2">
        <f>M19</f>
        <v>0</v>
      </c>
      <c r="N30" s="2">
        <f>N19</f>
        <v>0</v>
      </c>
    </row>
    <row r="31" spans="1:14" x14ac:dyDescent="0.3">
      <c r="A31" s="2">
        <f t="shared" si="5"/>
        <v>26</v>
      </c>
      <c r="B31" s="2" t="str">
        <f>Data_base_case!D34</f>
        <v>H2 pipeline to client</v>
      </c>
      <c r="C31" s="2">
        <f>IF(C1 = "H2",1,0)</f>
        <v>0</v>
      </c>
      <c r="D31" s="2">
        <f>IF(D1 = "H2",1,0)</f>
        <v>0</v>
      </c>
      <c r="E31" s="2">
        <f>IF(E1 = "H2",1,0)</f>
        <v>0</v>
      </c>
      <c r="F31" s="2">
        <f>IF(F1 = "H2",1,0)</f>
        <v>0</v>
      </c>
      <c r="G31" s="2">
        <f>IF(G1 = "H2",1,0)</f>
        <v>0</v>
      </c>
      <c r="H31" s="2">
        <f>IF(H1 = "H2",1,0)</f>
        <v>0</v>
      </c>
      <c r="I31" s="2">
        <f>IF(I1 = "H2",1,0)</f>
        <v>0</v>
      </c>
      <c r="J31" s="2">
        <f>IF(J1 = "H2",1,0)</f>
        <v>0</v>
      </c>
      <c r="K31" s="2">
        <f>IF(K1 = "H2",1,0)</f>
        <v>0</v>
      </c>
      <c r="L31" s="2">
        <f>IF(L1 = "H2",1,0)</f>
        <v>0</v>
      </c>
      <c r="M31" s="2">
        <f>IF(M1 = "H2",1,0)</f>
        <v>0</v>
      </c>
      <c r="N31" s="2">
        <f>IF(N1 = "H2",1,0)</f>
        <v>0</v>
      </c>
    </row>
    <row r="32" spans="1:14" x14ac:dyDescent="0.3">
      <c r="A32" s="2">
        <f t="shared" si="5"/>
        <v>27</v>
      </c>
      <c r="B32" s="2" t="str">
        <f>Data_base_case!D35</f>
        <v>Heat from district heating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</row>
    <row r="33" spans="1:14" x14ac:dyDescent="0.3">
      <c r="A33" s="2">
        <f t="shared" si="5"/>
        <v>28</v>
      </c>
      <c r="B33" s="2" t="str">
        <f>Data_base_case!D36</f>
        <v>Heat sent to district heating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</row>
    <row r="34" spans="1:14" x14ac:dyDescent="0.3">
      <c r="A34" s="2">
        <f t="shared" si="5"/>
        <v>29</v>
      </c>
      <c r="B34" s="2" t="str">
        <f>Data_base_case!D37</f>
        <v>Heat sent to other process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</row>
    <row r="35" spans="1:14" x14ac:dyDescent="0.3">
      <c r="A35" s="2">
        <f t="shared" si="5"/>
        <v>30</v>
      </c>
      <c r="B35" s="2" t="str">
        <f>Data_base_case!D38</f>
        <v>Sale of oxygen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</row>
    <row r="36" spans="1:14" x14ac:dyDescent="0.3">
      <c r="A36" s="2">
        <f t="shared" si="5"/>
        <v>31</v>
      </c>
      <c r="B36" s="2" t="str">
        <f>Data_base_case!D39</f>
        <v>H2 tank compressor</v>
      </c>
      <c r="C36" s="2">
        <f t="shared" ref="C36:M36" si="12">C38</f>
        <v>0</v>
      </c>
      <c r="D36" s="2">
        <f t="shared" si="12"/>
        <v>0</v>
      </c>
      <c r="E36" s="2">
        <f t="shared" si="12"/>
        <v>0</v>
      </c>
      <c r="F36" s="2">
        <f t="shared" si="12"/>
        <v>0</v>
      </c>
      <c r="G36" s="2">
        <f t="shared" si="12"/>
        <v>0</v>
      </c>
      <c r="H36" s="2">
        <f t="shared" si="12"/>
        <v>0</v>
      </c>
      <c r="I36" s="2">
        <f t="shared" si="12"/>
        <v>0</v>
      </c>
      <c r="J36" s="2">
        <f t="shared" ref="J36" si="13">J38</f>
        <v>0</v>
      </c>
      <c r="K36" s="2">
        <f t="shared" si="12"/>
        <v>0</v>
      </c>
      <c r="L36" s="2">
        <f t="shared" si="12"/>
        <v>0</v>
      </c>
      <c r="M36" s="2">
        <f t="shared" si="12"/>
        <v>0</v>
      </c>
      <c r="N36" s="2">
        <f t="shared" ref="N36" si="14">N38</f>
        <v>0</v>
      </c>
    </row>
    <row r="37" spans="1:14" x14ac:dyDescent="0.3">
      <c r="A37" s="2">
        <f t="shared" si="5"/>
        <v>32</v>
      </c>
      <c r="B37" s="2" t="str">
        <f>Data_base_case!D40</f>
        <v>H2 tank valve</v>
      </c>
      <c r="C37" s="2">
        <f t="shared" ref="C37:N37" si="15">C38</f>
        <v>0</v>
      </c>
      <c r="D37" s="2">
        <f t="shared" si="15"/>
        <v>0</v>
      </c>
      <c r="E37" s="2">
        <f t="shared" si="15"/>
        <v>0</v>
      </c>
      <c r="F37" s="2">
        <f t="shared" si="15"/>
        <v>0</v>
      </c>
      <c r="G37" s="2">
        <f t="shared" si="15"/>
        <v>0</v>
      </c>
      <c r="H37" s="2">
        <f t="shared" si="15"/>
        <v>0</v>
      </c>
      <c r="I37" s="2">
        <f t="shared" si="15"/>
        <v>0</v>
      </c>
      <c r="J37" s="2">
        <f t="shared" si="15"/>
        <v>0</v>
      </c>
      <c r="K37" s="2">
        <f t="shared" si="15"/>
        <v>0</v>
      </c>
      <c r="L37" s="2">
        <f t="shared" si="15"/>
        <v>0</v>
      </c>
      <c r="M37" s="2">
        <f t="shared" si="15"/>
        <v>0</v>
      </c>
      <c r="N37" s="2">
        <f t="shared" si="15"/>
        <v>0</v>
      </c>
    </row>
    <row r="38" spans="1:14" x14ac:dyDescent="0.3">
      <c r="A38" s="2">
        <f t="shared" si="5"/>
        <v>33</v>
      </c>
      <c r="B38" s="2" t="str">
        <f>Data_base_case!D41</f>
        <v>H2 tank</v>
      </c>
      <c r="C38" s="2">
        <f t="shared" ref="C38:M38" si="16">IF($B35=$A$4,1,0)</f>
        <v>0</v>
      </c>
      <c r="D38" s="2">
        <f t="shared" si="16"/>
        <v>0</v>
      </c>
      <c r="E38" s="2">
        <f t="shared" si="16"/>
        <v>0</v>
      </c>
      <c r="F38" s="2">
        <f t="shared" si="16"/>
        <v>0</v>
      </c>
      <c r="G38" s="2">
        <f t="shared" si="16"/>
        <v>0</v>
      </c>
      <c r="H38" s="2">
        <f t="shared" si="16"/>
        <v>0</v>
      </c>
      <c r="I38" s="2">
        <f t="shared" si="16"/>
        <v>0</v>
      </c>
      <c r="J38" s="2">
        <f t="shared" ref="J38" si="17">IF($B35=$A$4,1,0)</f>
        <v>0</v>
      </c>
      <c r="K38" s="2">
        <f t="shared" si="16"/>
        <v>0</v>
      </c>
      <c r="L38" s="2">
        <f t="shared" si="16"/>
        <v>0</v>
      </c>
      <c r="M38" s="2">
        <f t="shared" si="16"/>
        <v>0</v>
      </c>
      <c r="N38" s="2">
        <f t="shared" ref="N38" si="18">IF($B35=$A$4,1,0)</f>
        <v>0</v>
      </c>
    </row>
    <row r="39" spans="1:14" x14ac:dyDescent="0.3">
      <c r="A39" s="2">
        <f t="shared" si="5"/>
        <v>34</v>
      </c>
      <c r="B39" s="2" t="str">
        <f>Data_base_case!D42</f>
        <v>H2 pipes compressor</v>
      </c>
      <c r="C39" s="2">
        <f t="shared" ref="C39:M39" si="19">C41</f>
        <v>1</v>
      </c>
      <c r="D39" s="2">
        <f t="shared" si="19"/>
        <v>1</v>
      </c>
      <c r="E39" s="2">
        <f t="shared" si="19"/>
        <v>1</v>
      </c>
      <c r="F39" s="2">
        <f t="shared" si="19"/>
        <v>1</v>
      </c>
      <c r="G39" s="2">
        <f t="shared" si="19"/>
        <v>1</v>
      </c>
      <c r="H39" s="2">
        <f t="shared" si="19"/>
        <v>1</v>
      </c>
      <c r="I39" s="2">
        <f t="shared" si="19"/>
        <v>1</v>
      </c>
      <c r="J39" s="2">
        <f t="shared" ref="J39" si="20">J41</f>
        <v>1</v>
      </c>
      <c r="K39" s="2">
        <f t="shared" si="19"/>
        <v>1</v>
      </c>
      <c r="L39" s="2">
        <f t="shared" si="19"/>
        <v>1</v>
      </c>
      <c r="M39" s="2">
        <f t="shared" si="19"/>
        <v>1</v>
      </c>
      <c r="N39" s="2">
        <f t="shared" ref="N39" si="21">N41</f>
        <v>1</v>
      </c>
    </row>
    <row r="40" spans="1:14" x14ac:dyDescent="0.3">
      <c r="A40" s="2">
        <f t="shared" si="5"/>
        <v>35</v>
      </c>
      <c r="B40" s="2" t="str">
        <f>Data_base_case!D43</f>
        <v>H2 pipes valve</v>
      </c>
      <c r="C40" s="2">
        <f t="shared" ref="C40:N40" si="22">C41</f>
        <v>1</v>
      </c>
      <c r="D40" s="2">
        <f t="shared" si="22"/>
        <v>1</v>
      </c>
      <c r="E40" s="2">
        <f t="shared" si="22"/>
        <v>1</v>
      </c>
      <c r="F40" s="2">
        <f t="shared" si="22"/>
        <v>1</v>
      </c>
      <c r="G40" s="2">
        <f t="shared" si="22"/>
        <v>1</v>
      </c>
      <c r="H40" s="2">
        <f t="shared" si="22"/>
        <v>1</v>
      </c>
      <c r="I40" s="2">
        <f t="shared" si="22"/>
        <v>1</v>
      </c>
      <c r="J40" s="2">
        <f t="shared" si="22"/>
        <v>1</v>
      </c>
      <c r="K40" s="2">
        <f t="shared" si="22"/>
        <v>1</v>
      </c>
      <c r="L40" s="2">
        <f t="shared" si="22"/>
        <v>1</v>
      </c>
      <c r="M40" s="2">
        <f t="shared" si="22"/>
        <v>1</v>
      </c>
      <c r="N40" s="2">
        <f t="shared" si="22"/>
        <v>1</v>
      </c>
    </row>
    <row r="41" spans="1:14" x14ac:dyDescent="0.3">
      <c r="A41" s="2">
        <f t="shared" si="5"/>
        <v>36</v>
      </c>
      <c r="B41" s="2" t="str">
        <f>Data_base_case!D44</f>
        <v>H2 buried pipes</v>
      </c>
      <c r="C41" s="2">
        <f t="shared" ref="C41:N41" si="23">IF($B41=$A$4,1,0)</f>
        <v>1</v>
      </c>
      <c r="D41" s="2">
        <f t="shared" si="23"/>
        <v>1</v>
      </c>
      <c r="E41" s="2">
        <f t="shared" si="23"/>
        <v>1</v>
      </c>
      <c r="F41" s="2">
        <f t="shared" si="23"/>
        <v>1</v>
      </c>
      <c r="G41" s="2">
        <f t="shared" si="23"/>
        <v>1</v>
      </c>
      <c r="H41" s="2">
        <f t="shared" si="23"/>
        <v>1</v>
      </c>
      <c r="I41" s="2">
        <f t="shared" si="23"/>
        <v>1</v>
      </c>
      <c r="J41" s="2">
        <f t="shared" si="23"/>
        <v>1</v>
      </c>
      <c r="K41" s="2">
        <f t="shared" si="23"/>
        <v>1</v>
      </c>
      <c r="L41" s="2">
        <v>1</v>
      </c>
      <c r="M41" s="2">
        <f t="shared" si="23"/>
        <v>1</v>
      </c>
      <c r="N41" s="2">
        <f t="shared" si="23"/>
        <v>1</v>
      </c>
    </row>
    <row r="42" spans="1:14" x14ac:dyDescent="0.3">
      <c r="A42" s="2">
        <f t="shared" si="5"/>
        <v>37</v>
      </c>
      <c r="B42" s="2" t="str">
        <f>Data_base_case!D45</f>
        <v>Solar fixed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</row>
    <row r="43" spans="1:14" x14ac:dyDescent="0.3">
      <c r="A43" s="2">
        <f t="shared" si="5"/>
        <v>38</v>
      </c>
      <c r="B43" s="2" t="str">
        <f>Data_base_case!D46</f>
        <v>Solar tracking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</row>
    <row r="44" spans="1:14" x14ac:dyDescent="0.3">
      <c r="A44" s="2">
        <f t="shared" si="5"/>
        <v>39</v>
      </c>
      <c r="B44" s="2" t="str">
        <f>Data_base_case!D47</f>
        <v>ON_SP198-HH100</v>
      </c>
      <c r="C44" s="2">
        <v>0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3">
      <c r="A45" s="2">
        <f t="shared" si="5"/>
        <v>40</v>
      </c>
      <c r="B45" s="2" t="str">
        <f>Data_base_case!D48</f>
        <v>ON_SP198-HH150</v>
      </c>
      <c r="C45" s="2">
        <v>0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3">
      <c r="A46" s="2">
        <f t="shared" si="5"/>
        <v>41</v>
      </c>
      <c r="B46" s="2" t="str">
        <f>Data_base_case!D49</f>
        <v>ON_SP237-HH100</v>
      </c>
      <c r="C46" s="2">
        <v>0</v>
      </c>
      <c r="D46" s="2">
        <v>0</v>
      </c>
      <c r="E46" s="2">
        <v>0</v>
      </c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3">
      <c r="A47" s="2">
        <f t="shared" si="5"/>
        <v>42</v>
      </c>
      <c r="B47" s="2" t="str">
        <f>Data_base_case!D50</f>
        <v>ON_SP237-HH150</v>
      </c>
      <c r="C47" s="2">
        <v>0</v>
      </c>
      <c r="D47" s="2">
        <v>0</v>
      </c>
      <c r="E47" s="2">
        <v>0</v>
      </c>
      <c r="F47" s="2">
        <v>1</v>
      </c>
      <c r="G47" s="2">
        <v>1</v>
      </c>
      <c r="H47" s="2">
        <v>1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3">
      <c r="A48" s="2">
        <f t="shared" si="5"/>
        <v>43</v>
      </c>
      <c r="B48" s="2" t="str">
        <f>Data_base_case!D51</f>
        <v>ON_SP277-HH100</v>
      </c>
      <c r="C48" s="2">
        <v>0</v>
      </c>
      <c r="D48" s="2">
        <v>0</v>
      </c>
      <c r="E48" s="2">
        <v>0</v>
      </c>
      <c r="F48" s="2">
        <v>1</v>
      </c>
      <c r="G48" s="2">
        <v>1</v>
      </c>
      <c r="H48" s="2">
        <v>1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3">
      <c r="A49" s="2">
        <f t="shared" si="5"/>
        <v>44</v>
      </c>
      <c r="B49" s="2" t="str">
        <f>Data_base_case!D52</f>
        <v>ON_SP277-HH150</v>
      </c>
      <c r="C49" s="2">
        <v>0</v>
      </c>
      <c r="D49" s="2">
        <v>0</v>
      </c>
      <c r="E49" s="2">
        <v>0</v>
      </c>
      <c r="F49" s="2">
        <v>1</v>
      </c>
      <c r="G49" s="2">
        <v>1</v>
      </c>
      <c r="H49" s="2">
        <v>1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3">
      <c r="A50" s="2">
        <f t="shared" si="5"/>
        <v>45</v>
      </c>
      <c r="B50" s="2" t="str">
        <f>Data_base_case!D53</f>
        <v>ON_SP321-HH100</v>
      </c>
      <c r="C50" s="2">
        <v>0</v>
      </c>
      <c r="D50" s="2">
        <v>0</v>
      </c>
      <c r="E50" s="2">
        <v>0</v>
      </c>
      <c r="F50" s="2">
        <v>1</v>
      </c>
      <c r="G50" s="2">
        <v>1</v>
      </c>
      <c r="H50" s="2">
        <v>1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3">
      <c r="A51" s="2">
        <f t="shared" si="5"/>
        <v>46</v>
      </c>
      <c r="B51" s="2" t="str">
        <f>Data_base_case!D54</f>
        <v>ON_SP321-HH150</v>
      </c>
      <c r="C51" s="2">
        <v>0</v>
      </c>
      <c r="D51" s="2">
        <v>0</v>
      </c>
      <c r="E51" s="2">
        <v>0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3">
      <c r="A52" s="2">
        <f t="shared" si="5"/>
        <v>47</v>
      </c>
      <c r="B52" s="2" t="str">
        <f>Data_base_case!D55</f>
        <v>OFF_SP379-HH100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0</v>
      </c>
      <c r="M52" s="2">
        <v>1</v>
      </c>
      <c r="N52" s="2">
        <v>1</v>
      </c>
    </row>
    <row r="53" spans="1:14" x14ac:dyDescent="0.3">
      <c r="A53" s="2">
        <f t="shared" si="5"/>
        <v>48</v>
      </c>
      <c r="B53" s="2" t="str">
        <f>Data_base_case!D56</f>
        <v>OFF_SP379-HH150</v>
      </c>
      <c r="C53" s="2">
        <v>1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1</v>
      </c>
      <c r="L53" s="2">
        <v>0</v>
      </c>
      <c r="M53" s="2">
        <v>1</v>
      </c>
      <c r="N53" s="2">
        <v>1</v>
      </c>
    </row>
    <row r="54" spans="1:14" x14ac:dyDescent="0.3">
      <c r="A54" s="2">
        <f t="shared" si="5"/>
        <v>49</v>
      </c>
      <c r="B54" s="2" t="str">
        <f>Data_base_case!D57</f>
        <v>OFF_SP450-HH100</v>
      </c>
      <c r="C54" s="2">
        <v>1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1</v>
      </c>
      <c r="L54" s="2">
        <v>0</v>
      </c>
      <c r="M54" s="2">
        <v>1</v>
      </c>
      <c r="N54" s="2">
        <v>1</v>
      </c>
    </row>
    <row r="55" spans="1:14" x14ac:dyDescent="0.3">
      <c r="A55" s="2">
        <f t="shared" si="5"/>
        <v>50</v>
      </c>
      <c r="B55" s="2" t="str">
        <f>Data_base_case!D58</f>
        <v>OFF_SP450-HH150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  <c r="K55" s="2">
        <v>1</v>
      </c>
      <c r="L55" s="2">
        <v>0</v>
      </c>
      <c r="M55" s="2">
        <v>1</v>
      </c>
      <c r="N55" s="2">
        <v>1</v>
      </c>
    </row>
    <row r="56" spans="1:14" x14ac:dyDescent="0.3">
      <c r="A56" s="2">
        <f t="shared" si="5"/>
        <v>51</v>
      </c>
      <c r="B56" s="2" t="str">
        <f>Data_base_case!D59</f>
        <v>CSP_tower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 x14ac:dyDescent="0.3">
      <c r="A57" s="2">
        <f t="shared" si="5"/>
        <v>52</v>
      </c>
      <c r="B57" s="2" t="str">
        <f>Data_base_case!D60</f>
        <v>Charge TES</v>
      </c>
      <c r="C57" s="2">
        <f t="shared" ref="C57:M57" si="24">C56</f>
        <v>0</v>
      </c>
      <c r="D57" s="2">
        <f t="shared" si="24"/>
        <v>0</v>
      </c>
      <c r="E57" s="2">
        <f t="shared" si="24"/>
        <v>0</v>
      </c>
      <c r="F57" s="2">
        <f t="shared" si="24"/>
        <v>0</v>
      </c>
      <c r="G57" s="2">
        <f t="shared" si="24"/>
        <v>0</v>
      </c>
      <c r="H57" s="2">
        <f t="shared" si="24"/>
        <v>0</v>
      </c>
      <c r="I57" s="2">
        <f t="shared" si="24"/>
        <v>0</v>
      </c>
      <c r="J57" s="2">
        <f t="shared" ref="J57" si="25">J56</f>
        <v>0</v>
      </c>
      <c r="K57" s="2">
        <f t="shared" si="24"/>
        <v>0</v>
      </c>
      <c r="L57" s="2">
        <f t="shared" si="24"/>
        <v>0</v>
      </c>
      <c r="M57" s="2">
        <f t="shared" si="24"/>
        <v>0</v>
      </c>
      <c r="N57" s="2">
        <f t="shared" ref="N57" si="26">N56</f>
        <v>0</v>
      </c>
    </row>
    <row r="58" spans="1:14" x14ac:dyDescent="0.3">
      <c r="A58" s="2">
        <f t="shared" si="5"/>
        <v>53</v>
      </c>
      <c r="B58" s="2" t="str">
        <f>Data_base_case!D61</f>
        <v>Discharge TES</v>
      </c>
      <c r="C58" s="2">
        <f t="shared" ref="C58:M58" si="27">C56</f>
        <v>0</v>
      </c>
      <c r="D58" s="2">
        <f t="shared" si="27"/>
        <v>0</v>
      </c>
      <c r="E58" s="2">
        <f t="shared" si="27"/>
        <v>0</v>
      </c>
      <c r="F58" s="2">
        <f t="shared" si="27"/>
        <v>0</v>
      </c>
      <c r="G58" s="2">
        <f t="shared" si="27"/>
        <v>0</v>
      </c>
      <c r="H58" s="2">
        <f t="shared" si="27"/>
        <v>0</v>
      </c>
      <c r="I58" s="2">
        <f t="shared" si="27"/>
        <v>0</v>
      </c>
      <c r="J58" s="2">
        <f t="shared" ref="J58" si="28">J56</f>
        <v>0</v>
      </c>
      <c r="K58" s="2">
        <f t="shared" si="27"/>
        <v>0</v>
      </c>
      <c r="L58" s="2">
        <f t="shared" si="27"/>
        <v>0</v>
      </c>
      <c r="M58" s="2">
        <f t="shared" si="27"/>
        <v>0</v>
      </c>
      <c r="N58" s="2">
        <f t="shared" ref="N58" si="29">N56</f>
        <v>0</v>
      </c>
    </row>
    <row r="59" spans="1:14" x14ac:dyDescent="0.3">
      <c r="A59" s="2">
        <f t="shared" si="5"/>
        <v>54</v>
      </c>
      <c r="B59" s="2" t="str">
        <f>Data_base_case!D62</f>
        <v>TES</v>
      </c>
      <c r="C59" s="2">
        <f t="shared" ref="C59:M59" si="30">C56</f>
        <v>0</v>
      </c>
      <c r="D59" s="2">
        <f t="shared" si="30"/>
        <v>0</v>
      </c>
      <c r="E59" s="2">
        <f t="shared" si="30"/>
        <v>0</v>
      </c>
      <c r="F59" s="2">
        <f t="shared" si="30"/>
        <v>0</v>
      </c>
      <c r="G59" s="2">
        <f t="shared" si="30"/>
        <v>0</v>
      </c>
      <c r="H59" s="2">
        <f t="shared" si="30"/>
        <v>0</v>
      </c>
      <c r="I59" s="2">
        <f t="shared" si="30"/>
        <v>0</v>
      </c>
      <c r="J59" s="2">
        <f t="shared" ref="J59" si="31">J56</f>
        <v>0</v>
      </c>
      <c r="K59" s="2">
        <f t="shared" si="30"/>
        <v>0</v>
      </c>
      <c r="L59" s="2">
        <f t="shared" si="30"/>
        <v>0</v>
      </c>
      <c r="M59" s="2">
        <f t="shared" si="30"/>
        <v>0</v>
      </c>
      <c r="N59" s="2">
        <f t="shared" ref="N59" si="32">N56</f>
        <v>0</v>
      </c>
    </row>
    <row r="60" spans="1:14" x14ac:dyDescent="0.3">
      <c r="A60" s="2">
        <f t="shared" si="5"/>
        <v>55</v>
      </c>
      <c r="B60" s="2" t="str">
        <f>Data_base_case!D63</f>
        <v>CSP + TES</v>
      </c>
      <c r="C60" s="2">
        <f t="shared" ref="C60:M60" si="33">C56</f>
        <v>0</v>
      </c>
      <c r="D60" s="2">
        <f t="shared" si="33"/>
        <v>0</v>
      </c>
      <c r="E60" s="2">
        <f t="shared" si="33"/>
        <v>0</v>
      </c>
      <c r="F60" s="2">
        <f t="shared" si="33"/>
        <v>0</v>
      </c>
      <c r="G60" s="2">
        <f t="shared" si="33"/>
        <v>0</v>
      </c>
      <c r="H60" s="2">
        <f t="shared" si="33"/>
        <v>0</v>
      </c>
      <c r="I60" s="2">
        <f t="shared" si="33"/>
        <v>0</v>
      </c>
      <c r="J60" s="2">
        <f t="shared" ref="J60" si="34">J56</f>
        <v>0</v>
      </c>
      <c r="K60" s="2">
        <f t="shared" si="33"/>
        <v>0</v>
      </c>
      <c r="L60" s="2">
        <f t="shared" si="33"/>
        <v>0</v>
      </c>
      <c r="M60" s="2">
        <f t="shared" si="33"/>
        <v>0</v>
      </c>
      <c r="N60" s="2">
        <f t="shared" ref="N60" si="35">N56</f>
        <v>0</v>
      </c>
    </row>
    <row r="61" spans="1:14" x14ac:dyDescent="0.3">
      <c r="A61" s="2">
        <f t="shared" si="5"/>
        <v>56</v>
      </c>
      <c r="B61" s="2" t="str">
        <f>Data_base_case!D64</f>
        <v>Electricity from the grid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</row>
    <row r="62" spans="1:14" x14ac:dyDescent="0.3">
      <c r="A62" s="2">
        <f t="shared" si="5"/>
        <v>57</v>
      </c>
      <c r="B62" s="2" t="str">
        <f>Data_base_case!D65</f>
        <v>Curtailment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</row>
    <row r="63" spans="1:14" x14ac:dyDescent="0.3">
      <c r="A63" s="2">
        <f t="shared" si="5"/>
        <v>58</v>
      </c>
      <c r="B63" s="2" t="str">
        <f>Data_base_case!D66</f>
        <v>Diesel generator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</row>
    <row r="64" spans="1:14" x14ac:dyDescent="0.3">
      <c r="A64" s="2">
        <f t="shared" si="5"/>
        <v>59</v>
      </c>
      <c r="B64" s="2" t="str">
        <f>Data_base_case!D67</f>
        <v>Charge batteries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</row>
    <row r="65" spans="1:14" x14ac:dyDescent="0.3">
      <c r="A65" s="2">
        <f t="shared" si="5"/>
        <v>60</v>
      </c>
      <c r="B65" s="2" t="str">
        <f>Data_base_case!D68</f>
        <v>Discharge batteries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</row>
    <row r="66" spans="1:14" x14ac:dyDescent="0.3">
      <c r="A66" s="2">
        <f t="shared" si="5"/>
        <v>61</v>
      </c>
      <c r="B66" s="2" t="str">
        <f>Data_base_case!D69</f>
        <v>Batteries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</row>
  </sheetData>
  <conditionalFormatting sqref="C6:N66">
    <cfRule type="cellIs" dxfId="13" priority="1" operator="equal">
      <formula>1</formula>
    </cfRule>
    <cfRule type="cellIs" dxfId="12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38"/>
  <sheetViews>
    <sheetView workbookViewId="0">
      <selection activeCell="B42" sqref="B42"/>
    </sheetView>
  </sheetViews>
  <sheetFormatPr defaultColWidth="8.77734375" defaultRowHeight="14.4" x14ac:dyDescent="0.3"/>
  <cols>
    <col min="1" max="1" width="27.10937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5.33203125" style="1" customWidth="1"/>
    <col min="9" max="12" width="9.5546875" style="1" customWidth="1"/>
    <col min="13" max="14" width="8.77734375" style="1"/>
    <col min="15" max="15" width="0" style="1" hidden="1" customWidth="1"/>
    <col min="16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7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ht="14.55" customHeight="1" x14ac:dyDescent="0.3">
      <c r="A4" s="183" t="s">
        <v>430</v>
      </c>
      <c r="B4" s="187" t="s">
        <v>430</v>
      </c>
      <c r="C4" s="184" t="s">
        <v>403</v>
      </c>
      <c r="D4" s="183" t="s">
        <v>78</v>
      </c>
      <c r="E4" s="185" t="s">
        <v>133</v>
      </c>
      <c r="F4" s="183">
        <f>H4</f>
        <v>24439560.439560439</v>
      </c>
      <c r="G4" s="186" t="s">
        <v>133</v>
      </c>
      <c r="H4" s="183">
        <f>INDEX(Data_base_case!$D$8:$FS$114,MATCH(Scenarios_definition!C4,Data_base_case!$D$8:$D$114,0),MATCH(Scenarios_definition!D4&amp;Scenarios_definition!G4,Data_base_case!$D$7:$FS$7,0))</f>
        <v>24439560.439560439</v>
      </c>
    </row>
    <row r="5" spans="1:140" s="72" customFormat="1" x14ac:dyDescent="0.3">
      <c r="A5" s="158" t="s">
        <v>477</v>
      </c>
      <c r="B5" s="162" t="s">
        <v>489</v>
      </c>
      <c r="C5" s="159" t="s">
        <v>445</v>
      </c>
      <c r="D5" s="158" t="s">
        <v>187</v>
      </c>
      <c r="E5" s="160" t="s">
        <v>133</v>
      </c>
      <c r="F5" s="158">
        <f t="shared" ref="F5:F12" si="0">H5</f>
        <v>0.35699999999999998</v>
      </c>
      <c r="G5" s="161" t="s">
        <v>322</v>
      </c>
      <c r="H5" s="158">
        <f>INDEX(Data_base_case!$D$8:$FS$114,MATCH(Scenarios_definition!C5,Data_base_case!$D$8:$D$114,0),MATCH(Scenarios_definition!D5&amp;Scenarios_definition!G5,Data_base_case!$D$7:$FS$7,0))</f>
        <v>0.35699999999999998</v>
      </c>
    </row>
    <row r="6" spans="1:140" x14ac:dyDescent="0.3">
      <c r="A6" s="158" t="s">
        <v>477</v>
      </c>
      <c r="B6" s="162" t="s">
        <v>488</v>
      </c>
      <c r="C6" s="159" t="s">
        <v>445</v>
      </c>
      <c r="D6" s="158" t="s">
        <v>187</v>
      </c>
      <c r="E6" s="160" t="s">
        <v>133</v>
      </c>
      <c r="F6" s="158">
        <f t="shared" si="0"/>
        <v>0.35699999999999998</v>
      </c>
      <c r="G6" s="161" t="s">
        <v>322</v>
      </c>
      <c r="H6" s="158">
        <f>INDEX(Data_base_case!$D$8:$FS$114,MATCH(Scenarios_definition!C6,Data_base_case!$D$8:$D$114,0),MATCH(Scenarios_definition!D6&amp;Scenarios_definition!G6,Data_base_case!$D$7:$FS$7,0))</f>
        <v>0.35699999999999998</v>
      </c>
    </row>
    <row r="7" spans="1:140" x14ac:dyDescent="0.3">
      <c r="A7" s="158" t="s">
        <v>477</v>
      </c>
      <c r="B7" s="162" t="s">
        <v>491</v>
      </c>
      <c r="C7" s="159" t="s">
        <v>445</v>
      </c>
      <c r="D7" s="158" t="s">
        <v>187</v>
      </c>
      <c r="E7" s="160" t="s">
        <v>133</v>
      </c>
      <c r="F7" s="158">
        <f t="shared" si="0"/>
        <v>0.503</v>
      </c>
      <c r="G7" s="161" t="s">
        <v>284</v>
      </c>
      <c r="H7" s="158">
        <f>INDEX(Data_base_case!$D$8:$FS$114,MATCH(Scenarios_definition!C7,Data_base_case!$D$8:$D$114,0),MATCH(Scenarios_definition!D7&amp;Scenarios_definition!G7,Data_base_case!$D$7:$FS$7,0))</f>
        <v>0.503</v>
      </c>
    </row>
    <row r="8" spans="1:140" x14ac:dyDescent="0.3">
      <c r="A8" s="158" t="s">
        <v>477</v>
      </c>
      <c r="B8" s="162" t="s">
        <v>492</v>
      </c>
      <c r="C8" s="159" t="s">
        <v>445</v>
      </c>
      <c r="D8" s="158" t="s">
        <v>79</v>
      </c>
      <c r="E8" s="160" t="s">
        <v>133</v>
      </c>
      <c r="F8" s="158">
        <v>1.08</v>
      </c>
      <c r="G8" s="161" t="s">
        <v>318</v>
      </c>
      <c r="H8" s="158">
        <f>INDEX(Data_base_case!$D$8:$FS$114,MATCH(Scenarios_definition!C8,Data_base_case!$D$8:$D$114,0),MATCH(Scenarios_definition!D8&amp;Scenarios_definition!G8,Data_base_case!$D$7:$FS$7,0))</f>
        <v>1.256830601092896</v>
      </c>
    </row>
    <row r="9" spans="1:140" x14ac:dyDescent="0.3">
      <c r="A9" s="158" t="s">
        <v>476</v>
      </c>
      <c r="B9" s="192" t="s">
        <v>484</v>
      </c>
      <c r="C9" s="159" t="s">
        <v>447</v>
      </c>
      <c r="D9" s="158" t="s">
        <v>187</v>
      </c>
      <c r="E9" s="160" t="s">
        <v>133</v>
      </c>
      <c r="F9" s="158">
        <f>H9</f>
        <v>0.35699999999999998</v>
      </c>
      <c r="G9" s="161" t="s">
        <v>322</v>
      </c>
      <c r="H9" s="158">
        <f>INDEX(Data_base_case!$D$8:$FS$114,MATCH(Scenarios_definition!C9,Data_base_case!$D$8:$D$114,0),MATCH(Scenarios_definition!D9&amp;Scenarios_definition!G9,Data_base_case!$D$7:$FS$7,0))</f>
        <v>0.35699999999999998</v>
      </c>
    </row>
    <row r="10" spans="1:140" x14ac:dyDescent="0.3">
      <c r="A10" s="158" t="s">
        <v>476</v>
      </c>
      <c r="B10" s="192" t="s">
        <v>482</v>
      </c>
      <c r="C10" s="159" t="s">
        <v>447</v>
      </c>
      <c r="D10" s="158" t="s">
        <v>187</v>
      </c>
      <c r="E10" s="160" t="s">
        <v>133</v>
      </c>
      <c r="F10" s="158">
        <f t="shared" si="0"/>
        <v>0.503</v>
      </c>
      <c r="G10" s="161" t="s">
        <v>284</v>
      </c>
      <c r="H10" s="158">
        <f>INDEX(Data_base_case!$D$8:$FS$114,MATCH(Scenarios_definition!C10,Data_base_case!$D$8:$D$114,0),MATCH(Scenarios_definition!D10&amp;Scenarios_definition!G10,Data_base_case!$D$7:$FS$7,0))</f>
        <v>0.503</v>
      </c>
    </row>
    <row r="11" spans="1:140" x14ac:dyDescent="0.3">
      <c r="A11" s="158" t="s">
        <v>476</v>
      </c>
      <c r="B11" s="192" t="s">
        <v>483</v>
      </c>
      <c r="C11" s="159" t="s">
        <v>443</v>
      </c>
      <c r="D11" s="158" t="s">
        <v>79</v>
      </c>
      <c r="E11" s="160" t="s">
        <v>133</v>
      </c>
      <c r="F11" s="158" t="e">
        <f t="shared" si="0"/>
        <v>#N/A</v>
      </c>
      <c r="G11" s="161" t="s">
        <v>318</v>
      </c>
      <c r="H11" s="158" t="e">
        <f>INDEX(Data_base_case!$D$8:$FS$114,MATCH(Scenarios_definition!C11,Data_base_case!$D$8:$D$114,0),MATCH(Scenarios_definition!D11&amp;Scenarios_definition!G11,Data_base_case!$D$7:$FS$7,0))</f>
        <v>#N/A</v>
      </c>
    </row>
    <row r="12" spans="1:140" x14ac:dyDescent="0.3">
      <c r="A12" s="158" t="s">
        <v>476</v>
      </c>
      <c r="B12" s="192" t="s">
        <v>483</v>
      </c>
      <c r="C12" s="159" t="s">
        <v>447</v>
      </c>
      <c r="D12" s="158" t="s">
        <v>187</v>
      </c>
      <c r="E12" s="160" t="s">
        <v>133</v>
      </c>
      <c r="F12" s="158">
        <f t="shared" si="0"/>
        <v>0.27700000000000002</v>
      </c>
      <c r="G12" s="161" t="s">
        <v>318</v>
      </c>
      <c r="H12" s="158">
        <f>INDEX(Data_base_case!$D$8:$FS$114,MATCH(Scenarios_definition!C12,Data_base_case!$D$8:$D$114,0),MATCH(Scenarios_definition!D12&amp;Scenarios_definition!G12,Data_base_case!$D$7:$FS$7,0))</f>
        <v>0.27700000000000002</v>
      </c>
    </row>
    <row r="13" spans="1:140" x14ac:dyDescent="0.3">
      <c r="A13" s="158" t="s">
        <v>478</v>
      </c>
      <c r="B13" s="162" t="s">
        <v>458</v>
      </c>
      <c r="C13" s="160" t="s">
        <v>43</v>
      </c>
      <c r="D13" s="163" t="s">
        <v>131</v>
      </c>
      <c r="E13" s="160" t="s">
        <v>133</v>
      </c>
      <c r="F13" s="158">
        <v>1</v>
      </c>
      <c r="G13" s="158" t="s">
        <v>133</v>
      </c>
      <c r="H13" s="158">
        <f>INDEX(Data_base_case!$D$8:$FS$114,MATCH(Scenarios_definition!C13,Data_base_case!$D$8:$D$114,0),MATCH(Scenarios_definition!D13&amp;Scenarios_definition!G13,Data_base_case!$D$7:$FS$7,0))</f>
        <v>0</v>
      </c>
    </row>
    <row r="14" spans="1:140" x14ac:dyDescent="0.3">
      <c r="A14" s="158"/>
      <c r="B14" s="162" t="s">
        <v>458</v>
      </c>
      <c r="C14" s="159" t="s">
        <v>47</v>
      </c>
      <c r="D14" s="163" t="s">
        <v>131</v>
      </c>
      <c r="E14" s="160" t="s">
        <v>133</v>
      </c>
      <c r="F14" s="158">
        <v>1</v>
      </c>
      <c r="G14" s="158" t="s">
        <v>133</v>
      </c>
      <c r="H14" s="158">
        <f>INDEX(Data_base_case!$D$8:$FS$114,MATCH(Scenarios_definition!C14,Data_base_case!$D$8:$D$114,0),MATCH(Scenarios_definition!D14&amp;Scenarios_definition!G14,Data_base_case!$D$7:$FS$7,0))</f>
        <v>1</v>
      </c>
    </row>
    <row r="15" spans="1:140" x14ac:dyDescent="0.3">
      <c r="A15" s="158"/>
      <c r="B15" s="162" t="s">
        <v>458</v>
      </c>
      <c r="C15" s="159" t="s">
        <v>49</v>
      </c>
      <c r="D15" s="163" t="s">
        <v>131</v>
      </c>
      <c r="E15" s="160" t="s">
        <v>133</v>
      </c>
      <c r="F15" s="158">
        <v>1</v>
      </c>
      <c r="G15" s="158" t="s">
        <v>133</v>
      </c>
      <c r="H15" s="158">
        <f>INDEX(Data_base_case!$D$8:$FS$114,MATCH(Scenarios_definition!C15,Data_base_case!$D$8:$D$114,0),MATCH(Scenarios_definition!D15&amp;Scenarios_definition!G15,Data_base_case!$D$7:$FS$7,0))</f>
        <v>1</v>
      </c>
    </row>
    <row r="16" spans="1:140" x14ac:dyDescent="0.3">
      <c r="A16" s="158"/>
      <c r="B16" s="162" t="s">
        <v>458</v>
      </c>
      <c r="C16" s="159" t="s">
        <v>164</v>
      </c>
      <c r="D16" s="163" t="s">
        <v>131</v>
      </c>
      <c r="E16" s="160" t="s">
        <v>133</v>
      </c>
      <c r="F16" s="158">
        <v>1</v>
      </c>
      <c r="G16" s="158" t="s">
        <v>133</v>
      </c>
      <c r="H16" s="158">
        <f>INDEX(Data_base_case!$D$8:$FS$114,MATCH(Scenarios_definition!C16,Data_base_case!$D$8:$D$114,0),MATCH(Scenarios_definition!D16&amp;Scenarios_definition!G16,Data_base_case!$D$7:$FS$7,0))</f>
        <v>1</v>
      </c>
    </row>
    <row r="17" spans="1:8" x14ac:dyDescent="0.3">
      <c r="A17" s="158"/>
      <c r="B17" s="162" t="s">
        <v>458</v>
      </c>
      <c r="C17" s="159" t="s">
        <v>54</v>
      </c>
      <c r="D17" s="163" t="s">
        <v>131</v>
      </c>
      <c r="E17" s="160" t="s">
        <v>133</v>
      </c>
      <c r="F17" s="158">
        <v>1</v>
      </c>
      <c r="G17" s="158" t="s">
        <v>133</v>
      </c>
      <c r="H17" s="158">
        <f>INDEX(Data_base_case!$D$8:$FS$114,MATCH(Scenarios_definition!C17,Data_base_case!$D$8:$D$114,0),MATCH(Scenarios_definition!D17&amp;Scenarios_definition!G17,Data_base_case!$D$7:$FS$7,0))</f>
        <v>1</v>
      </c>
    </row>
    <row r="18" spans="1:8" x14ac:dyDescent="0.3">
      <c r="A18" s="158"/>
      <c r="B18" s="162" t="s">
        <v>458</v>
      </c>
      <c r="C18" s="159" t="s">
        <v>56</v>
      </c>
      <c r="D18" s="163" t="s">
        <v>131</v>
      </c>
      <c r="E18" s="160" t="s">
        <v>133</v>
      </c>
      <c r="F18" s="158">
        <v>1</v>
      </c>
      <c r="G18" s="158" t="s">
        <v>133</v>
      </c>
      <c r="H18" s="158">
        <f>INDEX(Data_base_case!$D$8:$FS$114,MATCH(Scenarios_definition!C18,Data_base_case!$D$8:$D$114,0),MATCH(Scenarios_definition!D18&amp;Scenarios_definition!G18,Data_base_case!$D$7:$FS$7,0))</f>
        <v>1</v>
      </c>
    </row>
    <row r="19" spans="1:8" x14ac:dyDescent="0.3">
      <c r="A19" s="158"/>
      <c r="B19" s="162" t="s">
        <v>458</v>
      </c>
      <c r="C19" s="159" t="s">
        <v>58</v>
      </c>
      <c r="D19" s="163" t="s">
        <v>131</v>
      </c>
      <c r="E19" s="160" t="s">
        <v>133</v>
      </c>
      <c r="F19" s="158">
        <v>1</v>
      </c>
      <c r="G19" s="158" t="s">
        <v>133</v>
      </c>
      <c r="H19" s="158">
        <f>INDEX(Data_base_case!$D$8:$FS$114,MATCH(Scenarios_definition!C19,Data_base_case!$D$8:$D$114,0),MATCH(Scenarios_definition!D19&amp;Scenarios_definition!G19,Data_base_case!$D$7:$FS$7,0))</f>
        <v>1</v>
      </c>
    </row>
    <row r="20" spans="1:8" x14ac:dyDescent="0.3">
      <c r="A20" s="158"/>
      <c r="B20" s="162" t="s">
        <v>458</v>
      </c>
      <c r="C20" s="159" t="s">
        <v>60</v>
      </c>
      <c r="D20" s="163" t="s">
        <v>131</v>
      </c>
      <c r="E20" s="160" t="s">
        <v>133</v>
      </c>
      <c r="F20" s="158">
        <v>1</v>
      </c>
      <c r="G20" s="158" t="s">
        <v>133</v>
      </c>
      <c r="H20" s="158">
        <f>INDEX(Data_base_case!$D$8:$FS$114,MATCH(Scenarios_definition!C20,Data_base_case!$D$8:$D$114,0),MATCH(Scenarios_definition!D20&amp;Scenarios_definition!G20,Data_base_case!$D$7:$FS$7,0))</f>
        <v>1</v>
      </c>
    </row>
    <row r="21" spans="1:8" x14ac:dyDescent="0.3">
      <c r="A21" s="158"/>
      <c r="B21" s="162" t="s">
        <v>458</v>
      </c>
      <c r="C21" s="159" t="s">
        <v>62</v>
      </c>
      <c r="D21" s="163" t="s">
        <v>131</v>
      </c>
      <c r="E21" s="160" t="s">
        <v>133</v>
      </c>
      <c r="F21" s="158">
        <v>1</v>
      </c>
      <c r="G21" s="158" t="s">
        <v>133</v>
      </c>
      <c r="H21" s="158">
        <f>INDEX(Data_base_case!$D$8:$FS$114,MATCH(Scenarios_definition!C21,Data_base_case!$D$8:$D$114,0),MATCH(Scenarios_definition!D21&amp;Scenarios_definition!G21,Data_base_case!$D$7:$FS$7,0))</f>
        <v>1</v>
      </c>
    </row>
    <row r="22" spans="1:8" x14ac:dyDescent="0.3">
      <c r="A22" s="158"/>
      <c r="B22" s="162" t="s">
        <v>458</v>
      </c>
      <c r="C22" s="159" t="s">
        <v>64</v>
      </c>
      <c r="D22" s="163" t="s">
        <v>131</v>
      </c>
      <c r="E22" s="160" t="s">
        <v>133</v>
      </c>
      <c r="F22" s="158">
        <v>1</v>
      </c>
      <c r="G22" s="158" t="s">
        <v>133</v>
      </c>
      <c r="H22" s="158">
        <f>INDEX(Data_base_case!$D$8:$FS$114,MATCH(Scenarios_definition!C22,Data_base_case!$D$8:$D$114,0),MATCH(Scenarios_definition!D22&amp;Scenarios_definition!G22,Data_base_case!$D$7:$FS$7,0))</f>
        <v>1</v>
      </c>
    </row>
    <row r="23" spans="1:8" x14ac:dyDescent="0.3">
      <c r="A23" s="158"/>
      <c r="B23" s="162" t="s">
        <v>458</v>
      </c>
      <c r="C23" s="159" t="s">
        <v>66</v>
      </c>
      <c r="D23" s="163" t="s">
        <v>131</v>
      </c>
      <c r="E23" s="160" t="s">
        <v>133</v>
      </c>
      <c r="F23" s="158">
        <v>1</v>
      </c>
      <c r="G23" s="158" t="s">
        <v>133</v>
      </c>
      <c r="H23" s="158">
        <f>INDEX(Data_base_case!$D$8:$FS$114,MATCH(Scenarios_definition!C23,Data_base_case!$D$8:$D$114,0),MATCH(Scenarios_definition!D23&amp;Scenarios_definition!G23,Data_base_case!$D$7:$FS$7,0))</f>
        <v>1</v>
      </c>
    </row>
    <row r="24" spans="1:8" x14ac:dyDescent="0.3">
      <c r="A24" s="158"/>
      <c r="B24" s="162" t="s">
        <v>458</v>
      </c>
      <c r="C24" s="159" t="s">
        <v>68</v>
      </c>
      <c r="D24" s="163" t="s">
        <v>131</v>
      </c>
      <c r="E24" s="160" t="s">
        <v>133</v>
      </c>
      <c r="F24" s="158">
        <v>1</v>
      </c>
      <c r="G24" s="158" t="s">
        <v>133</v>
      </c>
      <c r="H24" s="158">
        <f>INDEX(Data_base_case!$D$8:$FS$114,MATCH(Scenarios_definition!C24,Data_base_case!$D$8:$D$114,0),MATCH(Scenarios_definition!D24&amp;Scenarios_definition!G24,Data_base_case!$D$7:$FS$7,0))</f>
        <v>1</v>
      </c>
    </row>
    <row r="25" spans="1:8" x14ac:dyDescent="0.3">
      <c r="A25" s="158"/>
      <c r="B25" s="162" t="s">
        <v>458</v>
      </c>
      <c r="C25" s="159" t="s">
        <v>70</v>
      </c>
      <c r="D25" s="163" t="s">
        <v>131</v>
      </c>
      <c r="E25" s="160" t="s">
        <v>133</v>
      </c>
      <c r="F25" s="158">
        <v>1</v>
      </c>
      <c r="G25" s="158" t="s">
        <v>133</v>
      </c>
      <c r="H25" s="158">
        <f>INDEX(Data_base_case!$D$8:$FS$114,MATCH(Scenarios_definition!C25,Data_base_case!$D$8:$D$114,0),MATCH(Scenarios_definition!D25&amp;Scenarios_definition!G25,Data_base_case!$D$7:$FS$7,0))</f>
        <v>1</v>
      </c>
    </row>
    <row r="26" spans="1:8" x14ac:dyDescent="0.3">
      <c r="A26" s="158"/>
      <c r="B26" s="162" t="s">
        <v>458</v>
      </c>
      <c r="C26" s="159" t="s">
        <v>72</v>
      </c>
      <c r="D26" s="163" t="s">
        <v>131</v>
      </c>
      <c r="E26" s="160" t="s">
        <v>133</v>
      </c>
      <c r="F26" s="158">
        <v>1</v>
      </c>
      <c r="G26" s="158" t="s">
        <v>133</v>
      </c>
      <c r="H26" s="158">
        <f>INDEX(Data_base_case!$D$8:$FS$114,MATCH(Scenarios_definition!C26,Data_base_case!$D$8:$D$114,0),MATCH(Scenarios_definition!D26&amp;Scenarios_definition!G26,Data_base_case!$D$7:$FS$7,0))</f>
        <v>1</v>
      </c>
    </row>
    <row r="27" spans="1:8" x14ac:dyDescent="0.3">
      <c r="A27" s="158"/>
      <c r="B27" s="162" t="s">
        <v>458</v>
      </c>
      <c r="C27" s="159" t="s">
        <v>165</v>
      </c>
      <c r="D27" s="163" t="s">
        <v>131</v>
      </c>
      <c r="E27" s="160" t="s">
        <v>133</v>
      </c>
      <c r="F27" s="158">
        <v>1</v>
      </c>
      <c r="G27" s="158" t="s">
        <v>133</v>
      </c>
      <c r="H27" s="158">
        <f>INDEX(Data_base_case!$D$8:$FS$114,MATCH(Scenarios_definition!C27,Data_base_case!$D$8:$D$114,0),MATCH(Scenarios_definition!D27&amp;Scenarios_definition!G27,Data_base_case!$D$7:$FS$7,0))</f>
        <v>1</v>
      </c>
    </row>
    <row r="28" spans="1:8" x14ac:dyDescent="0.3">
      <c r="A28" s="164" t="s">
        <v>489</v>
      </c>
      <c r="B28" s="162" t="s">
        <v>495</v>
      </c>
      <c r="C28" s="160" t="s">
        <v>43</v>
      </c>
      <c r="D28" s="163" t="s">
        <v>131</v>
      </c>
      <c r="E28" s="160" t="s">
        <v>133</v>
      </c>
      <c r="F28" s="158">
        <v>1</v>
      </c>
      <c r="G28" s="158" t="s">
        <v>133</v>
      </c>
      <c r="H28" s="158">
        <f>INDEX(Data_base_case!$D$8:$FS$114,MATCH(Scenarios_definition!C28,Data_base_case!$D$8:$D$114,0),MATCH(Scenarios_definition!D28&amp;Scenarios_definition!G28,Data_base_case!$D$7:$FS$7,0))</f>
        <v>0</v>
      </c>
    </row>
    <row r="29" spans="1:8" x14ac:dyDescent="0.3">
      <c r="A29" s="164" t="s">
        <v>488</v>
      </c>
      <c r="B29" s="162" t="s">
        <v>496</v>
      </c>
      <c r="C29" s="160" t="s">
        <v>43</v>
      </c>
      <c r="D29" s="163" t="s">
        <v>131</v>
      </c>
      <c r="E29" s="160" t="s">
        <v>133</v>
      </c>
      <c r="F29" s="158">
        <v>1</v>
      </c>
      <c r="G29" s="158" t="s">
        <v>133</v>
      </c>
      <c r="H29" s="158">
        <f>INDEX(Data_base_case!$D$8:$FS$114,MATCH(Scenarios_definition!C29,Data_base_case!$D$8:$D$114,0),MATCH(Scenarios_definition!D29&amp;Scenarios_definition!G29,Data_base_case!$D$7:$FS$7,0))</f>
        <v>0</v>
      </c>
    </row>
    <row r="30" spans="1:8" x14ac:dyDescent="0.3">
      <c r="A30" s="164" t="s">
        <v>491</v>
      </c>
      <c r="B30" s="162" t="s">
        <v>497</v>
      </c>
      <c r="C30" s="160" t="s">
        <v>43</v>
      </c>
      <c r="D30" s="163" t="s">
        <v>131</v>
      </c>
      <c r="E30" s="160" t="s">
        <v>133</v>
      </c>
      <c r="F30" s="158">
        <v>1</v>
      </c>
      <c r="G30" s="158" t="s">
        <v>133</v>
      </c>
      <c r="H30" s="158">
        <f>INDEX(Data_base_case!$D$8:$FS$114,MATCH(Scenarios_definition!C30,Data_base_case!$D$8:$D$114,0),MATCH(Scenarios_definition!D30&amp;Scenarios_definition!G30,Data_base_case!$D$7:$FS$7,0))</f>
        <v>0</v>
      </c>
    </row>
    <row r="31" spans="1:8" x14ac:dyDescent="0.3">
      <c r="A31" s="164" t="s">
        <v>492</v>
      </c>
      <c r="B31" s="162" t="s">
        <v>498</v>
      </c>
      <c r="C31" s="160" t="s">
        <v>43</v>
      </c>
      <c r="D31" s="163" t="s">
        <v>131</v>
      </c>
      <c r="E31" s="160" t="s">
        <v>133</v>
      </c>
      <c r="F31" s="158">
        <v>1</v>
      </c>
      <c r="G31" s="158" t="s">
        <v>133</v>
      </c>
      <c r="H31" s="158">
        <f>INDEX(Data_base_case!$D$8:$FS$114,MATCH(Scenarios_definition!C31,Data_base_case!$D$8:$D$114,0),MATCH(Scenarios_definition!D31&amp;Scenarios_definition!G31,Data_base_case!$D$7:$FS$7,0))</f>
        <v>0</v>
      </c>
    </row>
    <row r="32" spans="1:8" x14ac:dyDescent="0.3">
      <c r="A32" s="183" t="s">
        <v>430</v>
      </c>
      <c r="B32" s="190" t="s">
        <v>509</v>
      </c>
      <c r="C32" s="184" t="s">
        <v>437</v>
      </c>
      <c r="D32" s="183" t="s">
        <v>187</v>
      </c>
      <c r="E32" s="185" t="s">
        <v>133</v>
      </c>
      <c r="F32" s="183">
        <f>H32</f>
        <v>7.2499999999999995E-2</v>
      </c>
      <c r="G32" s="186" t="s">
        <v>318</v>
      </c>
      <c r="H32" s="183">
        <f>INDEX(Data_base_case!$D$8:$FS$114,MATCH(Scenarios_definition!C32,Data_base_case!$D$8:$D$114,0),MATCH(Scenarios_definition!D32&amp;Scenarios_definition!G32,Data_base_case!$D$7:$FS$7,0))</f>
        <v>7.2499999999999995E-2</v>
      </c>
    </row>
    <row r="33" spans="1:8" x14ac:dyDescent="0.3">
      <c r="A33" s="183" t="s">
        <v>430</v>
      </c>
      <c r="B33" s="190" t="s">
        <v>510</v>
      </c>
      <c r="C33" s="184" t="s">
        <v>437</v>
      </c>
      <c r="D33" s="183" t="s">
        <v>187</v>
      </c>
      <c r="E33" s="185" t="s">
        <v>133</v>
      </c>
      <c r="F33" s="183">
        <f>H33</f>
        <v>0.13195000000000001</v>
      </c>
      <c r="G33" s="186" t="s">
        <v>284</v>
      </c>
      <c r="H33" s="183">
        <f>INDEX(Data_base_case!$D$8:$FS$114,MATCH(Scenarios_definition!C33,Data_base_case!$D$8:$D$114,0),MATCH(Scenarios_definition!D33&amp;Scenarios_definition!G33,Data_base_case!$D$7:$FS$7,0))</f>
        <v>0.13195000000000001</v>
      </c>
    </row>
    <row r="34" spans="1:8" x14ac:dyDescent="0.3">
      <c r="A34" s="188" t="s">
        <v>517</v>
      </c>
      <c r="B34" s="191" t="s">
        <v>516</v>
      </c>
      <c r="C34" s="185" t="s">
        <v>43</v>
      </c>
      <c r="D34" s="189" t="s">
        <v>131</v>
      </c>
      <c r="E34" s="185" t="s">
        <v>133</v>
      </c>
      <c r="F34" s="183">
        <v>0</v>
      </c>
      <c r="G34" s="183" t="s">
        <v>133</v>
      </c>
      <c r="H34" s="183">
        <f>INDEX(Data_base_case!$D$8:$FS$114,MATCH(Scenarios_definition!C34,Data_base_case!$D$8:$D$114,0),MATCH(Scenarios_definition!D34&amp;Scenarios_definition!G34,Data_base_case!$D$7:$FS$7,0))</f>
        <v>0</v>
      </c>
    </row>
    <row r="35" spans="1:8" x14ac:dyDescent="0.3">
      <c r="A35" s="188" t="s">
        <v>517</v>
      </c>
      <c r="B35" s="165" t="s">
        <v>519</v>
      </c>
      <c r="C35" s="185" t="s">
        <v>43</v>
      </c>
      <c r="D35" s="189" t="s">
        <v>131</v>
      </c>
      <c r="E35" s="185" t="s">
        <v>133</v>
      </c>
      <c r="F35" s="183">
        <v>0</v>
      </c>
      <c r="G35" s="183" t="s">
        <v>133</v>
      </c>
      <c r="H35" s="183">
        <f>INDEX(Data_base_case!$D$8:$FS$114,MATCH(Scenarios_definition!C35,Data_base_case!$D$8:$D$114,0),MATCH(Scenarios_definition!D35&amp;Scenarios_definition!G35,Data_base_case!$D$7:$FS$7,0))</f>
        <v>0</v>
      </c>
    </row>
    <row r="36" spans="1:8" x14ac:dyDescent="0.3">
      <c r="A36" s="183" t="s">
        <v>430</v>
      </c>
      <c r="B36" s="190" t="s">
        <v>521</v>
      </c>
      <c r="C36" s="184" t="s">
        <v>437</v>
      </c>
      <c r="D36" s="183" t="s">
        <v>187</v>
      </c>
      <c r="E36" s="185" t="s">
        <v>133</v>
      </c>
      <c r="F36" s="183">
        <f>H36</f>
        <v>9.2799999999999994E-2</v>
      </c>
      <c r="G36" s="186" t="s">
        <v>322</v>
      </c>
      <c r="H36" s="183">
        <f>INDEX(Data_base_case!$D$8:$FS$114,MATCH(Scenarios_definition!C36,Data_base_case!$D$8:$D$114,0),MATCH(Scenarios_definition!D36&amp;Scenarios_definition!G36,Data_base_case!$D$7:$FS$7,0))</f>
        <v>9.2799999999999994E-2</v>
      </c>
    </row>
    <row r="37" spans="1:8" x14ac:dyDescent="0.3">
      <c r="A37" s="183" t="s">
        <v>430</v>
      </c>
      <c r="B37" s="190" t="s">
        <v>523</v>
      </c>
      <c r="C37" s="184" t="s">
        <v>427</v>
      </c>
      <c r="D37" s="183" t="s">
        <v>186</v>
      </c>
      <c r="E37" s="185" t="s">
        <v>133</v>
      </c>
      <c r="F37" s="183">
        <f>H37</f>
        <v>0.16</v>
      </c>
      <c r="G37" s="186" t="s">
        <v>318</v>
      </c>
      <c r="H37" s="183">
        <f>INDEX(Data_base_case!$D$8:$FS$114,MATCH(Scenarios_definition!C37,Data_base_case!$D$8:$D$114,0),MATCH(Scenarios_definition!D37&amp;Scenarios_definition!G37,Data_base_case!$D$7:$FS$7,0))</f>
        <v>0.16</v>
      </c>
    </row>
    <row r="38" spans="1:8" x14ac:dyDescent="0.3">
      <c r="A38" s="1" t="s">
        <v>535</v>
      </c>
      <c r="B38" s="193" t="s">
        <v>531</v>
      </c>
      <c r="C38" s="160" t="s">
        <v>43</v>
      </c>
      <c r="D38" s="163" t="s">
        <v>131</v>
      </c>
      <c r="E38" s="160" t="s">
        <v>133</v>
      </c>
      <c r="F38" s="158">
        <v>0</v>
      </c>
      <c r="G38" s="158" t="s">
        <v>133</v>
      </c>
      <c r="H38" s="158">
        <f>INDEX(Data_base_case!$D$8:$FS$114,MATCH(Scenarios_definition!C38,Data_base_case!$D$8:$D$114,0),MATCH(Scenarios_definition!D38&amp;Scenarios_definition!G38,Data_base_case!$D$7:$FS$7,0))</f>
        <v>0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34"/>
  <sheetViews>
    <sheetView tabSelected="1" topLeftCell="A9" zoomScale="112" zoomScaleNormal="112" workbookViewId="0">
      <selection activeCell="B11" sqref="B11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1.441406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77734375" bestFit="1" customWidth="1"/>
  </cols>
  <sheetData>
    <row r="1" spans="1:35" x14ac:dyDescent="0.3">
      <c r="C1" s="17" t="s">
        <v>149</v>
      </c>
      <c r="R1" s="17"/>
      <c r="S1" s="17"/>
      <c r="T1" s="49"/>
    </row>
    <row r="2" spans="1:35" ht="16.5" customHeight="1" x14ac:dyDescent="0.3">
      <c r="B2" s="88" t="s">
        <v>156</v>
      </c>
      <c r="C2" s="89" t="s">
        <v>148</v>
      </c>
      <c r="D2" s="13" t="s">
        <v>258</v>
      </c>
      <c r="E2" s="13" t="s">
        <v>103</v>
      </c>
      <c r="F2" s="13" t="s">
        <v>124</v>
      </c>
      <c r="G2" s="13">
        <v>2020</v>
      </c>
      <c r="H2" s="90" t="s">
        <v>182</v>
      </c>
      <c r="I2" s="90" t="s">
        <v>181</v>
      </c>
      <c r="J2" s="13" t="s">
        <v>87</v>
      </c>
      <c r="K2" s="13" t="s">
        <v>167</v>
      </c>
      <c r="L2" s="13" t="s">
        <v>167</v>
      </c>
      <c r="M2" s="90" t="s">
        <v>254</v>
      </c>
      <c r="N2" s="91" t="s">
        <v>255</v>
      </c>
      <c r="O2" s="92" t="s">
        <v>257</v>
      </c>
      <c r="P2" s="90" t="s">
        <v>173</v>
      </c>
      <c r="Q2" s="90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88"/>
      <c r="C3" s="89"/>
      <c r="D3" s="13" t="s">
        <v>259</v>
      </c>
      <c r="E3" s="13" t="s">
        <v>532</v>
      </c>
      <c r="F3" s="13" t="s">
        <v>93</v>
      </c>
      <c r="G3" s="13">
        <v>2030</v>
      </c>
      <c r="H3" s="90"/>
      <c r="I3" s="90"/>
      <c r="J3" s="13" t="s">
        <v>104</v>
      </c>
      <c r="M3" s="90"/>
      <c r="N3" s="91"/>
      <c r="O3" s="92"/>
      <c r="P3" s="90"/>
      <c r="Q3" s="90"/>
      <c r="R3" s="13"/>
      <c r="S3" s="13"/>
      <c r="T3" s="13"/>
    </row>
    <row r="4" spans="1:35" x14ac:dyDescent="0.3">
      <c r="B4" s="88"/>
      <c r="C4" s="89"/>
      <c r="D4" s="13" t="s">
        <v>240</v>
      </c>
      <c r="E4" s="13"/>
      <c r="F4" s="13" t="s">
        <v>122</v>
      </c>
      <c r="G4" s="13">
        <v>2050</v>
      </c>
      <c r="H4" s="13"/>
      <c r="I4" s="90"/>
      <c r="J4" s="13" t="s">
        <v>233</v>
      </c>
      <c r="K4" s="13"/>
      <c r="L4" s="13"/>
      <c r="M4" s="90"/>
      <c r="N4" s="91"/>
      <c r="O4" s="92"/>
      <c r="P4" s="90"/>
      <c r="Q4" s="90"/>
      <c r="R4" s="13"/>
      <c r="S4" s="13"/>
      <c r="T4" s="13"/>
    </row>
    <row r="5" spans="1:35" x14ac:dyDescent="0.3">
      <c r="B5" s="88"/>
      <c r="C5" s="89"/>
      <c r="D5" s="13"/>
      <c r="F5" s="13" t="s">
        <v>533</v>
      </c>
      <c r="G5" s="13"/>
      <c r="H5" s="13"/>
      <c r="I5" s="40"/>
      <c r="J5" s="13"/>
      <c r="K5" s="13"/>
      <c r="L5" s="13"/>
      <c r="M5" s="90"/>
      <c r="N5" s="91"/>
      <c r="O5" s="92"/>
      <c r="P5" s="90"/>
      <c r="Q5" s="90"/>
      <c r="R5" s="13"/>
      <c r="S5" s="13"/>
      <c r="T5" s="13"/>
    </row>
    <row r="6" spans="1:35" x14ac:dyDescent="0.3">
      <c r="B6" s="88"/>
      <c r="C6" s="89"/>
      <c r="D6" s="13"/>
      <c r="E6" s="13"/>
      <c r="F6" s="13" t="s">
        <v>529</v>
      </c>
      <c r="G6" s="13"/>
      <c r="H6" s="13"/>
      <c r="I6" s="40"/>
      <c r="J6" s="13"/>
      <c r="K6" s="13"/>
      <c r="L6" s="13"/>
      <c r="M6" s="90"/>
      <c r="N6" s="91"/>
      <c r="O6" s="92"/>
      <c r="P6" s="90"/>
      <c r="Q6" s="90"/>
      <c r="R6" s="13"/>
      <c r="S6" s="13"/>
      <c r="T6" s="13"/>
    </row>
    <row r="7" spans="1:35" x14ac:dyDescent="0.3">
      <c r="B7" s="88"/>
      <c r="C7" s="89"/>
      <c r="F7" s="13" t="s">
        <v>528</v>
      </c>
      <c r="G7" s="13"/>
      <c r="H7" s="13"/>
      <c r="I7" s="13"/>
      <c r="J7" s="13"/>
      <c r="K7" s="13"/>
      <c r="L7" s="13"/>
      <c r="M7" s="90"/>
      <c r="N7" s="91"/>
      <c r="O7" s="92"/>
      <c r="P7" s="90"/>
      <c r="Q7" s="90"/>
      <c r="R7" s="2"/>
      <c r="S7" s="2"/>
      <c r="T7" s="2"/>
      <c r="V7" s="36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5"/>
      <c r="AG7" s="87" t="s">
        <v>151</v>
      </c>
      <c r="AH7" s="84"/>
      <c r="AI7" s="84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5"/>
      <c r="AG8" s="2"/>
      <c r="AH8" s="2"/>
    </row>
    <row r="9" spans="1:35" s="29" customFormat="1" x14ac:dyDescent="0.3">
      <c r="A9" s="29" t="s">
        <v>105</v>
      </c>
      <c r="B9" s="29" t="s">
        <v>155</v>
      </c>
      <c r="C9" s="29" t="s">
        <v>154</v>
      </c>
      <c r="D9" s="29" t="s">
        <v>220</v>
      </c>
      <c r="E9" s="29" t="s">
        <v>106</v>
      </c>
      <c r="F9" s="29" t="s">
        <v>121</v>
      </c>
      <c r="G9" s="29" t="s">
        <v>179</v>
      </c>
      <c r="H9" s="29" t="s">
        <v>180</v>
      </c>
      <c r="I9" s="29" t="s">
        <v>109</v>
      </c>
      <c r="J9" s="29" t="s">
        <v>107</v>
      </c>
      <c r="K9" s="29" t="s">
        <v>168</v>
      </c>
      <c r="L9" s="29" t="s">
        <v>166</v>
      </c>
      <c r="M9" s="29" t="s">
        <v>223</v>
      </c>
      <c r="N9" s="29" t="s">
        <v>238</v>
      </c>
      <c r="O9" s="29" t="s">
        <v>256</v>
      </c>
      <c r="P9" s="29" t="s">
        <v>172</v>
      </c>
      <c r="Q9" s="29" t="s">
        <v>175</v>
      </c>
      <c r="R9" s="29" t="s">
        <v>108</v>
      </c>
      <c r="S9" s="29" t="s">
        <v>208</v>
      </c>
      <c r="T9" s="29" t="s">
        <v>110</v>
      </c>
      <c r="U9" s="30" t="s">
        <v>111</v>
      </c>
      <c r="V9" s="29" t="s">
        <v>112</v>
      </c>
      <c r="W9" s="29" t="s">
        <v>113</v>
      </c>
      <c r="X9" s="29" t="s">
        <v>114</v>
      </c>
      <c r="Y9" s="29" t="s">
        <v>115</v>
      </c>
      <c r="Z9" s="29" t="s">
        <v>126</v>
      </c>
      <c r="AA9" s="29" t="s">
        <v>127</v>
      </c>
      <c r="AB9" s="29" t="s">
        <v>128</v>
      </c>
      <c r="AC9" s="29" t="s">
        <v>129</v>
      </c>
      <c r="AD9" s="29" t="s">
        <v>431</v>
      </c>
      <c r="AE9" s="29" t="s">
        <v>432</v>
      </c>
      <c r="AF9" s="31" t="s">
        <v>116</v>
      </c>
      <c r="AG9" s="29" t="s">
        <v>117</v>
      </c>
      <c r="AH9" s="29" t="s">
        <v>118</v>
      </c>
      <c r="AI9" s="29" t="s">
        <v>119</v>
      </c>
    </row>
    <row r="10" spans="1:35" s="142" customFormat="1" x14ac:dyDescent="0.3">
      <c r="A10" s="141">
        <f t="shared" ref="A10:A14" si="0">ROW(A10)-ROW($A$9)</f>
        <v>1</v>
      </c>
      <c r="B10" s="141" t="s">
        <v>439</v>
      </c>
      <c r="C10" s="140" t="s">
        <v>430</v>
      </c>
      <c r="D10" s="142" t="s">
        <v>231</v>
      </c>
      <c r="E10" s="141" t="s">
        <v>532</v>
      </c>
      <c r="F10" s="155" t="s">
        <v>533</v>
      </c>
      <c r="G10" s="155" t="str">
        <f t="shared" ref="G10:G14" si="1">"2030 bench"</f>
        <v>2030 bench</v>
      </c>
      <c r="H10" s="155" t="s">
        <v>239</v>
      </c>
      <c r="I10" s="155" t="str">
        <f t="shared" ref="I10:I14" si="2">"2019"</f>
        <v>2019</v>
      </c>
      <c r="J10" s="155" t="s">
        <v>104</v>
      </c>
      <c r="K10" s="155">
        <v>0</v>
      </c>
      <c r="L10" s="155">
        <v>0</v>
      </c>
      <c r="M10" s="155">
        <v>-1</v>
      </c>
      <c r="N10" s="155" t="s">
        <v>122</v>
      </c>
      <c r="O10" s="155">
        <v>0</v>
      </c>
      <c r="P10" s="155">
        <v>1</v>
      </c>
      <c r="Q10" s="155">
        <v>0</v>
      </c>
      <c r="R10" s="142" t="s">
        <v>221</v>
      </c>
      <c r="S10" s="142" t="s">
        <v>222</v>
      </c>
      <c r="T10" s="142" t="s">
        <v>421</v>
      </c>
      <c r="U10" s="156" t="b">
        <v>0</v>
      </c>
      <c r="V10" s="142" t="b">
        <v>1</v>
      </c>
      <c r="W10" s="142" t="b">
        <v>0</v>
      </c>
      <c r="X10" s="142" t="b">
        <v>0</v>
      </c>
      <c r="Y10" s="142" t="b">
        <v>1</v>
      </c>
      <c r="Z10" s="142" t="b">
        <v>0</v>
      </c>
      <c r="AA10" s="142" t="b">
        <v>0</v>
      </c>
      <c r="AB10" s="142" t="b">
        <v>1</v>
      </c>
      <c r="AC10" s="142" t="b">
        <v>0</v>
      </c>
      <c r="AD10" s="142" t="b">
        <v>1</v>
      </c>
      <c r="AE10" s="142" t="b">
        <v>1</v>
      </c>
      <c r="AF10" s="157" t="b">
        <v>0</v>
      </c>
      <c r="AG10" s="142" t="b">
        <v>0</v>
      </c>
      <c r="AH10" s="142" t="b">
        <v>0</v>
      </c>
      <c r="AI10" s="142" t="b">
        <v>0</v>
      </c>
    </row>
    <row r="11" spans="1:35" s="142" customFormat="1" x14ac:dyDescent="0.3">
      <c r="A11" s="141">
        <f>ROW(A11)-ROW($A$9)</f>
        <v>2</v>
      </c>
      <c r="B11" s="141" t="s">
        <v>511</v>
      </c>
      <c r="C11" s="140" t="s">
        <v>509</v>
      </c>
      <c r="D11" s="142" t="s">
        <v>231</v>
      </c>
      <c r="E11" s="141" t="s">
        <v>532</v>
      </c>
      <c r="F11" s="155" t="s">
        <v>533</v>
      </c>
      <c r="G11" s="155" t="str">
        <f t="shared" ref="G11:G34" si="3">"2030 bench"</f>
        <v>2030 bench</v>
      </c>
      <c r="H11" s="155" t="s">
        <v>239</v>
      </c>
      <c r="I11" s="155" t="str">
        <f t="shared" ref="I11:I13" si="4">"2019"</f>
        <v>2019</v>
      </c>
      <c r="J11" s="155" t="s">
        <v>104</v>
      </c>
      <c r="K11" s="155">
        <v>0</v>
      </c>
      <c r="L11" s="155">
        <v>0</v>
      </c>
      <c r="M11" s="155">
        <v>-1</v>
      </c>
      <c r="N11" s="155" t="s">
        <v>122</v>
      </c>
      <c r="O11" s="155">
        <v>0</v>
      </c>
      <c r="P11" s="155">
        <v>1</v>
      </c>
      <c r="Q11" s="155">
        <v>0</v>
      </c>
      <c r="R11" s="142" t="s">
        <v>221</v>
      </c>
      <c r="S11" s="142" t="s">
        <v>222</v>
      </c>
      <c r="T11" s="142" t="s">
        <v>421</v>
      </c>
      <c r="U11" s="156" t="b">
        <v>0</v>
      </c>
      <c r="V11" s="142" t="b">
        <v>1</v>
      </c>
      <c r="W11" s="142" t="b">
        <v>0</v>
      </c>
      <c r="X11" s="142" t="b">
        <v>0</v>
      </c>
      <c r="Y11" s="142" t="b">
        <v>1</v>
      </c>
      <c r="Z11" s="142" t="b">
        <v>0</v>
      </c>
      <c r="AA11" s="142" t="b">
        <v>0</v>
      </c>
      <c r="AB11" s="142" t="b">
        <v>1</v>
      </c>
      <c r="AC11" s="142" t="b">
        <v>0</v>
      </c>
      <c r="AD11" s="142" t="b">
        <v>1</v>
      </c>
      <c r="AE11" s="142" t="b">
        <v>1</v>
      </c>
      <c r="AF11" s="157" t="b">
        <v>0</v>
      </c>
      <c r="AG11" s="142" t="b">
        <v>0</v>
      </c>
      <c r="AH11" s="142" t="b">
        <v>0</v>
      </c>
      <c r="AI11" s="142" t="b">
        <v>0</v>
      </c>
    </row>
    <row r="12" spans="1:35" s="142" customFormat="1" x14ac:dyDescent="0.3">
      <c r="A12" s="141">
        <f>ROW(A12)-ROW($A$9)</f>
        <v>3</v>
      </c>
      <c r="B12" s="141" t="s">
        <v>508</v>
      </c>
      <c r="C12" s="140" t="s">
        <v>510</v>
      </c>
      <c r="D12" s="142" t="s">
        <v>231</v>
      </c>
      <c r="E12" s="141" t="s">
        <v>532</v>
      </c>
      <c r="F12" s="155" t="s">
        <v>533</v>
      </c>
      <c r="G12" s="155" t="str">
        <f t="shared" si="3"/>
        <v>2030 bench</v>
      </c>
      <c r="H12" s="155" t="s">
        <v>239</v>
      </c>
      <c r="I12" s="155" t="str">
        <f t="shared" si="4"/>
        <v>2019</v>
      </c>
      <c r="J12" s="155" t="s">
        <v>104</v>
      </c>
      <c r="K12" s="155">
        <v>0</v>
      </c>
      <c r="L12" s="155">
        <v>0</v>
      </c>
      <c r="M12" s="155">
        <v>-1</v>
      </c>
      <c r="N12" s="155" t="s">
        <v>122</v>
      </c>
      <c r="O12" s="155">
        <v>0</v>
      </c>
      <c r="P12" s="155">
        <v>1</v>
      </c>
      <c r="Q12" s="155">
        <v>0</v>
      </c>
      <c r="R12" s="142" t="s">
        <v>221</v>
      </c>
      <c r="S12" s="142" t="s">
        <v>222</v>
      </c>
      <c r="T12" s="142" t="s">
        <v>421</v>
      </c>
      <c r="U12" s="156" t="b">
        <v>0</v>
      </c>
      <c r="V12" s="142" t="b">
        <v>1</v>
      </c>
      <c r="W12" s="142" t="b">
        <v>0</v>
      </c>
      <c r="X12" s="142" t="b">
        <v>0</v>
      </c>
      <c r="Y12" s="142" t="b">
        <v>1</v>
      </c>
      <c r="Z12" s="142" t="b">
        <v>0</v>
      </c>
      <c r="AA12" s="142" t="b">
        <v>0</v>
      </c>
      <c r="AB12" s="142" t="b">
        <v>1</v>
      </c>
      <c r="AC12" s="142" t="b">
        <v>0</v>
      </c>
      <c r="AD12" s="142" t="b">
        <v>1</v>
      </c>
      <c r="AE12" s="142" t="b">
        <v>1</v>
      </c>
      <c r="AF12" s="157" t="b">
        <v>0</v>
      </c>
      <c r="AG12" s="142" t="b">
        <v>0</v>
      </c>
      <c r="AH12" s="142" t="b">
        <v>0</v>
      </c>
      <c r="AI12" s="142" t="b">
        <v>0</v>
      </c>
    </row>
    <row r="13" spans="1:35" s="142" customFormat="1" x14ac:dyDescent="0.3">
      <c r="A13" s="141">
        <f>ROW(A13)-ROW($A$9)</f>
        <v>4</v>
      </c>
      <c r="B13" s="141" t="s">
        <v>520</v>
      </c>
      <c r="C13" s="140" t="s">
        <v>521</v>
      </c>
      <c r="D13" s="142" t="s">
        <v>231</v>
      </c>
      <c r="E13" s="141" t="s">
        <v>532</v>
      </c>
      <c r="F13" s="155" t="s">
        <v>533</v>
      </c>
      <c r="G13" s="155" t="str">
        <f t="shared" si="3"/>
        <v>2030 bench</v>
      </c>
      <c r="H13" s="155" t="s">
        <v>239</v>
      </c>
      <c r="I13" s="155" t="str">
        <f t="shared" si="4"/>
        <v>2019</v>
      </c>
      <c r="J13" s="155" t="s">
        <v>104</v>
      </c>
      <c r="K13" s="155">
        <v>0</v>
      </c>
      <c r="L13" s="155">
        <v>0</v>
      </c>
      <c r="M13" s="155">
        <v>-1</v>
      </c>
      <c r="N13" s="155" t="s">
        <v>122</v>
      </c>
      <c r="O13" s="155">
        <v>0</v>
      </c>
      <c r="P13" s="155">
        <v>1</v>
      </c>
      <c r="Q13" s="155">
        <v>0</v>
      </c>
      <c r="R13" s="142" t="s">
        <v>221</v>
      </c>
      <c r="S13" s="142" t="s">
        <v>222</v>
      </c>
      <c r="T13" s="142" t="s">
        <v>421</v>
      </c>
      <c r="U13" s="156" t="b">
        <v>0</v>
      </c>
      <c r="V13" s="142" t="b">
        <v>1</v>
      </c>
      <c r="W13" s="142" t="b">
        <v>0</v>
      </c>
      <c r="X13" s="142" t="b">
        <v>0</v>
      </c>
      <c r="Y13" s="142" t="b">
        <v>1</v>
      </c>
      <c r="Z13" s="142" t="b">
        <v>0</v>
      </c>
      <c r="AA13" s="142" t="b">
        <v>0</v>
      </c>
      <c r="AB13" s="142" t="b">
        <v>0</v>
      </c>
      <c r="AC13" s="142" t="b">
        <v>0</v>
      </c>
      <c r="AD13" s="142" t="b">
        <v>0</v>
      </c>
      <c r="AE13" s="142" t="b">
        <v>0</v>
      </c>
      <c r="AF13" s="157" t="b">
        <v>0</v>
      </c>
      <c r="AG13" s="142" t="b">
        <v>0</v>
      </c>
      <c r="AH13" s="142" t="b">
        <v>0</v>
      </c>
      <c r="AI13" s="142" t="b">
        <v>0</v>
      </c>
    </row>
    <row r="14" spans="1:35" s="142" customFormat="1" x14ac:dyDescent="0.3">
      <c r="A14" s="141">
        <f t="shared" si="0"/>
        <v>5</v>
      </c>
      <c r="B14" s="141" t="s">
        <v>522</v>
      </c>
      <c r="C14" s="194" t="s">
        <v>523</v>
      </c>
      <c r="D14" s="142" t="s">
        <v>231</v>
      </c>
      <c r="E14" s="141" t="s">
        <v>532</v>
      </c>
      <c r="F14" s="155" t="s">
        <v>533</v>
      </c>
      <c r="G14" s="155" t="str">
        <f t="shared" si="1"/>
        <v>2030 bench</v>
      </c>
      <c r="H14" s="155" t="s">
        <v>239</v>
      </c>
      <c r="I14" s="155" t="str">
        <f t="shared" si="2"/>
        <v>2019</v>
      </c>
      <c r="J14" s="155" t="s">
        <v>104</v>
      </c>
      <c r="K14" s="155">
        <v>0</v>
      </c>
      <c r="L14" s="155">
        <v>0</v>
      </c>
      <c r="M14" s="155">
        <v>-1</v>
      </c>
      <c r="N14" s="155" t="s">
        <v>122</v>
      </c>
      <c r="O14" s="155">
        <v>0</v>
      </c>
      <c r="P14" s="155">
        <v>1</v>
      </c>
      <c r="Q14" s="155">
        <v>0</v>
      </c>
      <c r="R14" s="142" t="s">
        <v>221</v>
      </c>
      <c r="S14" s="142" t="s">
        <v>222</v>
      </c>
      <c r="T14" s="142" t="s">
        <v>421</v>
      </c>
      <c r="U14" s="156" t="b">
        <v>0</v>
      </c>
      <c r="V14" s="142" t="b">
        <v>1</v>
      </c>
      <c r="W14" s="142" t="b">
        <v>0</v>
      </c>
      <c r="X14" s="142" t="b">
        <v>0</v>
      </c>
      <c r="Y14" s="142" t="b">
        <v>1</v>
      </c>
      <c r="Z14" s="142" t="b">
        <v>0</v>
      </c>
      <c r="AA14" s="142" t="b">
        <v>0</v>
      </c>
      <c r="AB14" s="142" t="b">
        <v>1</v>
      </c>
      <c r="AC14" s="142" t="b">
        <v>0</v>
      </c>
      <c r="AD14" s="142" t="b">
        <v>1</v>
      </c>
      <c r="AE14" s="142" t="b">
        <v>1</v>
      </c>
      <c r="AF14" s="157" t="b">
        <v>0</v>
      </c>
      <c r="AG14" s="142" t="b">
        <v>0</v>
      </c>
      <c r="AH14" s="142" t="b">
        <v>0</v>
      </c>
      <c r="AI14" s="142" t="b">
        <v>1</v>
      </c>
    </row>
    <row r="15" spans="1:35" s="118" customFormat="1" x14ac:dyDescent="0.3">
      <c r="A15" s="115">
        <f t="shared" ref="A15:A17" si="5">ROW(A15)-ROW($A$9)</f>
        <v>6</v>
      </c>
      <c r="B15" s="115" t="s">
        <v>479</v>
      </c>
      <c r="C15" s="114" t="s">
        <v>484</v>
      </c>
      <c r="D15" s="118" t="s">
        <v>231</v>
      </c>
      <c r="E15" s="115" t="s">
        <v>103</v>
      </c>
      <c r="F15" s="152" t="s">
        <v>529</v>
      </c>
      <c r="G15" s="152" t="str">
        <f t="shared" ref="G15:G17" si="6">"2030 bench"</f>
        <v>2030 bench</v>
      </c>
      <c r="H15" s="152" t="s">
        <v>239</v>
      </c>
      <c r="I15" s="152" t="str">
        <f t="shared" ref="I15:I26" si="7">"2019"</f>
        <v>2019</v>
      </c>
      <c r="J15" s="152" t="s">
        <v>122</v>
      </c>
      <c r="K15" s="152">
        <v>0</v>
      </c>
      <c r="L15" s="152">
        <v>0</v>
      </c>
      <c r="M15" s="152">
        <v>-1</v>
      </c>
      <c r="N15" s="152" t="s">
        <v>122</v>
      </c>
      <c r="O15" s="152">
        <v>0</v>
      </c>
      <c r="P15" s="152">
        <v>1</v>
      </c>
      <c r="Q15" s="152">
        <v>0</v>
      </c>
      <c r="R15" s="118" t="s">
        <v>221</v>
      </c>
      <c r="S15" s="118" t="s">
        <v>222</v>
      </c>
      <c r="T15" s="118" t="s">
        <v>421</v>
      </c>
      <c r="U15" s="153" t="b">
        <v>0</v>
      </c>
      <c r="V15" s="118" t="b">
        <v>1</v>
      </c>
      <c r="W15" s="118" t="b">
        <v>0</v>
      </c>
      <c r="X15" s="118" t="b">
        <v>0</v>
      </c>
      <c r="Y15" s="118" t="b">
        <v>1</v>
      </c>
      <c r="Z15" s="118" t="b">
        <v>0</v>
      </c>
      <c r="AA15" s="118" t="b">
        <v>0</v>
      </c>
      <c r="AB15" s="118" t="b">
        <v>1</v>
      </c>
      <c r="AC15" s="118" t="b">
        <v>0</v>
      </c>
      <c r="AD15" s="118" t="b">
        <v>1</v>
      </c>
      <c r="AE15" s="118" t="b">
        <v>1</v>
      </c>
      <c r="AF15" s="154" t="b">
        <v>0</v>
      </c>
      <c r="AG15" s="118" t="b">
        <v>0</v>
      </c>
      <c r="AH15" s="118" t="b">
        <v>0</v>
      </c>
      <c r="AI15" s="118" t="b">
        <v>0</v>
      </c>
    </row>
    <row r="16" spans="1:35" s="118" customFormat="1" x14ac:dyDescent="0.3">
      <c r="A16" s="115">
        <f t="shared" si="5"/>
        <v>7</v>
      </c>
      <c r="B16" s="115" t="s">
        <v>480</v>
      </c>
      <c r="C16" s="114" t="s">
        <v>482</v>
      </c>
      <c r="D16" s="118" t="s">
        <v>231</v>
      </c>
      <c r="E16" s="115" t="s">
        <v>103</v>
      </c>
      <c r="F16" s="152" t="s">
        <v>529</v>
      </c>
      <c r="G16" s="152" t="str">
        <f t="shared" si="6"/>
        <v>2030 bench</v>
      </c>
      <c r="H16" s="152" t="s">
        <v>239</v>
      </c>
      <c r="I16" s="152" t="str">
        <f t="shared" si="7"/>
        <v>2019</v>
      </c>
      <c r="J16" s="152" t="s">
        <v>122</v>
      </c>
      <c r="K16" s="152">
        <v>0</v>
      </c>
      <c r="L16" s="152">
        <v>0</v>
      </c>
      <c r="M16" s="152">
        <v>-1</v>
      </c>
      <c r="N16" s="152" t="s">
        <v>122</v>
      </c>
      <c r="O16" s="152">
        <v>0</v>
      </c>
      <c r="P16" s="152">
        <v>1</v>
      </c>
      <c r="Q16" s="152">
        <v>0</v>
      </c>
      <c r="R16" s="118" t="s">
        <v>221</v>
      </c>
      <c r="S16" s="118" t="s">
        <v>222</v>
      </c>
      <c r="T16" s="118" t="s">
        <v>421</v>
      </c>
      <c r="U16" s="153" t="b">
        <v>0</v>
      </c>
      <c r="V16" s="118" t="b">
        <v>1</v>
      </c>
      <c r="W16" s="118" t="b">
        <v>0</v>
      </c>
      <c r="X16" s="118" t="b">
        <v>0</v>
      </c>
      <c r="Y16" s="118" t="b">
        <v>1</v>
      </c>
      <c r="Z16" s="118" t="b">
        <v>0</v>
      </c>
      <c r="AA16" s="118" t="b">
        <v>0</v>
      </c>
      <c r="AB16" s="118" t="b">
        <v>1</v>
      </c>
      <c r="AC16" s="118" t="b">
        <v>0</v>
      </c>
      <c r="AD16" s="118" t="b">
        <v>1</v>
      </c>
      <c r="AE16" s="118" t="b">
        <v>1</v>
      </c>
      <c r="AF16" s="154" t="b">
        <v>0</v>
      </c>
      <c r="AG16" s="118" t="b">
        <v>0</v>
      </c>
      <c r="AH16" s="118" t="b">
        <v>0</v>
      </c>
      <c r="AI16" s="118" t="b">
        <v>0</v>
      </c>
    </row>
    <row r="17" spans="1:35" s="118" customFormat="1" x14ac:dyDescent="0.3">
      <c r="A17" s="115">
        <f t="shared" si="5"/>
        <v>8</v>
      </c>
      <c r="B17" s="115" t="s">
        <v>481</v>
      </c>
      <c r="C17" s="114" t="s">
        <v>483</v>
      </c>
      <c r="D17" s="118" t="s">
        <v>231</v>
      </c>
      <c r="E17" s="115" t="s">
        <v>103</v>
      </c>
      <c r="F17" s="152" t="s">
        <v>529</v>
      </c>
      <c r="G17" s="152" t="str">
        <f t="shared" si="6"/>
        <v>2030 bench</v>
      </c>
      <c r="H17" s="152" t="s">
        <v>239</v>
      </c>
      <c r="I17" s="152" t="str">
        <f t="shared" si="7"/>
        <v>2019</v>
      </c>
      <c r="J17" s="152" t="s">
        <v>122</v>
      </c>
      <c r="K17" s="152">
        <v>0</v>
      </c>
      <c r="L17" s="152">
        <v>0</v>
      </c>
      <c r="M17" s="152">
        <v>-1</v>
      </c>
      <c r="N17" s="152" t="s">
        <v>122</v>
      </c>
      <c r="O17" s="152">
        <v>0</v>
      </c>
      <c r="P17" s="152">
        <v>1</v>
      </c>
      <c r="Q17" s="152">
        <v>0</v>
      </c>
      <c r="R17" s="118" t="s">
        <v>221</v>
      </c>
      <c r="S17" s="118" t="s">
        <v>222</v>
      </c>
      <c r="T17" s="118" t="s">
        <v>421</v>
      </c>
      <c r="U17" s="153" t="b">
        <v>0</v>
      </c>
      <c r="V17" s="118" t="b">
        <v>1</v>
      </c>
      <c r="W17" s="118" t="b">
        <v>0</v>
      </c>
      <c r="X17" s="118" t="b">
        <v>0</v>
      </c>
      <c r="Y17" s="118" t="b">
        <v>1</v>
      </c>
      <c r="Z17" s="118" t="b">
        <v>0</v>
      </c>
      <c r="AA17" s="118" t="b">
        <v>0</v>
      </c>
      <c r="AB17" s="118" t="b">
        <v>1</v>
      </c>
      <c r="AC17" s="118" t="b">
        <v>0</v>
      </c>
      <c r="AD17" s="118" t="b">
        <v>1</v>
      </c>
      <c r="AE17" s="118" t="b">
        <v>1</v>
      </c>
      <c r="AF17" s="154" t="b">
        <v>0</v>
      </c>
      <c r="AG17" s="118" t="b">
        <v>0</v>
      </c>
      <c r="AH17" s="118" t="b">
        <v>0</v>
      </c>
      <c r="AI17" s="118" t="b">
        <v>0</v>
      </c>
    </row>
    <row r="18" spans="1:35" s="131" customFormat="1" x14ac:dyDescent="0.3">
      <c r="A18" s="128">
        <f>ROW(A18)-ROW($A$9)</f>
        <v>9</v>
      </c>
      <c r="B18" s="128" t="s">
        <v>513</v>
      </c>
      <c r="C18" s="127" t="s">
        <v>516</v>
      </c>
      <c r="D18" s="131" t="s">
        <v>231</v>
      </c>
      <c r="E18" s="128" t="s">
        <v>103</v>
      </c>
      <c r="F18" s="148" t="s">
        <v>512</v>
      </c>
      <c r="G18" s="148" t="str">
        <f t="shared" si="3"/>
        <v>2030 bench</v>
      </c>
      <c r="H18" s="148" t="s">
        <v>239</v>
      </c>
      <c r="I18" s="149">
        <v>2019</v>
      </c>
      <c r="J18" s="148" t="s">
        <v>104</v>
      </c>
      <c r="K18" s="148">
        <v>0</v>
      </c>
      <c r="L18" s="148">
        <v>0</v>
      </c>
      <c r="M18" s="148">
        <v>-1</v>
      </c>
      <c r="N18" s="148" t="s">
        <v>122</v>
      </c>
      <c r="O18" s="148">
        <v>0</v>
      </c>
      <c r="P18" s="148">
        <v>1</v>
      </c>
      <c r="Q18" s="148">
        <v>0</v>
      </c>
      <c r="R18" s="131" t="s">
        <v>221</v>
      </c>
      <c r="S18" s="131" t="s">
        <v>222</v>
      </c>
      <c r="T18" s="131" t="s">
        <v>421</v>
      </c>
      <c r="U18" s="150" t="b">
        <v>0</v>
      </c>
      <c r="V18" s="131" t="b">
        <v>1</v>
      </c>
      <c r="W18" s="131" t="b">
        <v>0</v>
      </c>
      <c r="X18" s="131" t="b">
        <v>0</v>
      </c>
      <c r="Y18" s="131" t="b">
        <v>1</v>
      </c>
      <c r="Z18" s="131" t="b">
        <v>0</v>
      </c>
      <c r="AA18" s="131" t="b">
        <v>0</v>
      </c>
      <c r="AB18" s="131" t="b">
        <v>1</v>
      </c>
      <c r="AC18" s="131" t="b">
        <v>0</v>
      </c>
      <c r="AD18" s="131" t="b">
        <v>1</v>
      </c>
      <c r="AE18" s="131" t="b">
        <v>1</v>
      </c>
      <c r="AF18" s="151" t="b">
        <v>0</v>
      </c>
      <c r="AG18" s="131" t="b">
        <v>0</v>
      </c>
      <c r="AH18" s="131" t="b">
        <v>0</v>
      </c>
      <c r="AI18" s="131" t="b">
        <v>0</v>
      </c>
    </row>
    <row r="19" spans="1:35" x14ac:dyDescent="0.3">
      <c r="A19" s="73">
        <f t="shared" ref="A19:A34" si="8">ROW(A19)-ROW($A$9)</f>
        <v>10</v>
      </c>
      <c r="B19" s="73" t="s">
        <v>485</v>
      </c>
      <c r="C19" s="74" t="s">
        <v>489</v>
      </c>
      <c r="D19" s="75" t="s">
        <v>231</v>
      </c>
      <c r="E19" s="73" t="s">
        <v>103</v>
      </c>
      <c r="F19" s="76" t="s">
        <v>529</v>
      </c>
      <c r="G19" s="76" t="str">
        <f t="shared" si="3"/>
        <v>2030 bench</v>
      </c>
      <c r="H19" s="76" t="s">
        <v>239</v>
      </c>
      <c r="I19" s="76" t="str">
        <f t="shared" si="7"/>
        <v>2019</v>
      </c>
      <c r="J19" s="76" t="s">
        <v>104</v>
      </c>
      <c r="K19" s="76">
        <v>0</v>
      </c>
      <c r="L19" s="76">
        <v>0</v>
      </c>
      <c r="M19" s="76">
        <v>-1</v>
      </c>
      <c r="N19" s="76" t="s">
        <v>122</v>
      </c>
      <c r="O19" s="76">
        <v>0</v>
      </c>
      <c r="P19" s="76">
        <v>1</v>
      </c>
      <c r="Q19" s="76">
        <v>0</v>
      </c>
      <c r="R19" s="75" t="s">
        <v>221</v>
      </c>
      <c r="S19" s="75" t="s">
        <v>222</v>
      </c>
      <c r="T19" s="75" t="s">
        <v>421</v>
      </c>
      <c r="U19" s="77" t="b">
        <v>0</v>
      </c>
      <c r="V19" s="75" t="b">
        <v>1</v>
      </c>
      <c r="W19" s="75" t="b">
        <v>0</v>
      </c>
      <c r="X19" s="75" t="b">
        <v>0</v>
      </c>
      <c r="Y19" s="75" t="b">
        <v>1</v>
      </c>
      <c r="Z19" s="75" t="b">
        <v>0</v>
      </c>
      <c r="AA19" s="75" t="b">
        <v>0</v>
      </c>
      <c r="AB19" s="75" t="b">
        <v>1</v>
      </c>
      <c r="AC19" s="75" t="b">
        <v>0</v>
      </c>
      <c r="AD19" s="75" t="b">
        <v>1</v>
      </c>
      <c r="AE19" s="75" t="b">
        <v>1</v>
      </c>
      <c r="AF19" s="78" t="b">
        <v>0</v>
      </c>
      <c r="AG19" s="75" t="b">
        <v>0</v>
      </c>
      <c r="AH19" s="75" t="b">
        <v>0</v>
      </c>
      <c r="AI19" s="75" t="b">
        <v>1</v>
      </c>
    </row>
    <row r="20" spans="1:35" x14ac:dyDescent="0.3">
      <c r="A20" s="73">
        <f t="shared" si="8"/>
        <v>11</v>
      </c>
      <c r="B20" s="73" t="s">
        <v>486</v>
      </c>
      <c r="C20" s="74" t="s">
        <v>488</v>
      </c>
      <c r="D20" s="75" t="s">
        <v>231</v>
      </c>
      <c r="E20" s="73" t="s">
        <v>103</v>
      </c>
      <c r="F20" s="76" t="s">
        <v>529</v>
      </c>
      <c r="G20" s="76" t="str">
        <f t="shared" si="3"/>
        <v>2030 bench</v>
      </c>
      <c r="H20" s="76" t="s">
        <v>239</v>
      </c>
      <c r="I20" s="76" t="str">
        <f t="shared" si="7"/>
        <v>2019</v>
      </c>
      <c r="J20" s="76" t="s">
        <v>87</v>
      </c>
      <c r="K20" s="76">
        <v>0</v>
      </c>
      <c r="L20" s="76">
        <v>0</v>
      </c>
      <c r="M20" s="76">
        <v>-1</v>
      </c>
      <c r="N20" s="76" t="s">
        <v>122</v>
      </c>
      <c r="O20" s="76">
        <v>0</v>
      </c>
      <c r="P20" s="76">
        <v>1</v>
      </c>
      <c r="Q20" s="76">
        <v>0</v>
      </c>
      <c r="R20" s="75" t="s">
        <v>221</v>
      </c>
      <c r="S20" s="75" t="s">
        <v>222</v>
      </c>
      <c r="T20" s="75" t="s">
        <v>421</v>
      </c>
      <c r="U20" s="77" t="b">
        <v>0</v>
      </c>
      <c r="V20" s="75" t="b">
        <v>1</v>
      </c>
      <c r="W20" s="75" t="b">
        <v>0</v>
      </c>
      <c r="X20" s="75" t="b">
        <v>0</v>
      </c>
      <c r="Y20" s="75" t="b">
        <v>1</v>
      </c>
      <c r="Z20" s="75" t="b">
        <v>0</v>
      </c>
      <c r="AA20" s="75" t="b">
        <v>0</v>
      </c>
      <c r="AB20" s="75" t="b">
        <v>1</v>
      </c>
      <c r="AC20" s="75" t="b">
        <v>0</v>
      </c>
      <c r="AD20" s="75" t="b">
        <v>1</v>
      </c>
      <c r="AE20" s="75" t="b">
        <v>1</v>
      </c>
      <c r="AF20" s="78" t="b">
        <v>0</v>
      </c>
      <c r="AG20" s="75" t="b">
        <v>0</v>
      </c>
      <c r="AH20" s="75" t="b">
        <v>0</v>
      </c>
      <c r="AI20" s="75" t="b">
        <v>1</v>
      </c>
    </row>
    <row r="21" spans="1:35" x14ac:dyDescent="0.3">
      <c r="A21" s="73">
        <f t="shared" si="8"/>
        <v>12</v>
      </c>
      <c r="B21" s="73" t="s">
        <v>487</v>
      </c>
      <c r="C21" s="74" t="s">
        <v>491</v>
      </c>
      <c r="D21" s="75" t="s">
        <v>231</v>
      </c>
      <c r="E21" s="73" t="s">
        <v>103</v>
      </c>
      <c r="F21" s="76" t="s">
        <v>529</v>
      </c>
      <c r="G21" s="76" t="str">
        <f t="shared" si="3"/>
        <v>2030 bench</v>
      </c>
      <c r="H21" s="76" t="s">
        <v>239</v>
      </c>
      <c r="I21" s="76" t="str">
        <f t="shared" si="7"/>
        <v>2019</v>
      </c>
      <c r="J21" s="76" t="s">
        <v>104</v>
      </c>
      <c r="K21" s="76">
        <v>0</v>
      </c>
      <c r="L21" s="76">
        <v>0</v>
      </c>
      <c r="M21" s="76">
        <v>-1</v>
      </c>
      <c r="N21" s="76" t="s">
        <v>122</v>
      </c>
      <c r="O21" s="76">
        <v>0</v>
      </c>
      <c r="P21" s="76">
        <v>1</v>
      </c>
      <c r="Q21" s="76">
        <v>0</v>
      </c>
      <c r="R21" s="75" t="s">
        <v>221</v>
      </c>
      <c r="S21" s="75" t="s">
        <v>222</v>
      </c>
      <c r="T21" s="75" t="s">
        <v>421</v>
      </c>
      <c r="U21" s="77" t="b">
        <v>0</v>
      </c>
      <c r="V21" s="75" t="b">
        <v>1</v>
      </c>
      <c r="W21" s="75" t="b">
        <v>0</v>
      </c>
      <c r="X21" s="75" t="b">
        <v>0</v>
      </c>
      <c r="Y21" s="75" t="b">
        <v>1</v>
      </c>
      <c r="Z21" s="75" t="b">
        <v>0</v>
      </c>
      <c r="AA21" s="75" t="b">
        <v>0</v>
      </c>
      <c r="AB21" s="75" t="b">
        <v>1</v>
      </c>
      <c r="AC21" s="75" t="b">
        <v>0</v>
      </c>
      <c r="AD21" s="75" t="b">
        <v>1</v>
      </c>
      <c r="AE21" s="75" t="b">
        <v>1</v>
      </c>
      <c r="AF21" s="78" t="b">
        <v>0</v>
      </c>
      <c r="AG21" s="75" t="b">
        <v>0</v>
      </c>
      <c r="AH21" s="75" t="b">
        <v>0</v>
      </c>
      <c r="AI21" s="75" t="b">
        <v>1</v>
      </c>
    </row>
    <row r="22" spans="1:35" x14ac:dyDescent="0.3">
      <c r="A22" s="73">
        <f t="shared" si="8"/>
        <v>13</v>
      </c>
      <c r="B22" s="73" t="s">
        <v>490</v>
      </c>
      <c r="C22" s="74" t="s">
        <v>492</v>
      </c>
      <c r="D22" s="75" t="s">
        <v>231</v>
      </c>
      <c r="E22" s="73" t="s">
        <v>103</v>
      </c>
      <c r="F22" s="76" t="s">
        <v>529</v>
      </c>
      <c r="G22" s="76" t="str">
        <f t="shared" si="3"/>
        <v>2030 bench</v>
      </c>
      <c r="H22" s="76" t="s">
        <v>239</v>
      </c>
      <c r="I22" s="76" t="str">
        <f t="shared" si="7"/>
        <v>2019</v>
      </c>
      <c r="J22" s="76" t="s">
        <v>104</v>
      </c>
      <c r="K22" s="76">
        <v>0</v>
      </c>
      <c r="L22" s="76">
        <v>0</v>
      </c>
      <c r="M22" s="76">
        <v>-1</v>
      </c>
      <c r="N22" s="76" t="s">
        <v>122</v>
      </c>
      <c r="O22" s="76">
        <v>0</v>
      </c>
      <c r="P22" s="76">
        <v>1</v>
      </c>
      <c r="Q22" s="76">
        <v>0</v>
      </c>
      <c r="R22" s="75" t="s">
        <v>221</v>
      </c>
      <c r="S22" s="75" t="s">
        <v>222</v>
      </c>
      <c r="T22" s="75" t="s">
        <v>421</v>
      </c>
      <c r="U22" s="77" t="b">
        <v>0</v>
      </c>
      <c r="V22" s="75" t="b">
        <v>1</v>
      </c>
      <c r="W22" s="75" t="b">
        <v>0</v>
      </c>
      <c r="X22" s="75" t="b">
        <v>0</v>
      </c>
      <c r="Y22" s="75" t="b">
        <v>1</v>
      </c>
      <c r="Z22" s="75" t="b">
        <v>0</v>
      </c>
      <c r="AA22" s="75" t="b">
        <v>0</v>
      </c>
      <c r="AB22" s="75" t="b">
        <v>1</v>
      </c>
      <c r="AC22" s="75" t="b">
        <v>0</v>
      </c>
      <c r="AD22" s="75" t="b">
        <v>1</v>
      </c>
      <c r="AE22" s="75" t="b">
        <v>1</v>
      </c>
      <c r="AF22" s="78" t="b">
        <v>0</v>
      </c>
      <c r="AG22" s="75" t="b">
        <v>0</v>
      </c>
      <c r="AH22" s="75" t="b">
        <v>0</v>
      </c>
      <c r="AI22" s="75" t="b">
        <v>1</v>
      </c>
    </row>
    <row r="23" spans="1:35" x14ac:dyDescent="0.3">
      <c r="A23" s="73">
        <f t="shared" si="8"/>
        <v>14</v>
      </c>
      <c r="B23" s="73" t="s">
        <v>494</v>
      </c>
      <c r="C23" s="74" t="s">
        <v>495</v>
      </c>
      <c r="D23" s="75" t="s">
        <v>231</v>
      </c>
      <c r="E23" s="73" t="s">
        <v>103</v>
      </c>
      <c r="F23" s="76" t="s">
        <v>529</v>
      </c>
      <c r="G23" s="76" t="str">
        <f t="shared" si="3"/>
        <v>2030 bench</v>
      </c>
      <c r="H23" s="76" t="s">
        <v>239</v>
      </c>
      <c r="I23" s="76" t="str">
        <f t="shared" si="7"/>
        <v>2019</v>
      </c>
      <c r="J23" s="76" t="s">
        <v>104</v>
      </c>
      <c r="K23" s="76">
        <v>0</v>
      </c>
      <c r="L23" s="76">
        <v>0</v>
      </c>
      <c r="M23" s="76">
        <v>-1</v>
      </c>
      <c r="N23" s="76" t="s">
        <v>122</v>
      </c>
      <c r="O23" s="76">
        <v>0</v>
      </c>
      <c r="P23" s="76">
        <v>1</v>
      </c>
      <c r="Q23" s="76">
        <v>0</v>
      </c>
      <c r="R23" s="75" t="s">
        <v>221</v>
      </c>
      <c r="S23" s="75" t="s">
        <v>222</v>
      </c>
      <c r="T23" s="75" t="s">
        <v>421</v>
      </c>
      <c r="U23" s="77" t="b">
        <v>0</v>
      </c>
      <c r="V23" s="75" t="b">
        <v>1</v>
      </c>
      <c r="W23" s="75" t="b">
        <v>0</v>
      </c>
      <c r="X23" s="75" t="b">
        <v>0</v>
      </c>
      <c r="Y23" s="75" t="b">
        <v>1</v>
      </c>
      <c r="Z23" s="75" t="b">
        <v>0</v>
      </c>
      <c r="AA23" s="75" t="b">
        <v>0</v>
      </c>
      <c r="AB23" s="75" t="b">
        <v>1</v>
      </c>
      <c r="AC23" s="75" t="b">
        <v>0</v>
      </c>
      <c r="AD23" s="75" t="b">
        <v>1</v>
      </c>
      <c r="AE23" s="75" t="b">
        <v>1</v>
      </c>
      <c r="AF23" s="78" t="b">
        <v>0</v>
      </c>
      <c r="AG23" s="75" t="b">
        <v>0</v>
      </c>
      <c r="AH23" s="75" t="b">
        <v>0</v>
      </c>
      <c r="AI23" s="75" t="b">
        <v>1</v>
      </c>
    </row>
    <row r="24" spans="1:35" x14ac:dyDescent="0.3">
      <c r="A24" s="73">
        <f t="shared" si="8"/>
        <v>15</v>
      </c>
      <c r="B24" s="73" t="s">
        <v>494</v>
      </c>
      <c r="C24" s="74" t="s">
        <v>496</v>
      </c>
      <c r="D24" s="75" t="s">
        <v>231</v>
      </c>
      <c r="E24" s="73" t="s">
        <v>103</v>
      </c>
      <c r="F24" s="76" t="s">
        <v>529</v>
      </c>
      <c r="G24" s="76" t="str">
        <f t="shared" si="3"/>
        <v>2030 bench</v>
      </c>
      <c r="H24" s="76" t="s">
        <v>239</v>
      </c>
      <c r="I24" s="76" t="str">
        <f t="shared" si="7"/>
        <v>2019</v>
      </c>
      <c r="J24" s="76" t="s">
        <v>87</v>
      </c>
      <c r="K24" s="76">
        <v>0</v>
      </c>
      <c r="L24" s="76">
        <v>0</v>
      </c>
      <c r="M24" s="76">
        <v>-1</v>
      </c>
      <c r="N24" s="76" t="s">
        <v>122</v>
      </c>
      <c r="O24" s="76">
        <v>0</v>
      </c>
      <c r="P24" s="76">
        <v>1</v>
      </c>
      <c r="Q24" s="76">
        <v>0</v>
      </c>
      <c r="R24" s="75" t="s">
        <v>221</v>
      </c>
      <c r="S24" s="75" t="s">
        <v>222</v>
      </c>
      <c r="T24" s="75" t="s">
        <v>421</v>
      </c>
      <c r="U24" s="77" t="b">
        <v>0</v>
      </c>
      <c r="V24" s="75" t="b">
        <v>1</v>
      </c>
      <c r="W24" s="75" t="b">
        <v>0</v>
      </c>
      <c r="X24" s="75" t="b">
        <v>0</v>
      </c>
      <c r="Y24" s="75" t="b">
        <v>1</v>
      </c>
      <c r="Z24" s="75" t="b">
        <v>0</v>
      </c>
      <c r="AA24" s="75" t="b">
        <v>0</v>
      </c>
      <c r="AB24" s="75" t="b">
        <v>1</v>
      </c>
      <c r="AC24" s="75" t="b">
        <v>0</v>
      </c>
      <c r="AD24" s="75" t="b">
        <v>1</v>
      </c>
      <c r="AE24" s="75" t="b">
        <v>1</v>
      </c>
      <c r="AF24" s="78" t="b">
        <v>0</v>
      </c>
      <c r="AG24" s="75" t="b">
        <v>0</v>
      </c>
      <c r="AH24" s="75" t="b">
        <v>0</v>
      </c>
      <c r="AI24" s="75" t="b">
        <v>1</v>
      </c>
    </row>
    <row r="25" spans="1:35" x14ac:dyDescent="0.3">
      <c r="A25" s="73">
        <f t="shared" si="8"/>
        <v>16</v>
      </c>
      <c r="B25" s="73" t="s">
        <v>494</v>
      </c>
      <c r="C25" s="74" t="s">
        <v>497</v>
      </c>
      <c r="D25" s="75" t="s">
        <v>231</v>
      </c>
      <c r="E25" s="73" t="s">
        <v>103</v>
      </c>
      <c r="F25" s="76" t="s">
        <v>529</v>
      </c>
      <c r="G25" s="76" t="str">
        <f t="shared" si="3"/>
        <v>2030 bench</v>
      </c>
      <c r="H25" s="76" t="s">
        <v>239</v>
      </c>
      <c r="I25" s="76" t="str">
        <f t="shared" si="7"/>
        <v>2019</v>
      </c>
      <c r="J25" s="76" t="s">
        <v>104</v>
      </c>
      <c r="K25" s="76">
        <v>0</v>
      </c>
      <c r="L25" s="76">
        <v>0</v>
      </c>
      <c r="M25" s="76">
        <v>-1</v>
      </c>
      <c r="N25" s="76" t="s">
        <v>122</v>
      </c>
      <c r="O25" s="76">
        <v>0</v>
      </c>
      <c r="P25" s="76">
        <v>1</v>
      </c>
      <c r="Q25" s="76">
        <v>0</v>
      </c>
      <c r="R25" s="75" t="s">
        <v>221</v>
      </c>
      <c r="S25" s="75" t="s">
        <v>222</v>
      </c>
      <c r="T25" s="75" t="s">
        <v>421</v>
      </c>
      <c r="U25" s="77" t="b">
        <v>0</v>
      </c>
      <c r="V25" s="75" t="b">
        <v>1</v>
      </c>
      <c r="W25" s="75" t="b">
        <v>0</v>
      </c>
      <c r="X25" s="75" t="b">
        <v>0</v>
      </c>
      <c r="Y25" s="75" t="b">
        <v>1</v>
      </c>
      <c r="Z25" s="75" t="b">
        <v>0</v>
      </c>
      <c r="AA25" s="75" t="b">
        <v>0</v>
      </c>
      <c r="AB25" s="75" t="b">
        <v>1</v>
      </c>
      <c r="AC25" s="75" t="b">
        <v>0</v>
      </c>
      <c r="AD25" s="75" t="b">
        <v>1</v>
      </c>
      <c r="AE25" s="75" t="b">
        <v>1</v>
      </c>
      <c r="AF25" s="78" t="b">
        <v>0</v>
      </c>
      <c r="AG25" s="75" t="b">
        <v>0</v>
      </c>
      <c r="AH25" s="75" t="b">
        <v>0</v>
      </c>
      <c r="AI25" s="75" t="b">
        <v>1</v>
      </c>
    </row>
    <row r="26" spans="1:35" x14ac:dyDescent="0.3">
      <c r="A26" s="73">
        <f t="shared" si="8"/>
        <v>17</v>
      </c>
      <c r="B26" s="73" t="s">
        <v>494</v>
      </c>
      <c r="C26" s="74" t="s">
        <v>498</v>
      </c>
      <c r="D26" s="75" t="s">
        <v>231</v>
      </c>
      <c r="E26" s="73" t="s">
        <v>103</v>
      </c>
      <c r="F26" s="76" t="s">
        <v>529</v>
      </c>
      <c r="G26" s="76" t="str">
        <f t="shared" si="3"/>
        <v>2030 bench</v>
      </c>
      <c r="H26" s="76" t="s">
        <v>239</v>
      </c>
      <c r="I26" s="76" t="str">
        <f t="shared" si="7"/>
        <v>2019</v>
      </c>
      <c r="J26" s="76" t="s">
        <v>104</v>
      </c>
      <c r="K26" s="76">
        <v>0</v>
      </c>
      <c r="L26" s="76">
        <v>0</v>
      </c>
      <c r="M26" s="76">
        <v>-1</v>
      </c>
      <c r="N26" s="76" t="s">
        <v>122</v>
      </c>
      <c r="O26" s="76">
        <v>0</v>
      </c>
      <c r="P26" s="76">
        <v>1</v>
      </c>
      <c r="Q26" s="76">
        <v>0</v>
      </c>
      <c r="R26" s="75" t="s">
        <v>221</v>
      </c>
      <c r="S26" s="75" t="s">
        <v>222</v>
      </c>
      <c r="T26" s="75" t="s">
        <v>421</v>
      </c>
      <c r="U26" s="77" t="b">
        <v>0</v>
      </c>
      <c r="V26" s="75" t="b">
        <v>1</v>
      </c>
      <c r="W26" s="75" t="b">
        <v>0</v>
      </c>
      <c r="X26" s="75" t="b">
        <v>0</v>
      </c>
      <c r="Y26" s="75" t="b">
        <v>1</v>
      </c>
      <c r="Z26" s="75" t="b">
        <v>0</v>
      </c>
      <c r="AA26" s="75" t="b">
        <v>0</v>
      </c>
      <c r="AB26" s="75" t="b">
        <v>1</v>
      </c>
      <c r="AC26" s="75" t="b">
        <v>0</v>
      </c>
      <c r="AD26" s="75" t="b">
        <v>1</v>
      </c>
      <c r="AE26" s="75" t="b">
        <v>1</v>
      </c>
      <c r="AF26" s="78" t="b">
        <v>0</v>
      </c>
      <c r="AG26" s="75" t="b">
        <v>0</v>
      </c>
      <c r="AH26" s="75" t="b">
        <v>0</v>
      </c>
      <c r="AI26" s="75" t="b">
        <v>1</v>
      </c>
    </row>
    <row r="27" spans="1:35" x14ac:dyDescent="0.3">
      <c r="A27" s="73">
        <f t="shared" si="8"/>
        <v>18</v>
      </c>
      <c r="B27" s="73" t="s">
        <v>501</v>
      </c>
      <c r="C27" s="74" t="s">
        <v>495</v>
      </c>
      <c r="D27" s="75" t="s">
        <v>231</v>
      </c>
      <c r="E27" s="73" t="s">
        <v>103</v>
      </c>
      <c r="F27" s="76" t="s">
        <v>529</v>
      </c>
      <c r="G27" s="76" t="str">
        <f t="shared" si="3"/>
        <v>2030 bench</v>
      </c>
      <c r="H27" s="76" t="s">
        <v>239</v>
      </c>
      <c r="I27" s="80" t="s">
        <v>499</v>
      </c>
      <c r="J27" s="76" t="s">
        <v>104</v>
      </c>
      <c r="K27" s="76">
        <v>0</v>
      </c>
      <c r="L27" s="76">
        <v>0</v>
      </c>
      <c r="M27" s="76">
        <v>3.6999999999999998E-2</v>
      </c>
      <c r="N27" s="76" t="s">
        <v>122</v>
      </c>
      <c r="O27" s="76">
        <v>0</v>
      </c>
      <c r="P27" s="76">
        <v>1</v>
      </c>
      <c r="Q27" s="76">
        <v>0</v>
      </c>
      <c r="R27" s="75" t="s">
        <v>221</v>
      </c>
      <c r="S27" s="75" t="s">
        <v>222</v>
      </c>
      <c r="T27" s="75" t="s">
        <v>421</v>
      </c>
      <c r="U27" s="77" t="b">
        <v>0</v>
      </c>
      <c r="V27" s="75" t="b">
        <v>1</v>
      </c>
      <c r="W27" s="75" t="b">
        <v>0</v>
      </c>
      <c r="X27" s="75" t="b">
        <v>0</v>
      </c>
      <c r="Y27" s="75" t="b">
        <v>1</v>
      </c>
      <c r="Z27" s="75" t="b">
        <v>0</v>
      </c>
      <c r="AA27" s="75" t="b">
        <v>0</v>
      </c>
      <c r="AB27" s="75" t="b">
        <v>1</v>
      </c>
      <c r="AC27" s="75" t="b">
        <v>0</v>
      </c>
      <c r="AD27" s="75" t="b">
        <v>1</v>
      </c>
      <c r="AE27" s="75" t="b">
        <v>1</v>
      </c>
      <c r="AF27" s="78" t="b">
        <v>0</v>
      </c>
      <c r="AG27" s="75" t="b">
        <v>0</v>
      </c>
      <c r="AH27" s="75" t="b">
        <v>1</v>
      </c>
      <c r="AI27" s="75" t="b">
        <v>1</v>
      </c>
    </row>
    <row r="28" spans="1:35" x14ac:dyDescent="0.3">
      <c r="A28" s="73">
        <f t="shared" si="8"/>
        <v>19</v>
      </c>
      <c r="B28" s="73" t="s">
        <v>502</v>
      </c>
      <c r="C28" s="74" t="s">
        <v>495</v>
      </c>
      <c r="D28" s="75" t="s">
        <v>231</v>
      </c>
      <c r="E28" s="73" t="s">
        <v>103</v>
      </c>
      <c r="F28" s="76" t="s">
        <v>529</v>
      </c>
      <c r="G28" s="76" t="str">
        <f t="shared" si="3"/>
        <v>2030 bench</v>
      </c>
      <c r="H28" s="76" t="s">
        <v>239</v>
      </c>
      <c r="I28" s="80" t="s">
        <v>500</v>
      </c>
      <c r="J28" s="76" t="s">
        <v>104</v>
      </c>
      <c r="K28" s="76">
        <v>0</v>
      </c>
      <c r="L28" s="76">
        <v>0</v>
      </c>
      <c r="M28" s="76">
        <v>3.6999999999999998E-2</v>
      </c>
      <c r="N28" s="76" t="s">
        <v>122</v>
      </c>
      <c r="O28" s="76">
        <v>0</v>
      </c>
      <c r="P28" s="76">
        <v>1</v>
      </c>
      <c r="Q28" s="76">
        <v>0</v>
      </c>
      <c r="R28" s="75" t="s">
        <v>221</v>
      </c>
      <c r="S28" s="75" t="s">
        <v>222</v>
      </c>
      <c r="T28" s="75" t="s">
        <v>421</v>
      </c>
      <c r="U28" s="77" t="b">
        <v>0</v>
      </c>
      <c r="V28" s="75" t="b">
        <v>1</v>
      </c>
      <c r="W28" s="75" t="b">
        <v>0</v>
      </c>
      <c r="X28" s="75" t="b">
        <v>0</v>
      </c>
      <c r="Y28" s="75" t="b">
        <v>1</v>
      </c>
      <c r="Z28" s="75" t="b">
        <v>0</v>
      </c>
      <c r="AA28" s="75" t="b">
        <v>0</v>
      </c>
      <c r="AB28" s="75" t="b">
        <v>1</v>
      </c>
      <c r="AC28" s="75" t="b">
        <v>0</v>
      </c>
      <c r="AD28" s="75" t="b">
        <v>1</v>
      </c>
      <c r="AE28" s="75" t="b">
        <v>1</v>
      </c>
      <c r="AF28" s="78" t="b">
        <v>0</v>
      </c>
      <c r="AG28" s="75" t="b">
        <v>0</v>
      </c>
      <c r="AH28" s="75" t="b">
        <v>1</v>
      </c>
      <c r="AI28" s="75" t="b">
        <v>1</v>
      </c>
    </row>
    <row r="29" spans="1:35" x14ac:dyDescent="0.3">
      <c r="A29" s="73">
        <f t="shared" si="8"/>
        <v>20</v>
      </c>
      <c r="B29" s="73" t="s">
        <v>503</v>
      </c>
      <c r="C29" s="74" t="s">
        <v>495</v>
      </c>
      <c r="D29" s="75" t="s">
        <v>231</v>
      </c>
      <c r="E29" s="73" t="s">
        <v>103</v>
      </c>
      <c r="F29" s="76" t="s">
        <v>529</v>
      </c>
      <c r="G29" s="76" t="str">
        <f t="shared" si="3"/>
        <v>2030 bench</v>
      </c>
      <c r="H29" s="76" t="s">
        <v>239</v>
      </c>
      <c r="I29" s="80" t="s">
        <v>499</v>
      </c>
      <c r="J29" s="76" t="s">
        <v>104</v>
      </c>
      <c r="K29" s="76">
        <v>0</v>
      </c>
      <c r="L29" s="76">
        <v>0</v>
      </c>
      <c r="M29" s="76">
        <v>-1</v>
      </c>
      <c r="N29" s="76" t="s">
        <v>266</v>
      </c>
      <c r="O29" s="76">
        <v>-1</v>
      </c>
      <c r="P29" s="76">
        <v>1</v>
      </c>
      <c r="Q29" s="76">
        <v>0</v>
      </c>
      <c r="R29" s="75" t="s">
        <v>221</v>
      </c>
      <c r="S29" s="75" t="s">
        <v>222</v>
      </c>
      <c r="T29" s="75" t="s">
        <v>421</v>
      </c>
      <c r="U29" s="77" t="b">
        <v>0</v>
      </c>
      <c r="V29" s="75" t="b">
        <v>1</v>
      </c>
      <c r="W29" s="75" t="b">
        <v>0</v>
      </c>
      <c r="X29" s="75" t="b">
        <v>0</v>
      </c>
      <c r="Y29" s="75" t="b">
        <v>1</v>
      </c>
      <c r="Z29" s="75" t="b">
        <v>0</v>
      </c>
      <c r="AA29" s="75" t="b">
        <v>0</v>
      </c>
      <c r="AB29" s="75" t="b">
        <v>1</v>
      </c>
      <c r="AC29" s="75" t="b">
        <v>0</v>
      </c>
      <c r="AD29" s="75" t="b">
        <v>1</v>
      </c>
      <c r="AE29" s="75" t="b">
        <v>1</v>
      </c>
      <c r="AF29" s="78" t="b">
        <v>0</v>
      </c>
      <c r="AG29" s="75" t="b">
        <v>0</v>
      </c>
      <c r="AH29" s="75" t="b">
        <v>0</v>
      </c>
      <c r="AI29" s="75" t="b">
        <v>1</v>
      </c>
    </row>
    <row r="30" spans="1:35" x14ac:dyDescent="0.3">
      <c r="A30" s="73">
        <f t="shared" si="8"/>
        <v>21</v>
      </c>
      <c r="B30" s="73" t="s">
        <v>504</v>
      </c>
      <c r="C30" s="74" t="s">
        <v>495</v>
      </c>
      <c r="D30" s="75" t="s">
        <v>231</v>
      </c>
      <c r="E30" s="73" t="s">
        <v>103</v>
      </c>
      <c r="F30" s="76" t="s">
        <v>529</v>
      </c>
      <c r="G30" s="76" t="str">
        <f t="shared" si="3"/>
        <v>2030 bench</v>
      </c>
      <c r="H30" s="76" t="s">
        <v>239</v>
      </c>
      <c r="I30" s="80" t="s">
        <v>500</v>
      </c>
      <c r="J30" s="76" t="s">
        <v>104</v>
      </c>
      <c r="K30" s="76">
        <v>0</v>
      </c>
      <c r="L30" s="76">
        <v>0</v>
      </c>
      <c r="M30" s="76">
        <v>-1</v>
      </c>
      <c r="N30" s="76" t="s">
        <v>266</v>
      </c>
      <c r="O30" s="76">
        <v>-1</v>
      </c>
      <c r="P30" s="76">
        <v>1</v>
      </c>
      <c r="Q30" s="76">
        <v>0</v>
      </c>
      <c r="R30" s="75" t="s">
        <v>221</v>
      </c>
      <c r="S30" s="75" t="s">
        <v>222</v>
      </c>
      <c r="T30" s="75" t="s">
        <v>421</v>
      </c>
      <c r="U30" s="77" t="b">
        <v>0</v>
      </c>
      <c r="V30" s="75" t="b">
        <v>1</v>
      </c>
      <c r="W30" s="75" t="b">
        <v>0</v>
      </c>
      <c r="X30" s="75" t="b">
        <v>0</v>
      </c>
      <c r="Y30" s="75" t="b">
        <v>1</v>
      </c>
      <c r="Z30" s="75" t="b">
        <v>0</v>
      </c>
      <c r="AA30" s="75" t="b">
        <v>0</v>
      </c>
      <c r="AB30" s="75" t="b">
        <v>1</v>
      </c>
      <c r="AC30" s="75" t="b">
        <v>0</v>
      </c>
      <c r="AD30" s="75" t="b">
        <v>1</v>
      </c>
      <c r="AE30" s="75" t="b">
        <v>1</v>
      </c>
      <c r="AF30" s="78" t="b">
        <v>0</v>
      </c>
      <c r="AG30" s="75" t="b">
        <v>0</v>
      </c>
      <c r="AH30" s="75" t="b">
        <v>0</v>
      </c>
      <c r="AI30" s="75" t="b">
        <v>1</v>
      </c>
    </row>
    <row r="31" spans="1:35" x14ac:dyDescent="0.3">
      <c r="A31" s="73">
        <f t="shared" si="8"/>
        <v>22</v>
      </c>
      <c r="B31" s="73" t="s">
        <v>501</v>
      </c>
      <c r="C31" s="74" t="s">
        <v>495</v>
      </c>
      <c r="D31" s="75" t="s">
        <v>231</v>
      </c>
      <c r="E31" s="73" t="s">
        <v>103</v>
      </c>
      <c r="F31" s="76" t="s">
        <v>529</v>
      </c>
      <c r="G31" s="76" t="str">
        <f t="shared" si="3"/>
        <v>2030 bench</v>
      </c>
      <c r="H31" s="76" t="s">
        <v>239</v>
      </c>
      <c r="I31" s="80" t="s">
        <v>505</v>
      </c>
      <c r="J31" s="76" t="s">
        <v>104</v>
      </c>
      <c r="K31" s="76">
        <v>0</v>
      </c>
      <c r="L31" s="76">
        <v>0</v>
      </c>
      <c r="M31" s="76">
        <v>-1</v>
      </c>
      <c r="N31" s="76" t="s">
        <v>122</v>
      </c>
      <c r="O31" s="76">
        <v>0</v>
      </c>
      <c r="P31" s="76">
        <v>1</v>
      </c>
      <c r="Q31" s="76">
        <v>0</v>
      </c>
      <c r="R31" s="75" t="s">
        <v>221</v>
      </c>
      <c r="S31" s="75" t="s">
        <v>222</v>
      </c>
      <c r="T31" s="75" t="s">
        <v>421</v>
      </c>
      <c r="U31" s="77" t="b">
        <v>0</v>
      </c>
      <c r="V31" s="75" t="b">
        <v>1</v>
      </c>
      <c r="W31" s="75" t="b">
        <v>0</v>
      </c>
      <c r="X31" s="75" t="b">
        <v>0</v>
      </c>
      <c r="Y31" s="75" t="b">
        <v>1</v>
      </c>
      <c r="Z31" s="75" t="b">
        <v>0</v>
      </c>
      <c r="AA31" s="75" t="b">
        <v>0</v>
      </c>
      <c r="AB31" s="75" t="b">
        <v>1</v>
      </c>
      <c r="AC31" s="75" t="b">
        <v>0</v>
      </c>
      <c r="AD31" s="75" t="b">
        <v>1</v>
      </c>
      <c r="AE31" s="75" t="b">
        <v>1</v>
      </c>
      <c r="AF31" s="78" t="b">
        <v>0</v>
      </c>
      <c r="AG31" s="75" t="b">
        <v>0</v>
      </c>
      <c r="AH31" s="75" t="b">
        <v>0</v>
      </c>
      <c r="AI31" s="75" t="b">
        <v>1</v>
      </c>
    </row>
    <row r="32" spans="1:35" x14ac:dyDescent="0.3">
      <c r="A32" s="73">
        <f t="shared" si="8"/>
        <v>23</v>
      </c>
      <c r="B32" s="73" t="s">
        <v>502</v>
      </c>
      <c r="C32" s="74" t="s">
        <v>495</v>
      </c>
      <c r="D32" s="75" t="s">
        <v>231</v>
      </c>
      <c r="E32" s="73" t="s">
        <v>103</v>
      </c>
      <c r="F32" s="76" t="s">
        <v>529</v>
      </c>
      <c r="G32" s="76" t="str">
        <f t="shared" si="3"/>
        <v>2030 bench</v>
      </c>
      <c r="H32" s="76" t="s">
        <v>239</v>
      </c>
      <c r="I32" s="80" t="s">
        <v>506</v>
      </c>
      <c r="J32" s="76" t="s">
        <v>104</v>
      </c>
      <c r="K32" s="76">
        <v>0</v>
      </c>
      <c r="L32" s="76">
        <v>0</v>
      </c>
      <c r="M32" s="76">
        <v>-1</v>
      </c>
      <c r="N32" s="76" t="s">
        <v>122</v>
      </c>
      <c r="O32" s="76">
        <v>0</v>
      </c>
      <c r="P32" s="76">
        <v>1</v>
      </c>
      <c r="Q32" s="76">
        <v>0</v>
      </c>
      <c r="R32" s="75" t="s">
        <v>221</v>
      </c>
      <c r="S32" s="75" t="s">
        <v>222</v>
      </c>
      <c r="T32" s="75" t="s">
        <v>421</v>
      </c>
      <c r="U32" s="77" t="b">
        <v>0</v>
      </c>
      <c r="V32" s="75" t="b">
        <v>1</v>
      </c>
      <c r="W32" s="75" t="b">
        <v>0</v>
      </c>
      <c r="X32" s="75" t="b">
        <v>0</v>
      </c>
      <c r="Y32" s="75" t="b">
        <v>1</v>
      </c>
      <c r="Z32" s="75" t="b">
        <v>0</v>
      </c>
      <c r="AA32" s="75" t="b">
        <v>0</v>
      </c>
      <c r="AB32" s="75" t="b">
        <v>1</v>
      </c>
      <c r="AC32" s="75" t="b">
        <v>0</v>
      </c>
      <c r="AD32" s="75" t="b">
        <v>1</v>
      </c>
      <c r="AE32" s="75" t="b">
        <v>1</v>
      </c>
      <c r="AF32" s="78" t="b">
        <v>0</v>
      </c>
      <c r="AG32" s="75" t="b">
        <v>0</v>
      </c>
      <c r="AH32" s="75" t="b">
        <v>0</v>
      </c>
      <c r="AI32" s="75" t="b">
        <v>1</v>
      </c>
    </row>
    <row r="33" spans="1:35" x14ac:dyDescent="0.3">
      <c r="A33" s="73">
        <f t="shared" si="8"/>
        <v>24</v>
      </c>
      <c r="B33" s="73" t="s">
        <v>518</v>
      </c>
      <c r="C33" s="74" t="s">
        <v>519</v>
      </c>
      <c r="D33" s="75" t="s">
        <v>231</v>
      </c>
      <c r="E33" s="73" t="s">
        <v>103</v>
      </c>
      <c r="F33" s="76" t="s">
        <v>529</v>
      </c>
      <c r="G33" s="76" t="str">
        <f t="shared" si="3"/>
        <v>2030 bench</v>
      </c>
      <c r="H33" s="76" t="s">
        <v>239</v>
      </c>
      <c r="I33" s="76" t="str">
        <f t="shared" ref="I33:I34" si="9">"2019"</f>
        <v>2019</v>
      </c>
      <c r="J33" s="76" t="s">
        <v>104</v>
      </c>
      <c r="K33" s="76">
        <v>0</v>
      </c>
      <c r="L33" s="76">
        <v>0</v>
      </c>
      <c r="M33" s="76">
        <v>-1</v>
      </c>
      <c r="N33" s="76" t="s">
        <v>122</v>
      </c>
      <c r="O33" s="76">
        <v>0</v>
      </c>
      <c r="P33" s="76">
        <v>1</v>
      </c>
      <c r="Q33" s="76">
        <v>0</v>
      </c>
      <c r="R33" s="75" t="s">
        <v>221</v>
      </c>
      <c r="S33" s="75" t="s">
        <v>222</v>
      </c>
      <c r="T33" s="75" t="s">
        <v>421</v>
      </c>
      <c r="U33" s="77" t="b">
        <v>0</v>
      </c>
      <c r="V33" s="75" t="b">
        <v>1</v>
      </c>
      <c r="W33" s="75" t="b">
        <v>0</v>
      </c>
      <c r="X33" s="75" t="b">
        <v>0</v>
      </c>
      <c r="Y33" s="75" t="b">
        <v>1</v>
      </c>
      <c r="Z33" s="75" t="b">
        <v>0</v>
      </c>
      <c r="AA33" s="75" t="b">
        <v>0</v>
      </c>
      <c r="AB33" s="75" t="b">
        <v>1</v>
      </c>
      <c r="AC33" s="75" t="b">
        <v>0</v>
      </c>
      <c r="AD33" s="75" t="b">
        <v>1</v>
      </c>
      <c r="AE33" s="75" t="b">
        <v>1</v>
      </c>
      <c r="AF33" s="78" t="b">
        <v>0</v>
      </c>
      <c r="AG33" s="75" t="b">
        <v>0</v>
      </c>
      <c r="AH33" s="75" t="b">
        <v>0</v>
      </c>
      <c r="AI33" s="75" t="b">
        <v>1</v>
      </c>
    </row>
    <row r="34" spans="1:35" s="171" customFormat="1" x14ac:dyDescent="0.3">
      <c r="A34" s="167">
        <f t="shared" si="8"/>
        <v>25</v>
      </c>
      <c r="B34" s="167" t="s">
        <v>530</v>
      </c>
      <c r="C34" s="168" t="s">
        <v>531</v>
      </c>
      <c r="D34" s="171" t="s">
        <v>231</v>
      </c>
      <c r="E34" s="167" t="s">
        <v>103</v>
      </c>
      <c r="F34" s="180" t="s">
        <v>528</v>
      </c>
      <c r="G34" s="180" t="str">
        <f t="shared" si="3"/>
        <v>2030 bench</v>
      </c>
      <c r="H34" s="180" t="s">
        <v>239</v>
      </c>
      <c r="I34" s="180" t="str">
        <f t="shared" si="9"/>
        <v>2019</v>
      </c>
      <c r="J34" s="180" t="s">
        <v>104</v>
      </c>
      <c r="K34" s="180">
        <v>0</v>
      </c>
      <c r="L34" s="180">
        <v>0</v>
      </c>
      <c r="M34" s="180">
        <v>-1</v>
      </c>
      <c r="N34" s="180" t="s">
        <v>122</v>
      </c>
      <c r="O34" s="180">
        <v>0</v>
      </c>
      <c r="P34" s="180">
        <v>1</v>
      </c>
      <c r="Q34" s="180">
        <v>0</v>
      </c>
      <c r="R34" s="171" t="s">
        <v>221</v>
      </c>
      <c r="S34" s="171" t="s">
        <v>222</v>
      </c>
      <c r="T34" s="171" t="s">
        <v>421</v>
      </c>
      <c r="U34" s="181" t="b">
        <v>0</v>
      </c>
      <c r="V34" s="171" t="b">
        <v>1</v>
      </c>
      <c r="W34" s="171" t="b">
        <v>0</v>
      </c>
      <c r="X34" s="171" t="b">
        <v>0</v>
      </c>
      <c r="Y34" s="171" t="b">
        <v>1</v>
      </c>
      <c r="Z34" s="171" t="b">
        <v>0</v>
      </c>
      <c r="AA34" s="171" t="b">
        <v>0</v>
      </c>
      <c r="AB34" s="171" t="b">
        <v>1</v>
      </c>
      <c r="AC34" s="171" t="b">
        <v>0</v>
      </c>
      <c r="AD34" s="171" t="b">
        <v>1</v>
      </c>
      <c r="AE34" s="171" t="b">
        <v>1</v>
      </c>
      <c r="AF34" s="182" t="b">
        <v>0</v>
      </c>
      <c r="AG34" s="171" t="b">
        <v>0</v>
      </c>
      <c r="AH34" s="171" t="b">
        <v>0</v>
      </c>
      <c r="AI34" s="171" t="b">
        <v>1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1:X15 U10:AI12 U16:AI34">
    <cfRule type="cellIs" dxfId="11" priority="1" operator="equal">
      <formula>TRUE</formula>
    </cfRule>
    <cfRule type="cellIs" dxfId="10" priority="2" operator="equal">
      <formula>FALSE</formula>
    </cfRule>
  </conditionalFormatting>
  <conditionalFormatting sqref="Y13:AI15">
    <cfRule type="cellIs" dxfId="9" priority="29" operator="equal">
      <formula>TRUE</formula>
    </cfRule>
    <cfRule type="cellIs" dxfId="8" priority="30" operator="equal">
      <formula>FALSE</formula>
    </cfRule>
  </conditionalFormatting>
  <conditionalFormatting sqref="Y11:AI13">
    <cfRule type="cellIs" dxfId="7" priority="3" operator="equal">
      <formula>TRUE</formula>
    </cfRule>
    <cfRule type="cellIs" dxfId="6" priority="4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49"/>
    </row>
    <row r="2" spans="1:33" ht="16.5" customHeight="1" x14ac:dyDescent="0.3">
      <c r="B2" s="88" t="s">
        <v>156</v>
      </c>
      <c r="C2" s="89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90" t="s">
        <v>182</v>
      </c>
      <c r="I2" s="90" t="s">
        <v>181</v>
      </c>
      <c r="J2" s="13" t="s">
        <v>87</v>
      </c>
      <c r="K2" s="13" t="s">
        <v>167</v>
      </c>
      <c r="L2" s="13" t="s">
        <v>167</v>
      </c>
      <c r="M2" s="90" t="s">
        <v>254</v>
      </c>
      <c r="N2" s="91" t="s">
        <v>255</v>
      </c>
      <c r="O2" s="92" t="s">
        <v>257</v>
      </c>
      <c r="P2" s="90" t="s">
        <v>173</v>
      </c>
      <c r="Q2" s="90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88"/>
      <c r="C3" s="89"/>
      <c r="D3" s="13"/>
      <c r="E3" s="13" t="s">
        <v>120</v>
      </c>
      <c r="F3" s="13" t="s">
        <v>93</v>
      </c>
      <c r="G3" s="13">
        <v>2030</v>
      </c>
      <c r="H3" s="90"/>
      <c r="I3" s="90"/>
      <c r="J3" s="13" t="s">
        <v>104</v>
      </c>
      <c r="M3" s="90"/>
      <c r="N3" s="91"/>
      <c r="O3" s="92"/>
      <c r="P3" s="90"/>
      <c r="Q3" s="90"/>
      <c r="R3" s="13"/>
      <c r="S3" s="13"/>
      <c r="T3" s="13"/>
    </row>
    <row r="4" spans="1:33" x14ac:dyDescent="0.3">
      <c r="B4" s="88"/>
      <c r="C4" s="89"/>
      <c r="D4" s="13"/>
      <c r="E4" s="13" t="s">
        <v>97</v>
      </c>
      <c r="F4" s="13" t="s">
        <v>122</v>
      </c>
      <c r="G4" s="13">
        <v>2050</v>
      </c>
      <c r="H4" s="13"/>
      <c r="I4" s="90"/>
      <c r="J4" s="13" t="s">
        <v>233</v>
      </c>
      <c r="K4" s="13"/>
      <c r="L4" s="13"/>
      <c r="M4" s="90"/>
      <c r="N4" s="91"/>
      <c r="O4" s="92"/>
      <c r="P4" s="90"/>
      <c r="Q4" s="90"/>
      <c r="R4" s="13"/>
      <c r="S4" s="13"/>
      <c r="T4" s="13"/>
    </row>
    <row r="5" spans="1:33" x14ac:dyDescent="0.3">
      <c r="B5" s="88"/>
      <c r="C5" s="89"/>
      <c r="E5" s="13"/>
      <c r="F5" s="13"/>
      <c r="G5" s="13"/>
      <c r="H5" s="13"/>
      <c r="I5" s="13"/>
      <c r="J5" s="13"/>
      <c r="K5" s="13"/>
      <c r="L5" s="13"/>
      <c r="M5" s="90"/>
      <c r="N5" s="91"/>
      <c r="O5" s="92"/>
      <c r="P5" s="90"/>
      <c r="Q5" s="90"/>
      <c r="R5" s="2"/>
      <c r="S5" s="2"/>
      <c r="T5" s="2"/>
      <c r="V5" s="36" t="s">
        <v>147</v>
      </c>
      <c r="W5" s="2"/>
      <c r="X5" s="2"/>
      <c r="Y5" s="2"/>
      <c r="Z5" s="2"/>
      <c r="AA5" s="2"/>
      <c r="AB5" s="2"/>
      <c r="AC5" s="2"/>
      <c r="AD5" s="35"/>
      <c r="AE5" s="87" t="s">
        <v>151</v>
      </c>
      <c r="AF5" s="84"/>
      <c r="AG5" s="84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5"/>
      <c r="AE6" s="2"/>
      <c r="AF6" s="2"/>
    </row>
    <row r="7" spans="1:33" s="29" customFormat="1" x14ac:dyDescent="0.3">
      <c r="A7" s="29" t="s">
        <v>105</v>
      </c>
      <c r="B7" s="29" t="s">
        <v>155</v>
      </c>
      <c r="C7" s="29" t="s">
        <v>154</v>
      </c>
      <c r="D7" s="29" t="s">
        <v>220</v>
      </c>
      <c r="E7" s="29" t="s">
        <v>106</v>
      </c>
      <c r="F7" s="29" t="s">
        <v>121</v>
      </c>
      <c r="G7" s="29" t="s">
        <v>179</v>
      </c>
      <c r="H7" s="29" t="s">
        <v>180</v>
      </c>
      <c r="I7" s="29" t="s">
        <v>109</v>
      </c>
      <c r="J7" s="29" t="s">
        <v>107</v>
      </c>
      <c r="K7" s="29" t="s">
        <v>168</v>
      </c>
      <c r="L7" s="29" t="s">
        <v>166</v>
      </c>
      <c r="M7" s="29" t="s">
        <v>223</v>
      </c>
      <c r="N7" s="29" t="s">
        <v>238</v>
      </c>
      <c r="O7" s="29" t="s">
        <v>256</v>
      </c>
      <c r="P7" s="29" t="s">
        <v>172</v>
      </c>
      <c r="Q7" s="29" t="s">
        <v>175</v>
      </c>
      <c r="R7" s="29" t="s">
        <v>108</v>
      </c>
      <c r="S7" s="29" t="s">
        <v>208</v>
      </c>
      <c r="T7" s="29" t="s">
        <v>110</v>
      </c>
      <c r="U7" s="30" t="s">
        <v>111</v>
      </c>
      <c r="V7" s="29" t="s">
        <v>112</v>
      </c>
      <c r="W7" s="29" t="s">
        <v>113</v>
      </c>
      <c r="X7" s="29" t="s">
        <v>114</v>
      </c>
      <c r="Y7" s="29" t="s">
        <v>115</v>
      </c>
      <c r="Z7" s="29" t="s">
        <v>126</v>
      </c>
      <c r="AA7" s="29" t="s">
        <v>127</v>
      </c>
      <c r="AB7" s="29" t="s">
        <v>128</v>
      </c>
      <c r="AC7" s="29" t="s">
        <v>129</v>
      </c>
      <c r="AD7" s="31" t="s">
        <v>116</v>
      </c>
      <c r="AE7" s="29" t="s">
        <v>117</v>
      </c>
      <c r="AF7" s="29" t="s">
        <v>118</v>
      </c>
      <c r="AG7" s="29" t="s">
        <v>119</v>
      </c>
    </row>
    <row r="8" spans="1:33" x14ac:dyDescent="0.3">
      <c r="A8" s="13">
        <f t="shared" ref="A8:A25" si="0">ROW(A8)-ROW($A$7)</f>
        <v>1</v>
      </c>
      <c r="B8" s="13" t="s">
        <v>279</v>
      </c>
      <c r="C8" s="17" t="s">
        <v>216</v>
      </c>
      <c r="D8" t="s">
        <v>258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280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279</v>
      </c>
      <c r="C9" s="17" t="s">
        <v>216</v>
      </c>
      <c r="D9" t="s">
        <v>259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280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279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280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279</v>
      </c>
      <c r="C11" s="17" t="s">
        <v>216</v>
      </c>
      <c r="D11" t="s">
        <v>258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280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279</v>
      </c>
      <c r="C12" s="17" t="s">
        <v>216</v>
      </c>
      <c r="D12" t="s">
        <v>259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280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279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280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279</v>
      </c>
      <c r="C14" s="17" t="s">
        <v>216</v>
      </c>
      <c r="D14" t="s">
        <v>258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280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279</v>
      </c>
      <c r="C15" s="17" t="s">
        <v>216</v>
      </c>
      <c r="D15" t="s">
        <v>259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280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279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280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279</v>
      </c>
      <c r="C17" s="17" t="s">
        <v>216</v>
      </c>
      <c r="D17" t="s">
        <v>258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280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279</v>
      </c>
      <c r="C18" s="17" t="s">
        <v>216</v>
      </c>
      <c r="D18" t="s">
        <v>259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280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279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280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279</v>
      </c>
      <c r="C20" s="17" t="s">
        <v>216</v>
      </c>
      <c r="D20" t="s">
        <v>258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260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279</v>
      </c>
      <c r="C21" s="17" t="s">
        <v>216</v>
      </c>
      <c r="D21" t="s">
        <v>259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260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279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260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279</v>
      </c>
      <c r="C23" s="17" t="s">
        <v>216</v>
      </c>
      <c r="D23" t="s">
        <v>258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260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279</v>
      </c>
      <c r="C24" s="17" t="s">
        <v>216</v>
      </c>
      <c r="D24" t="s">
        <v>259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260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279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260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261</v>
      </c>
      <c r="C26" s="17" t="s">
        <v>152</v>
      </c>
      <c r="D26" t="s">
        <v>258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275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261</v>
      </c>
      <c r="C27" s="17" t="s">
        <v>152</v>
      </c>
      <c r="D27" t="s">
        <v>259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275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261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275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258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260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259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260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260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260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262</v>
      </c>
      <c r="O33" s="58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260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262</v>
      </c>
      <c r="O34" s="59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260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262</v>
      </c>
      <c r="O35" s="59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260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263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260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263</v>
      </c>
      <c r="O37" s="59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260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263</v>
      </c>
      <c r="O38" s="59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260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260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258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260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258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262</v>
      </c>
      <c r="O41" s="58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260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258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262</v>
      </c>
      <c r="O42" s="59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260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258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262</v>
      </c>
      <c r="O43" s="59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260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258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263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260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258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263</v>
      </c>
      <c r="O45" s="59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260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258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263</v>
      </c>
      <c r="O46" s="59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260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258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260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259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260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259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262</v>
      </c>
      <c r="O49" s="58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260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259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262</v>
      </c>
      <c r="O50" s="59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260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259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262</v>
      </c>
      <c r="O51" s="59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260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259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263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260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259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263</v>
      </c>
      <c r="O53" s="59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260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259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263</v>
      </c>
      <c r="O54" s="59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260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259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260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264</v>
      </c>
      <c r="O56" s="58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267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262</v>
      </c>
      <c r="O57" s="58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267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265</v>
      </c>
      <c r="O58" s="58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267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266</v>
      </c>
      <c r="O59" s="58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267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264</v>
      </c>
      <c r="O60" s="58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267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262</v>
      </c>
      <c r="O61" s="58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267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265</v>
      </c>
      <c r="O62" s="58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267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266</v>
      </c>
      <c r="O63" s="58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267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264</v>
      </c>
      <c r="O64" s="58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267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262</v>
      </c>
      <c r="O65" s="58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267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265</v>
      </c>
      <c r="O66" s="58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267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266</v>
      </c>
      <c r="O67" s="58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267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258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264</v>
      </c>
      <c r="O68" s="58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267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258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262</v>
      </c>
      <c r="O69" s="58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267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258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265</v>
      </c>
      <c r="O70" s="58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267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258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266</v>
      </c>
      <c r="O71" s="58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267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258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264</v>
      </c>
      <c r="O72" s="58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267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258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262</v>
      </c>
      <c r="O73" s="58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267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258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265</v>
      </c>
      <c r="O74" s="58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267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258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266</v>
      </c>
      <c r="O75" s="58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267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258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264</v>
      </c>
      <c r="O76" s="58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267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258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262</v>
      </c>
      <c r="O77" s="58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267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258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265</v>
      </c>
      <c r="O78" s="58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267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258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266</v>
      </c>
      <c r="O79" s="58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267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259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264</v>
      </c>
      <c r="O80" s="58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267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259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262</v>
      </c>
      <c r="O81" s="58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267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259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265</v>
      </c>
      <c r="O82" s="58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267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259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266</v>
      </c>
      <c r="O83" s="58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267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259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264</v>
      </c>
      <c r="O84" s="58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267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259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262</v>
      </c>
      <c r="O85" s="58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267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259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265</v>
      </c>
      <c r="O86" s="58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267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259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266</v>
      </c>
      <c r="O87" s="58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267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259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264</v>
      </c>
      <c r="O88" s="58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267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259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262</v>
      </c>
      <c r="O89" s="58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267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259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265</v>
      </c>
      <c r="O90" s="58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267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259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266</v>
      </c>
      <c r="O91" s="58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267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8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268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8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268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8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268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8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268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8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268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8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268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8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268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8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268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8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268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8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268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8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268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8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268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259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8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268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259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8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268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259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8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268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259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8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268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259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8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268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259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8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268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259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8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268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259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8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268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259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8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268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259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8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268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259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8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268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259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8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268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258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8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268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258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8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268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258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8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268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258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8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268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258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8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268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258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8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268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258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8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268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258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8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268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258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8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268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258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8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268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258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8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268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258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8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268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7"/>
  <sheetViews>
    <sheetView workbookViewId="0">
      <pane xSplit="5" ySplit="8" topLeftCell="J9" activePane="bottomRight" state="frozen"/>
      <selection pane="topRight" activeCell="F1" sqref="F1"/>
      <selection pane="bottomLeft" activeCell="A12" sqref="A12"/>
      <selection pane="bottomRight" activeCell="Q36" sqref="Q36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8"/>
    </row>
    <row r="2" spans="1:175" x14ac:dyDescent="0.3">
      <c r="A2" s="1"/>
      <c r="B2" s="1"/>
      <c r="C2" s="11"/>
      <c r="D2" s="11"/>
      <c r="E2" s="13"/>
    </row>
    <row r="3" spans="1:175" x14ac:dyDescent="0.3">
      <c r="A3" s="26"/>
      <c r="B3" s="14"/>
      <c r="C3" s="14"/>
      <c r="D3" s="26"/>
      <c r="E3" s="13"/>
    </row>
    <row r="4" spans="1:175" ht="16.05" customHeight="1" x14ac:dyDescent="0.3">
      <c r="A4" s="84" t="s">
        <v>0</v>
      </c>
      <c r="B4" s="84"/>
      <c r="C4" s="84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406</v>
      </c>
      <c r="M4" s="29" t="s">
        <v>3</v>
      </c>
      <c r="N4" s="29" t="s">
        <v>269</v>
      </c>
      <c r="O4" s="5" t="s">
        <v>6</v>
      </c>
      <c r="P4" s="82" t="s">
        <v>79</v>
      </c>
      <c r="Q4" s="82"/>
      <c r="R4" s="82"/>
      <c r="S4" s="82"/>
      <c r="T4" s="82"/>
      <c r="U4" s="82"/>
      <c r="V4" s="82"/>
      <c r="W4" s="82"/>
      <c r="X4" s="82"/>
      <c r="Y4" s="82"/>
      <c r="Z4" s="82" t="s">
        <v>80</v>
      </c>
      <c r="AA4" s="82"/>
      <c r="AB4" s="82"/>
      <c r="AC4" s="82"/>
      <c r="AD4" s="82"/>
      <c r="AE4" s="82"/>
      <c r="AF4" s="82"/>
      <c r="AG4" s="82"/>
      <c r="AH4" s="82"/>
      <c r="AI4" s="82"/>
      <c r="AJ4" s="82" t="s">
        <v>405</v>
      </c>
      <c r="AK4" s="82"/>
      <c r="AL4" s="82"/>
      <c r="AM4" s="82"/>
      <c r="AN4" s="82"/>
      <c r="AO4" s="82"/>
      <c r="AP4" s="82"/>
      <c r="AQ4" s="82"/>
      <c r="AR4" s="82"/>
      <c r="AS4" s="82"/>
      <c r="AT4" s="82" t="s">
        <v>81</v>
      </c>
      <c r="AU4" s="82"/>
      <c r="AV4" s="82"/>
      <c r="AW4" s="82"/>
      <c r="AX4" s="82"/>
      <c r="AY4" s="82"/>
      <c r="AZ4" s="82"/>
      <c r="BA4" s="82"/>
      <c r="BB4" s="82"/>
      <c r="BC4" s="29"/>
      <c r="BD4" s="82" t="s">
        <v>82</v>
      </c>
      <c r="BE4" s="82"/>
      <c r="BF4" s="82"/>
      <c r="BG4" s="82"/>
      <c r="BH4" s="82"/>
      <c r="BI4" s="82"/>
      <c r="BJ4" s="82"/>
      <c r="BK4" s="82"/>
      <c r="BL4" s="82"/>
      <c r="BM4" s="29"/>
      <c r="BN4" s="82" t="s">
        <v>83</v>
      </c>
      <c r="BO4" s="82"/>
      <c r="BP4" s="82"/>
      <c r="BQ4" s="82"/>
      <c r="BR4" s="82"/>
      <c r="BS4" s="82"/>
      <c r="BT4" s="82"/>
      <c r="BU4" s="82"/>
      <c r="BV4" s="82"/>
      <c r="BW4" s="29"/>
      <c r="BX4" s="82" t="s">
        <v>84</v>
      </c>
      <c r="BY4" s="82"/>
      <c r="BZ4" s="82"/>
      <c r="CA4" s="82"/>
      <c r="CB4" s="82"/>
      <c r="CC4" s="82"/>
      <c r="CD4" s="82"/>
      <c r="CE4" s="82"/>
      <c r="CF4" s="82"/>
      <c r="CG4" s="29"/>
      <c r="CH4" s="82" t="s">
        <v>183</v>
      </c>
      <c r="CI4" s="82"/>
      <c r="CJ4" s="82"/>
      <c r="CK4" s="82"/>
      <c r="CL4" s="82"/>
      <c r="CM4" s="82"/>
      <c r="CN4" s="82"/>
      <c r="CO4" s="82"/>
      <c r="CP4" s="82"/>
      <c r="CQ4" s="29"/>
      <c r="CR4" s="82" t="s">
        <v>184</v>
      </c>
      <c r="CS4" s="82"/>
      <c r="CT4" s="82"/>
      <c r="CU4" s="82"/>
      <c r="CV4" s="82"/>
      <c r="CW4" s="82"/>
      <c r="CX4" s="82"/>
      <c r="CY4" s="82"/>
      <c r="CZ4" s="82"/>
      <c r="DA4" s="29"/>
      <c r="DB4" s="82" t="s">
        <v>185</v>
      </c>
      <c r="DC4" s="82"/>
      <c r="DD4" s="82"/>
      <c r="DE4" s="82"/>
      <c r="DF4" s="82"/>
      <c r="DG4" s="82"/>
      <c r="DH4" s="82"/>
      <c r="DI4" s="82"/>
      <c r="DJ4" s="82"/>
      <c r="DK4" s="29"/>
      <c r="DL4" s="82" t="s">
        <v>186</v>
      </c>
      <c r="DM4" s="82"/>
      <c r="DN4" s="82"/>
      <c r="DO4" s="82"/>
      <c r="DP4" s="82"/>
      <c r="DQ4" s="82"/>
      <c r="DR4" s="82"/>
      <c r="DS4" s="82"/>
      <c r="DT4" s="82"/>
      <c r="DU4" s="29"/>
      <c r="DV4" s="82" t="s">
        <v>187</v>
      </c>
      <c r="DW4" s="82"/>
      <c r="DX4" s="82"/>
      <c r="DY4" s="82"/>
      <c r="DZ4" s="82"/>
      <c r="EA4" s="82"/>
      <c r="EB4" s="82"/>
      <c r="EC4" s="82"/>
      <c r="ED4" s="82"/>
      <c r="EE4" s="29"/>
      <c r="EF4" s="82" t="s">
        <v>132</v>
      </c>
      <c r="EG4" s="82"/>
      <c r="EH4" s="82"/>
      <c r="EI4" s="82"/>
      <c r="EJ4" s="82"/>
      <c r="EK4" s="82"/>
      <c r="EL4" s="82"/>
      <c r="EM4" s="82"/>
      <c r="EN4" s="82"/>
      <c r="EO4" s="29"/>
      <c r="EP4" s="82" t="s">
        <v>85</v>
      </c>
      <c r="EQ4" s="82"/>
      <c r="ER4" s="82"/>
      <c r="ES4" s="82"/>
      <c r="ET4" s="82"/>
      <c r="EU4" s="82"/>
      <c r="EV4" s="82"/>
      <c r="EW4" s="82"/>
      <c r="EX4" s="82"/>
      <c r="EY4" s="29"/>
      <c r="EZ4" s="82" t="s">
        <v>178</v>
      </c>
      <c r="FA4" s="82"/>
      <c r="FB4" s="82"/>
      <c r="FC4" s="82"/>
      <c r="FD4" s="82"/>
      <c r="FE4" s="82"/>
      <c r="FF4" s="82"/>
      <c r="FG4" s="82"/>
      <c r="FH4" s="82"/>
      <c r="FI4" s="29"/>
      <c r="FJ4" s="82" t="s">
        <v>86</v>
      </c>
      <c r="FK4" s="82"/>
      <c r="FL4" s="82"/>
      <c r="FM4" s="82"/>
      <c r="FN4" s="82"/>
      <c r="FO4" s="82"/>
      <c r="FP4" s="82"/>
      <c r="FQ4" s="82"/>
      <c r="FR4" s="82"/>
      <c r="FS4" s="82"/>
    </row>
    <row r="5" spans="1:175" s="5" customFormat="1" ht="15" customHeight="1" x14ac:dyDescent="0.3">
      <c r="A5" s="37"/>
      <c r="B5" s="85" t="s">
        <v>7</v>
      </c>
      <c r="C5" s="86" t="s">
        <v>8</v>
      </c>
      <c r="D5" s="85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406</v>
      </c>
      <c r="M5" s="23" t="s">
        <v>3</v>
      </c>
      <c r="N5" s="23" t="s">
        <v>269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405</v>
      </c>
      <c r="AK5" s="23" t="s">
        <v>405</v>
      </c>
      <c r="AL5" s="23" t="s">
        <v>405</v>
      </c>
      <c r="AM5" s="23" t="s">
        <v>405</v>
      </c>
      <c r="AN5" s="23" t="s">
        <v>405</v>
      </c>
      <c r="AO5" s="23" t="s">
        <v>405</v>
      </c>
      <c r="AP5" s="23" t="s">
        <v>405</v>
      </c>
      <c r="AQ5" s="23" t="s">
        <v>405</v>
      </c>
      <c r="AR5" s="23" t="s">
        <v>405</v>
      </c>
      <c r="AS5" s="23" t="s">
        <v>405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85"/>
      <c r="C6" s="86"/>
      <c r="D6" s="85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316</v>
      </c>
      <c r="Q6" s="67" t="s">
        <v>321</v>
      </c>
      <c r="R6" s="17" t="s">
        <v>317</v>
      </c>
      <c r="S6" s="17" t="s">
        <v>284</v>
      </c>
      <c r="T6" s="67" t="s">
        <v>322</v>
      </c>
      <c r="U6" s="17" t="s">
        <v>318</v>
      </c>
      <c r="V6" s="67" t="s">
        <v>323</v>
      </c>
      <c r="W6" s="17" t="s">
        <v>319</v>
      </c>
      <c r="X6" s="67" t="s">
        <v>324</v>
      </c>
      <c r="Y6" s="17" t="s">
        <v>320</v>
      </c>
      <c r="Z6" s="17" t="s">
        <v>316</v>
      </c>
      <c r="AA6" s="67" t="s">
        <v>321</v>
      </c>
      <c r="AB6" s="17" t="s">
        <v>317</v>
      </c>
      <c r="AC6" s="17" t="s">
        <v>284</v>
      </c>
      <c r="AD6" s="67" t="s">
        <v>322</v>
      </c>
      <c r="AE6" s="17" t="s">
        <v>318</v>
      </c>
      <c r="AF6" s="67" t="s">
        <v>323</v>
      </c>
      <c r="AG6" s="17" t="s">
        <v>319</v>
      </c>
      <c r="AH6" s="67" t="s">
        <v>324</v>
      </c>
      <c r="AI6" s="17" t="s">
        <v>320</v>
      </c>
      <c r="AJ6" s="17" t="s">
        <v>316</v>
      </c>
      <c r="AK6" s="67" t="s">
        <v>321</v>
      </c>
      <c r="AL6" s="17" t="s">
        <v>317</v>
      </c>
      <c r="AM6" s="17" t="s">
        <v>284</v>
      </c>
      <c r="AN6" s="67" t="s">
        <v>322</v>
      </c>
      <c r="AO6" s="17" t="s">
        <v>318</v>
      </c>
      <c r="AP6" s="67" t="s">
        <v>323</v>
      </c>
      <c r="AQ6" s="17" t="s">
        <v>319</v>
      </c>
      <c r="AR6" s="67" t="s">
        <v>324</v>
      </c>
      <c r="AS6" s="17" t="s">
        <v>320</v>
      </c>
      <c r="AT6" s="17" t="s">
        <v>316</v>
      </c>
      <c r="AU6" s="67" t="s">
        <v>321</v>
      </c>
      <c r="AV6" s="17" t="s">
        <v>317</v>
      </c>
      <c r="AW6" s="17" t="s">
        <v>284</v>
      </c>
      <c r="AX6" s="67" t="s">
        <v>322</v>
      </c>
      <c r="AY6" s="17" t="s">
        <v>318</v>
      </c>
      <c r="AZ6" s="67" t="s">
        <v>323</v>
      </c>
      <c r="BA6" s="17" t="s">
        <v>319</v>
      </c>
      <c r="BB6" s="67" t="s">
        <v>324</v>
      </c>
      <c r="BC6" s="17" t="s">
        <v>320</v>
      </c>
      <c r="BD6" s="17" t="s">
        <v>316</v>
      </c>
      <c r="BE6" s="67" t="s">
        <v>321</v>
      </c>
      <c r="BF6" s="17" t="s">
        <v>317</v>
      </c>
      <c r="BG6" s="17" t="s">
        <v>284</v>
      </c>
      <c r="BH6" s="67" t="s">
        <v>322</v>
      </c>
      <c r="BI6" s="17" t="s">
        <v>318</v>
      </c>
      <c r="BJ6" s="67" t="s">
        <v>323</v>
      </c>
      <c r="BK6" s="17" t="s">
        <v>319</v>
      </c>
      <c r="BL6" s="67" t="s">
        <v>324</v>
      </c>
      <c r="BM6" s="17" t="s">
        <v>320</v>
      </c>
      <c r="BN6" s="17" t="s">
        <v>316</v>
      </c>
      <c r="BO6" s="67" t="s">
        <v>321</v>
      </c>
      <c r="BP6" s="17" t="s">
        <v>317</v>
      </c>
      <c r="BQ6" s="17" t="s">
        <v>284</v>
      </c>
      <c r="BR6" s="67" t="s">
        <v>322</v>
      </c>
      <c r="BS6" s="17" t="s">
        <v>318</v>
      </c>
      <c r="BT6" s="67" t="s">
        <v>323</v>
      </c>
      <c r="BU6" s="17" t="s">
        <v>319</v>
      </c>
      <c r="BV6" s="67" t="s">
        <v>324</v>
      </c>
      <c r="BW6" s="17" t="s">
        <v>320</v>
      </c>
      <c r="BX6" s="17" t="s">
        <v>316</v>
      </c>
      <c r="BY6" s="67" t="s">
        <v>321</v>
      </c>
      <c r="BZ6" s="17" t="s">
        <v>317</v>
      </c>
      <c r="CA6" s="17" t="s">
        <v>284</v>
      </c>
      <c r="CB6" s="67" t="s">
        <v>322</v>
      </c>
      <c r="CC6" s="17" t="s">
        <v>318</v>
      </c>
      <c r="CD6" s="67" t="s">
        <v>323</v>
      </c>
      <c r="CE6" s="17" t="s">
        <v>319</v>
      </c>
      <c r="CF6" s="67" t="s">
        <v>324</v>
      </c>
      <c r="CG6" s="17" t="s">
        <v>320</v>
      </c>
      <c r="CH6" s="17" t="s">
        <v>316</v>
      </c>
      <c r="CI6" s="67" t="s">
        <v>321</v>
      </c>
      <c r="CJ6" s="17" t="s">
        <v>317</v>
      </c>
      <c r="CK6" s="17" t="s">
        <v>284</v>
      </c>
      <c r="CL6" s="67" t="s">
        <v>322</v>
      </c>
      <c r="CM6" s="17" t="s">
        <v>318</v>
      </c>
      <c r="CN6" s="67" t="s">
        <v>323</v>
      </c>
      <c r="CO6" s="17" t="s">
        <v>319</v>
      </c>
      <c r="CP6" s="67" t="s">
        <v>324</v>
      </c>
      <c r="CQ6" s="17" t="s">
        <v>320</v>
      </c>
      <c r="CR6" s="17" t="s">
        <v>316</v>
      </c>
      <c r="CS6" s="67" t="s">
        <v>321</v>
      </c>
      <c r="CT6" s="17" t="s">
        <v>317</v>
      </c>
      <c r="CU6" s="17" t="s">
        <v>284</v>
      </c>
      <c r="CV6" s="67" t="s">
        <v>322</v>
      </c>
      <c r="CW6" s="17" t="s">
        <v>318</v>
      </c>
      <c r="CX6" s="67" t="s">
        <v>323</v>
      </c>
      <c r="CY6" s="17" t="s">
        <v>319</v>
      </c>
      <c r="CZ6" s="67" t="s">
        <v>324</v>
      </c>
      <c r="DA6" s="17" t="s">
        <v>320</v>
      </c>
      <c r="DB6" s="17" t="s">
        <v>316</v>
      </c>
      <c r="DC6" s="67" t="s">
        <v>321</v>
      </c>
      <c r="DD6" s="17" t="s">
        <v>317</v>
      </c>
      <c r="DE6" s="17" t="s">
        <v>284</v>
      </c>
      <c r="DF6" s="67" t="s">
        <v>322</v>
      </c>
      <c r="DG6" s="17" t="s">
        <v>318</v>
      </c>
      <c r="DH6" s="67" t="s">
        <v>323</v>
      </c>
      <c r="DI6" s="17" t="s">
        <v>319</v>
      </c>
      <c r="DJ6" s="67" t="s">
        <v>324</v>
      </c>
      <c r="DK6" s="17" t="s">
        <v>320</v>
      </c>
      <c r="DL6" s="17" t="s">
        <v>316</v>
      </c>
      <c r="DM6" s="67" t="s">
        <v>321</v>
      </c>
      <c r="DN6" s="17" t="s">
        <v>317</v>
      </c>
      <c r="DO6" s="17" t="s">
        <v>284</v>
      </c>
      <c r="DP6" s="67" t="s">
        <v>322</v>
      </c>
      <c r="DQ6" s="17" t="s">
        <v>318</v>
      </c>
      <c r="DR6" s="67" t="s">
        <v>323</v>
      </c>
      <c r="DS6" s="17" t="s">
        <v>319</v>
      </c>
      <c r="DT6" s="67" t="s">
        <v>324</v>
      </c>
      <c r="DU6" s="17" t="s">
        <v>320</v>
      </c>
      <c r="DV6" s="17" t="s">
        <v>316</v>
      </c>
      <c r="DW6" s="67" t="s">
        <v>321</v>
      </c>
      <c r="DX6" s="17" t="s">
        <v>317</v>
      </c>
      <c r="DY6" s="17" t="s">
        <v>284</v>
      </c>
      <c r="DZ6" s="67" t="s">
        <v>322</v>
      </c>
      <c r="EA6" s="17" t="s">
        <v>318</v>
      </c>
      <c r="EB6" s="67" t="s">
        <v>323</v>
      </c>
      <c r="EC6" s="17" t="s">
        <v>319</v>
      </c>
      <c r="ED6" s="67" t="s">
        <v>324</v>
      </c>
      <c r="EE6" s="17" t="s">
        <v>320</v>
      </c>
      <c r="EF6" s="17" t="s">
        <v>316</v>
      </c>
      <c r="EG6" s="67" t="s">
        <v>321</v>
      </c>
      <c r="EH6" s="17" t="s">
        <v>317</v>
      </c>
      <c r="EI6" s="17" t="s">
        <v>284</v>
      </c>
      <c r="EJ6" s="67" t="s">
        <v>322</v>
      </c>
      <c r="EK6" s="17" t="s">
        <v>318</v>
      </c>
      <c r="EL6" s="67" t="s">
        <v>323</v>
      </c>
      <c r="EM6" s="17" t="s">
        <v>319</v>
      </c>
      <c r="EN6" s="67" t="s">
        <v>324</v>
      </c>
      <c r="EO6" s="17" t="s">
        <v>320</v>
      </c>
      <c r="EP6" s="17" t="s">
        <v>316</v>
      </c>
      <c r="EQ6" s="67" t="s">
        <v>321</v>
      </c>
      <c r="ER6" s="17" t="s">
        <v>317</v>
      </c>
      <c r="ES6" s="17" t="s">
        <v>284</v>
      </c>
      <c r="ET6" s="67" t="s">
        <v>322</v>
      </c>
      <c r="EU6" s="17" t="s">
        <v>318</v>
      </c>
      <c r="EV6" s="67" t="s">
        <v>323</v>
      </c>
      <c r="EW6" s="17" t="s">
        <v>319</v>
      </c>
      <c r="EX6" s="67" t="s">
        <v>324</v>
      </c>
      <c r="EY6" s="17" t="s">
        <v>320</v>
      </c>
      <c r="EZ6" s="17" t="s">
        <v>316</v>
      </c>
      <c r="FA6" s="67" t="s">
        <v>321</v>
      </c>
      <c r="FB6" s="17" t="s">
        <v>317</v>
      </c>
      <c r="FC6" s="17" t="s">
        <v>284</v>
      </c>
      <c r="FD6" s="67" t="s">
        <v>322</v>
      </c>
      <c r="FE6" s="17" t="s">
        <v>318</v>
      </c>
      <c r="FF6" s="67" t="s">
        <v>323</v>
      </c>
      <c r="FG6" s="17" t="s">
        <v>319</v>
      </c>
      <c r="FH6" s="67" t="s">
        <v>324</v>
      </c>
      <c r="FI6" s="17" t="s">
        <v>320</v>
      </c>
      <c r="FJ6" s="17" t="s">
        <v>316</v>
      </c>
      <c r="FK6" s="67" t="s">
        <v>321</v>
      </c>
      <c r="FL6" s="17" t="s">
        <v>317</v>
      </c>
      <c r="FM6" s="17" t="s">
        <v>284</v>
      </c>
      <c r="FN6" s="67" t="s">
        <v>322</v>
      </c>
      <c r="FO6" s="17" t="s">
        <v>318</v>
      </c>
      <c r="FP6" s="67" t="s">
        <v>323</v>
      </c>
      <c r="FQ6" s="17" t="s">
        <v>319</v>
      </c>
      <c r="FR6" s="67" t="s">
        <v>324</v>
      </c>
      <c r="FS6" s="17" t="s">
        <v>320</v>
      </c>
    </row>
    <row r="7" spans="1:175" s="5" customFormat="1" ht="5.55" customHeight="1" x14ac:dyDescent="0.3">
      <c r="A7" s="45"/>
      <c r="B7" s="85"/>
      <c r="C7" s="86"/>
      <c r="D7" s="85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85"/>
      <c r="C8" s="86"/>
      <c r="D8" s="85"/>
      <c r="E8" s="68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83" t="s">
        <v>11</v>
      </c>
      <c r="B9" s="3" t="s">
        <v>135</v>
      </c>
      <c r="C9" s="11" t="s">
        <v>276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287</v>
      </c>
      <c r="Q9" t="s">
        <v>287</v>
      </c>
      <c r="R9" t="s">
        <v>287</v>
      </c>
      <c r="S9" t="s">
        <v>287</v>
      </c>
      <c r="T9" t="s">
        <v>287</v>
      </c>
      <c r="U9" t="s">
        <v>287</v>
      </c>
      <c r="V9" t="s">
        <v>287</v>
      </c>
      <c r="W9" t="s">
        <v>287</v>
      </c>
      <c r="X9" t="s">
        <v>287</v>
      </c>
      <c r="Y9" t="s">
        <v>287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83"/>
      <c r="B10" s="3" t="s">
        <v>135</v>
      </c>
      <c r="C10" s="11" t="s">
        <v>276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287</v>
      </c>
      <c r="Q10" t="s">
        <v>287</v>
      </c>
      <c r="R10" t="s">
        <v>287</v>
      </c>
      <c r="S10" t="s">
        <v>287</v>
      </c>
      <c r="T10" t="s">
        <v>287</v>
      </c>
      <c r="U10" t="s">
        <v>287</v>
      </c>
      <c r="V10" t="s">
        <v>287</v>
      </c>
      <c r="W10" t="s">
        <v>287</v>
      </c>
      <c r="X10" t="s">
        <v>287</v>
      </c>
      <c r="Y10" t="s">
        <v>287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359</v>
      </c>
      <c r="DW10" t="s">
        <v>359</v>
      </c>
      <c r="DX10" t="s">
        <v>359</v>
      </c>
      <c r="DY10" t="s">
        <v>359</v>
      </c>
      <c r="DZ10" t="s">
        <v>359</v>
      </c>
      <c r="EA10" t="s">
        <v>359</v>
      </c>
      <c r="EB10" t="s">
        <v>359</v>
      </c>
      <c r="EC10" t="s">
        <v>359</v>
      </c>
      <c r="ED10" t="s">
        <v>359</v>
      </c>
      <c r="EE10" t="s">
        <v>359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7">
        <v>0</v>
      </c>
      <c r="EQ10" s="27">
        <v>0</v>
      </c>
      <c r="ER10" s="27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83"/>
      <c r="B11" s="3" t="s">
        <v>429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B36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287</v>
      </c>
      <c r="Q11" t="s">
        <v>287</v>
      </c>
      <c r="R11" t="s">
        <v>287</v>
      </c>
      <c r="S11" t="s">
        <v>287</v>
      </c>
      <c r="T11" t="s">
        <v>287</v>
      </c>
      <c r="U11" t="s">
        <v>287</v>
      </c>
      <c r="V11" t="s">
        <v>287</v>
      </c>
      <c r="W11" t="s">
        <v>287</v>
      </c>
      <c r="X11" t="s">
        <v>287</v>
      </c>
      <c r="Y11" t="s">
        <v>287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287</v>
      </c>
      <c r="AU11" s="14" t="s">
        <v>287</v>
      </c>
      <c r="AV11" s="14" t="s">
        <v>287</v>
      </c>
      <c r="AW11" s="14" t="s">
        <v>287</v>
      </c>
      <c r="AX11" s="14" t="s">
        <v>287</v>
      </c>
      <c r="AY11" s="14" t="s">
        <v>287</v>
      </c>
      <c r="AZ11" s="14" t="s">
        <v>287</v>
      </c>
      <c r="BA11" s="14" t="s">
        <v>287</v>
      </c>
      <c r="BB11" s="14" t="s">
        <v>287</v>
      </c>
      <c r="BC11" s="14" t="s">
        <v>287</v>
      </c>
      <c r="BD11" s="14" t="s">
        <v>308</v>
      </c>
      <c r="BE11" s="14" t="s">
        <v>308</v>
      </c>
      <c r="BF11" s="14" t="s">
        <v>308</v>
      </c>
      <c r="BG11" s="14" t="s">
        <v>287</v>
      </c>
      <c r="BH11" s="14" t="s">
        <v>287</v>
      </c>
      <c r="BI11" s="14" t="s">
        <v>287</v>
      </c>
      <c r="BJ11" s="14" t="s">
        <v>287</v>
      </c>
      <c r="BK11" s="14" t="s">
        <v>287</v>
      </c>
      <c r="BL11" s="14" t="s">
        <v>287</v>
      </c>
      <c r="BM11" s="14" t="s">
        <v>287</v>
      </c>
      <c r="BN11" s="14" t="s">
        <v>308</v>
      </c>
      <c r="BO11" s="14" t="s">
        <v>308</v>
      </c>
      <c r="BP11" s="14" t="s">
        <v>308</v>
      </c>
      <c r="BQ11" s="14" t="s">
        <v>287</v>
      </c>
      <c r="BR11" s="14" t="s">
        <v>287</v>
      </c>
      <c r="BS11" s="14" t="s">
        <v>287</v>
      </c>
      <c r="BT11" s="14" t="s">
        <v>287</v>
      </c>
      <c r="BU11" s="14" t="s">
        <v>287</v>
      </c>
      <c r="BV11" s="14" t="s">
        <v>287</v>
      </c>
      <c r="BW11" s="14" t="s">
        <v>287</v>
      </c>
      <c r="BX11" s="10" t="s">
        <v>287</v>
      </c>
      <c r="BY11" s="10" t="s">
        <v>287</v>
      </c>
      <c r="BZ11" s="10" t="s">
        <v>287</v>
      </c>
      <c r="CA11" s="10" t="s">
        <v>287</v>
      </c>
      <c r="CB11" s="10" t="s">
        <v>287</v>
      </c>
      <c r="CC11" s="10" t="s">
        <v>287</v>
      </c>
      <c r="CD11" s="10" t="s">
        <v>287</v>
      </c>
      <c r="CE11" s="10" t="s">
        <v>287</v>
      </c>
      <c r="CF11" s="10" t="s">
        <v>287</v>
      </c>
      <c r="CG11" s="10" t="s">
        <v>287</v>
      </c>
      <c r="CH11" t="s">
        <v>360</v>
      </c>
      <c r="CI11" t="s">
        <v>360</v>
      </c>
      <c r="CJ11" t="s">
        <v>360</v>
      </c>
      <c r="CK11" s="15" t="s">
        <v>361</v>
      </c>
      <c r="CL11" s="15" t="s">
        <v>361</v>
      </c>
      <c r="CM11" s="15" t="s">
        <v>361</v>
      </c>
      <c r="CN11">
        <v>0</v>
      </c>
      <c r="CO11" s="15" t="s">
        <v>362</v>
      </c>
      <c r="CP11" s="15" t="s">
        <v>362</v>
      </c>
      <c r="CQ11" s="15" t="s">
        <v>362</v>
      </c>
      <c r="CR11" t="s">
        <v>363</v>
      </c>
      <c r="CS11" t="s">
        <v>363</v>
      </c>
      <c r="CT11" t="s">
        <v>363</v>
      </c>
      <c r="CU11" t="s">
        <v>363</v>
      </c>
      <c r="CV11" t="s">
        <v>363</v>
      </c>
      <c r="CW11" t="s">
        <v>363</v>
      </c>
      <c r="CX11" t="s">
        <v>363</v>
      </c>
      <c r="CY11" t="s">
        <v>363</v>
      </c>
      <c r="CZ11" t="s">
        <v>363</v>
      </c>
      <c r="DA11" t="s">
        <v>363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83"/>
      <c r="B12" s="3" t="s">
        <v>440</v>
      </c>
      <c r="C12" s="4" t="s">
        <v>171</v>
      </c>
      <c r="D12" s="2" t="s">
        <v>441</v>
      </c>
      <c r="E12" s="9">
        <v>0</v>
      </c>
      <c r="F12" s="13">
        <v>0</v>
      </c>
      <c r="G12" s="13" t="s">
        <v>442</v>
      </c>
      <c r="H12" s="15" t="s">
        <v>472</v>
      </c>
      <c r="I12" s="24" t="str">
        <f>B36</f>
        <v>Reactant2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6" t="s">
        <v>448</v>
      </c>
      <c r="Q12" s="16" t="s">
        <v>448</v>
      </c>
      <c r="R12" s="16" t="s">
        <v>448</v>
      </c>
      <c r="S12" s="16" t="s">
        <v>448</v>
      </c>
      <c r="T12" s="16" t="s">
        <v>448</v>
      </c>
      <c r="U12" s="16" t="s">
        <v>448</v>
      </c>
      <c r="V12" s="16" t="s">
        <v>448</v>
      </c>
      <c r="W12" s="16" t="s">
        <v>448</v>
      </c>
      <c r="X12" s="16" t="s">
        <v>448</v>
      </c>
      <c r="Y12" s="16" t="s">
        <v>448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4" t="s">
        <v>287</v>
      </c>
      <c r="AU12" s="14" t="s">
        <v>287</v>
      </c>
      <c r="AV12" s="14" t="s">
        <v>287</v>
      </c>
      <c r="AW12" s="14" t="s">
        <v>287</v>
      </c>
      <c r="AX12" s="14" t="s">
        <v>287</v>
      </c>
      <c r="AY12" s="14" t="s">
        <v>287</v>
      </c>
      <c r="AZ12" s="14" t="s">
        <v>287</v>
      </c>
      <c r="BA12" s="14" t="s">
        <v>287</v>
      </c>
      <c r="BB12" s="14" t="s">
        <v>287</v>
      </c>
      <c r="BC12" s="14" t="s">
        <v>287</v>
      </c>
      <c r="BD12" s="14" t="s">
        <v>308</v>
      </c>
      <c r="BE12" s="14" t="s">
        <v>308</v>
      </c>
      <c r="BF12" s="14" t="s">
        <v>308</v>
      </c>
      <c r="BG12" s="14" t="s">
        <v>287</v>
      </c>
      <c r="BH12" s="14" t="s">
        <v>287</v>
      </c>
      <c r="BI12" s="14" t="s">
        <v>287</v>
      </c>
      <c r="BJ12" s="14" t="s">
        <v>287</v>
      </c>
      <c r="BK12" s="14" t="s">
        <v>287</v>
      </c>
      <c r="BL12" s="14" t="s">
        <v>287</v>
      </c>
      <c r="BM12" s="14" t="s">
        <v>287</v>
      </c>
      <c r="BN12" s="14" t="s">
        <v>308</v>
      </c>
      <c r="BO12" s="14" t="s">
        <v>308</v>
      </c>
      <c r="BP12" s="14" t="s">
        <v>308</v>
      </c>
      <c r="BQ12" s="14" t="s">
        <v>287</v>
      </c>
      <c r="BR12" s="14" t="s">
        <v>287</v>
      </c>
      <c r="BS12" s="14" t="s">
        <v>287</v>
      </c>
      <c r="BT12" s="14" t="s">
        <v>287</v>
      </c>
      <c r="BU12" s="14" t="s">
        <v>287</v>
      </c>
      <c r="BV12" s="14" t="s">
        <v>287</v>
      </c>
      <c r="BW12" s="14" t="s">
        <v>287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5" t="s">
        <v>449</v>
      </c>
      <c r="CI12" s="15" t="s">
        <v>449</v>
      </c>
      <c r="CJ12" s="15" t="s">
        <v>449</v>
      </c>
      <c r="CK12" s="15" t="s">
        <v>449</v>
      </c>
      <c r="CL12" s="15" t="s">
        <v>449</v>
      </c>
      <c r="CM12" s="15" t="s">
        <v>449</v>
      </c>
      <c r="CN12" s="15" t="s">
        <v>449</v>
      </c>
      <c r="CO12" s="15" t="s">
        <v>449</v>
      </c>
      <c r="CP12" s="15" t="s">
        <v>449</v>
      </c>
      <c r="CQ12" s="15" t="s">
        <v>449</v>
      </c>
      <c r="CR12" s="69" t="s">
        <v>449</v>
      </c>
      <c r="CS12" s="69" t="s">
        <v>449</v>
      </c>
      <c r="CT12" s="69" t="s">
        <v>449</v>
      </c>
      <c r="CU12" s="69" t="s">
        <v>449</v>
      </c>
      <c r="CV12" s="69" t="s">
        <v>449</v>
      </c>
      <c r="CW12" s="69" t="s">
        <v>449</v>
      </c>
      <c r="CX12" s="69" t="s">
        <v>449</v>
      </c>
      <c r="CY12" s="69" t="s">
        <v>449</v>
      </c>
      <c r="CZ12" s="69" t="s">
        <v>449</v>
      </c>
      <c r="DA12" s="69" t="s">
        <v>449</v>
      </c>
      <c r="DB12" s="52">
        <v>0</v>
      </c>
      <c r="DC12" s="52">
        <v>0</v>
      </c>
      <c r="DD12" s="52">
        <v>0</v>
      </c>
      <c r="DE12">
        <v>0</v>
      </c>
      <c r="DF12" s="52">
        <v>0</v>
      </c>
      <c r="DG12">
        <v>0</v>
      </c>
      <c r="DH12" s="52">
        <v>0</v>
      </c>
      <c r="DI12">
        <v>0</v>
      </c>
      <c r="DJ12" s="5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83"/>
      <c r="B13" s="3" t="s">
        <v>135</v>
      </c>
      <c r="C13" s="4" t="s">
        <v>171</v>
      </c>
      <c r="D13" s="2" t="s">
        <v>443</v>
      </c>
      <c r="E13" s="9">
        <v>0</v>
      </c>
      <c r="F13" s="13">
        <v>0</v>
      </c>
      <c r="G13" s="13" t="s">
        <v>444</v>
      </c>
      <c r="H13" s="15" t="s">
        <v>472</v>
      </c>
      <c r="I13" s="24" t="str">
        <f>B15</f>
        <v>Reactant14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6" t="s">
        <v>450</v>
      </c>
      <c r="Q13" s="16" t="s">
        <v>450</v>
      </c>
      <c r="R13" s="16" t="s">
        <v>451</v>
      </c>
      <c r="S13" s="16" t="s">
        <v>450</v>
      </c>
      <c r="T13" s="16" t="s">
        <v>450</v>
      </c>
      <c r="U13" s="16" t="s">
        <v>451</v>
      </c>
      <c r="V13" s="16" t="s">
        <v>450</v>
      </c>
      <c r="W13" s="16" t="s">
        <v>450</v>
      </c>
      <c r="X13" s="16" t="s">
        <v>450</v>
      </c>
      <c r="Y13" s="16" t="s">
        <v>451</v>
      </c>
      <c r="Z13" s="51" t="s">
        <v>450</v>
      </c>
      <c r="AA13" s="51" t="s">
        <v>450</v>
      </c>
      <c r="AB13" s="51" t="s">
        <v>450</v>
      </c>
      <c r="AC13" s="51" t="s">
        <v>450</v>
      </c>
      <c r="AD13" s="51" t="s">
        <v>450</v>
      </c>
      <c r="AE13" s="51" t="s">
        <v>450</v>
      </c>
      <c r="AF13" s="51" t="s">
        <v>450</v>
      </c>
      <c r="AG13" s="51" t="s">
        <v>450</v>
      </c>
      <c r="AH13" s="51" t="s">
        <v>450</v>
      </c>
      <c r="AI13" s="51" t="s">
        <v>450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4" t="s">
        <v>287</v>
      </c>
      <c r="AU13" s="14" t="s">
        <v>287</v>
      </c>
      <c r="AV13" s="14" t="s">
        <v>287</v>
      </c>
      <c r="AW13" s="14" t="s">
        <v>287</v>
      </c>
      <c r="AX13" s="14" t="s">
        <v>287</v>
      </c>
      <c r="AY13" s="14" t="s">
        <v>287</v>
      </c>
      <c r="AZ13" s="14" t="s">
        <v>287</v>
      </c>
      <c r="BA13" s="14" t="s">
        <v>287</v>
      </c>
      <c r="BB13" s="14" t="s">
        <v>287</v>
      </c>
      <c r="BC13" s="14" t="s">
        <v>287</v>
      </c>
      <c r="BD13" s="14" t="s">
        <v>308</v>
      </c>
      <c r="BE13" s="14" t="s">
        <v>308</v>
      </c>
      <c r="BF13" s="14" t="s">
        <v>308</v>
      </c>
      <c r="BG13" s="14" t="s">
        <v>287</v>
      </c>
      <c r="BH13" s="14" t="s">
        <v>287</v>
      </c>
      <c r="BI13" s="14" t="s">
        <v>287</v>
      </c>
      <c r="BJ13" s="14" t="s">
        <v>287</v>
      </c>
      <c r="BK13" s="14" t="s">
        <v>287</v>
      </c>
      <c r="BL13" s="14" t="s">
        <v>287</v>
      </c>
      <c r="BM13" s="14" t="s">
        <v>287</v>
      </c>
      <c r="BN13" s="14" t="s">
        <v>308</v>
      </c>
      <c r="BO13" s="14" t="s">
        <v>308</v>
      </c>
      <c r="BP13" s="14" t="s">
        <v>308</v>
      </c>
      <c r="BQ13" s="14" t="s">
        <v>287</v>
      </c>
      <c r="BR13" s="14" t="s">
        <v>287</v>
      </c>
      <c r="BS13" s="14" t="s">
        <v>287</v>
      </c>
      <c r="BT13" s="14" t="s">
        <v>287</v>
      </c>
      <c r="BU13" s="14" t="s">
        <v>287</v>
      </c>
      <c r="BV13" s="14" t="s">
        <v>287</v>
      </c>
      <c r="BW13" s="14" t="s">
        <v>287</v>
      </c>
      <c r="BX13" s="16" t="s">
        <v>452</v>
      </c>
      <c r="BY13" s="16" t="s">
        <v>452</v>
      </c>
      <c r="BZ13" s="16" t="s">
        <v>452</v>
      </c>
      <c r="CA13" s="16" t="s">
        <v>452</v>
      </c>
      <c r="CB13" s="16" t="s">
        <v>452</v>
      </c>
      <c r="CC13" s="16" t="s">
        <v>452</v>
      </c>
      <c r="CD13" s="16" t="s">
        <v>452</v>
      </c>
      <c r="CE13" s="16" t="s">
        <v>452</v>
      </c>
      <c r="CF13" s="16" t="s">
        <v>452</v>
      </c>
      <c r="CG13" s="16" t="s">
        <v>452</v>
      </c>
      <c r="CH13" s="15" t="s">
        <v>453</v>
      </c>
      <c r="CI13" s="15" t="s">
        <v>453</v>
      </c>
      <c r="CJ13" s="15" t="s">
        <v>453</v>
      </c>
      <c r="CK13" s="15" t="s">
        <v>453</v>
      </c>
      <c r="CL13" s="15" t="s">
        <v>453</v>
      </c>
      <c r="CM13" s="15" t="s">
        <v>453</v>
      </c>
      <c r="CN13" s="15" t="s">
        <v>453</v>
      </c>
      <c r="CO13" s="15" t="s">
        <v>453</v>
      </c>
      <c r="CP13" s="15" t="s">
        <v>453</v>
      </c>
      <c r="CQ13" s="15" t="s">
        <v>453</v>
      </c>
      <c r="CR13" s="69" t="s">
        <v>453</v>
      </c>
      <c r="CS13" s="69" t="s">
        <v>453</v>
      </c>
      <c r="CT13" s="69" t="s">
        <v>453</v>
      </c>
      <c r="CU13" s="69" t="s">
        <v>453</v>
      </c>
      <c r="CV13" s="69" t="s">
        <v>453</v>
      </c>
      <c r="CW13" s="69" t="s">
        <v>453</v>
      </c>
      <c r="CX13" s="69" t="s">
        <v>453</v>
      </c>
      <c r="CY13" s="69" t="s">
        <v>453</v>
      </c>
      <c r="CZ13" s="69" t="s">
        <v>453</v>
      </c>
      <c r="DA13" s="69" t="s">
        <v>453</v>
      </c>
      <c r="DB13" s="52">
        <v>0</v>
      </c>
      <c r="DC13" s="52">
        <v>0</v>
      </c>
      <c r="DD13" s="52">
        <v>0</v>
      </c>
      <c r="DE13" s="52">
        <v>0</v>
      </c>
      <c r="DF13" s="52">
        <v>0</v>
      </c>
      <c r="DG13" s="52">
        <v>0</v>
      </c>
      <c r="DH13" s="52">
        <v>0</v>
      </c>
      <c r="DI13" s="52">
        <v>0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52">
        <v>0</v>
      </c>
      <c r="DV13" s="52">
        <v>0</v>
      </c>
      <c r="DW13" s="52">
        <v>0</v>
      </c>
      <c r="DX13" s="52">
        <v>0</v>
      </c>
      <c r="DY13" s="52">
        <v>0</v>
      </c>
      <c r="DZ13" s="52">
        <v>0</v>
      </c>
      <c r="EA13" s="52">
        <v>0</v>
      </c>
      <c r="EB13" s="52">
        <v>0</v>
      </c>
      <c r="EC13" s="52">
        <v>0</v>
      </c>
      <c r="ED13" s="52">
        <v>0</v>
      </c>
      <c r="EE13" s="52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s="16" t="s">
        <v>454</v>
      </c>
      <c r="EQ13" s="16" t="s">
        <v>454</v>
      </c>
      <c r="ER13" s="16" t="s">
        <v>454</v>
      </c>
      <c r="ES13" s="16" t="s">
        <v>454</v>
      </c>
      <c r="ET13" s="16" t="s">
        <v>454</v>
      </c>
      <c r="EU13" s="16" t="s">
        <v>454</v>
      </c>
      <c r="EV13" s="16" t="s">
        <v>454</v>
      </c>
      <c r="EW13" s="16" t="s">
        <v>454</v>
      </c>
      <c r="EX13" s="16" t="s">
        <v>454</v>
      </c>
      <c r="EY13" s="16" t="s">
        <v>454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83"/>
      <c r="B14" s="3" t="s">
        <v>135</v>
      </c>
      <c r="C14" s="11" t="s">
        <v>276</v>
      </c>
      <c r="D14" s="2" t="s">
        <v>445</v>
      </c>
      <c r="E14" s="9">
        <v>0</v>
      </c>
      <c r="F14" s="13">
        <v>0</v>
      </c>
      <c r="G14" s="13" t="s">
        <v>445</v>
      </c>
      <c r="H14" s="15" t="s">
        <v>472</v>
      </c>
      <c r="I14" s="24" t="str">
        <f>B12</f>
        <v>Product/Reactant13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6" t="s">
        <v>448</v>
      </c>
      <c r="Q14" s="16" t="s">
        <v>448</v>
      </c>
      <c r="R14" s="16" t="s">
        <v>448</v>
      </c>
      <c r="S14" s="16" t="s">
        <v>448</v>
      </c>
      <c r="T14" s="16" t="s">
        <v>448</v>
      </c>
      <c r="U14" s="16" t="s">
        <v>448</v>
      </c>
      <c r="V14" s="16" t="s">
        <v>448</v>
      </c>
      <c r="W14" s="16" t="s">
        <v>448</v>
      </c>
      <c r="X14" s="16" t="s">
        <v>448</v>
      </c>
      <c r="Y14" s="16" t="s">
        <v>448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52">
        <v>0</v>
      </c>
      <c r="DC14" s="52">
        <v>0</v>
      </c>
      <c r="DD14" s="52">
        <v>0</v>
      </c>
      <c r="DE14">
        <v>0</v>
      </c>
      <c r="DF14" s="52">
        <v>0</v>
      </c>
      <c r="DG14">
        <v>0</v>
      </c>
      <c r="DH14" s="52">
        <v>0</v>
      </c>
      <c r="DI14">
        <v>0</v>
      </c>
      <c r="DJ14" s="52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 t="s">
        <v>455</v>
      </c>
      <c r="DW14" t="s">
        <v>456</v>
      </c>
      <c r="DX14" t="s">
        <v>457</v>
      </c>
      <c r="DY14" t="s">
        <v>455</v>
      </c>
      <c r="DZ14" t="s">
        <v>456</v>
      </c>
      <c r="EA14" t="s">
        <v>457</v>
      </c>
      <c r="EB14" t="s">
        <v>456</v>
      </c>
      <c r="EC14" t="s">
        <v>455</v>
      </c>
      <c r="ED14" t="s">
        <v>456</v>
      </c>
      <c r="EE14" t="s">
        <v>457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83"/>
      <c r="B15" s="3" t="s">
        <v>446</v>
      </c>
      <c r="C15" s="11" t="s">
        <v>276</v>
      </c>
      <c r="D15" s="2" t="s">
        <v>447</v>
      </c>
      <c r="E15" s="9">
        <v>0</v>
      </c>
      <c r="F15" s="13">
        <v>0</v>
      </c>
      <c r="G15" s="13" t="s">
        <v>447</v>
      </c>
      <c r="H15" s="15" t="s">
        <v>472</v>
      </c>
      <c r="I15" s="24" t="s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52">
        <v>0</v>
      </c>
      <c r="DC15" s="52">
        <v>0</v>
      </c>
      <c r="DD15" s="52">
        <v>0</v>
      </c>
      <c r="DE15">
        <v>0</v>
      </c>
      <c r="DF15" s="52">
        <v>0</v>
      </c>
      <c r="DG15">
        <v>0</v>
      </c>
      <c r="DH15" s="52">
        <v>0</v>
      </c>
      <c r="DI15">
        <v>0</v>
      </c>
      <c r="DJ15" s="52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 t="s">
        <v>455</v>
      </c>
      <c r="DW15" t="s">
        <v>456</v>
      </c>
      <c r="DX15" t="s">
        <v>457</v>
      </c>
      <c r="DY15" t="s">
        <v>455</v>
      </c>
      <c r="DZ15" t="s">
        <v>456</v>
      </c>
      <c r="EA15" t="s">
        <v>457</v>
      </c>
      <c r="EB15" t="s">
        <v>456</v>
      </c>
      <c r="EC15" t="s">
        <v>455</v>
      </c>
      <c r="ED15" t="s">
        <v>456</v>
      </c>
      <c r="EE15" t="s">
        <v>457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83"/>
      <c r="B16" s="3" t="s">
        <v>135</v>
      </c>
      <c r="C16" s="11" t="s">
        <v>276</v>
      </c>
      <c r="D16" s="2" t="s">
        <v>435</v>
      </c>
      <c r="E16" s="9">
        <v>0</v>
      </c>
      <c r="F16" s="13">
        <v>0</v>
      </c>
      <c r="G16" s="13" t="s">
        <v>435</v>
      </c>
      <c r="H16">
        <v>0</v>
      </c>
      <c r="I16" s="24" t="str">
        <f>B21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422</v>
      </c>
      <c r="Q16" t="s">
        <v>422</v>
      </c>
      <c r="R16" t="s">
        <v>422</v>
      </c>
      <c r="S16" t="s">
        <v>422</v>
      </c>
      <c r="T16" t="s">
        <v>422</v>
      </c>
      <c r="U16" t="s">
        <v>422</v>
      </c>
      <c r="V16" t="s">
        <v>422</v>
      </c>
      <c r="W16" t="s">
        <v>422</v>
      </c>
      <c r="X16" t="s">
        <v>422</v>
      </c>
      <c r="Y16" t="s">
        <v>422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83"/>
      <c r="B17" s="3" t="s">
        <v>135</v>
      </c>
      <c r="C17" s="11" t="s">
        <v>276</v>
      </c>
      <c r="D17" s="2" t="s">
        <v>436</v>
      </c>
      <c r="E17" s="9">
        <v>0</v>
      </c>
      <c r="F17" s="13">
        <v>0</v>
      </c>
      <c r="G17" s="13" t="s">
        <v>436</v>
      </c>
      <c r="H17">
        <v>0</v>
      </c>
      <c r="I17" s="24" t="str">
        <f t="shared" ref="I17:I19" si="2">B22</f>
        <v>Product/Reactant1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422</v>
      </c>
      <c r="Q17" t="s">
        <v>422</v>
      </c>
      <c r="R17" t="s">
        <v>422</v>
      </c>
      <c r="S17" t="s">
        <v>422</v>
      </c>
      <c r="T17" t="s">
        <v>422</v>
      </c>
      <c r="U17" t="s">
        <v>422</v>
      </c>
      <c r="V17" t="s">
        <v>422</v>
      </c>
      <c r="W17" t="s">
        <v>422</v>
      </c>
      <c r="X17" t="s">
        <v>422</v>
      </c>
      <c r="Y17" t="s">
        <v>422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3">
      <c r="A18" s="83"/>
      <c r="B18" s="3" t="s">
        <v>135</v>
      </c>
      <c r="C18" s="11" t="s">
        <v>276</v>
      </c>
      <c r="D18" s="2" t="s">
        <v>437</v>
      </c>
      <c r="E18" s="9">
        <v>0</v>
      </c>
      <c r="F18" s="13">
        <v>0</v>
      </c>
      <c r="G18" s="13" t="s">
        <v>437</v>
      </c>
      <c r="H18">
        <v>0</v>
      </c>
      <c r="I18" s="24" t="str">
        <f t="shared" si="2"/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422</v>
      </c>
      <c r="Q18" t="s">
        <v>422</v>
      </c>
      <c r="R18" t="s">
        <v>422</v>
      </c>
      <c r="S18" t="s">
        <v>422</v>
      </c>
      <c r="T18" t="s">
        <v>422</v>
      </c>
      <c r="U18" t="s">
        <v>422</v>
      </c>
      <c r="V18" t="s">
        <v>422</v>
      </c>
      <c r="W18" t="s">
        <v>422</v>
      </c>
      <c r="X18" t="s">
        <v>422</v>
      </c>
      <c r="Y18" t="s">
        <v>422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83"/>
      <c r="B19" s="3" t="s">
        <v>135</v>
      </c>
      <c r="C19" s="11" t="s">
        <v>276</v>
      </c>
      <c r="D19" s="2" t="s">
        <v>438</v>
      </c>
      <c r="E19" s="9">
        <v>0</v>
      </c>
      <c r="F19" s="13">
        <v>0</v>
      </c>
      <c r="G19" s="13" t="s">
        <v>438</v>
      </c>
      <c r="H19">
        <v>0</v>
      </c>
      <c r="I19" s="24" t="str">
        <f t="shared" si="2"/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422</v>
      </c>
      <c r="Q19" t="s">
        <v>422</v>
      </c>
      <c r="R19" t="s">
        <v>422</v>
      </c>
      <c r="S19" t="s">
        <v>422</v>
      </c>
      <c r="T19" t="s">
        <v>422</v>
      </c>
      <c r="U19" t="s">
        <v>422</v>
      </c>
      <c r="V19" t="s">
        <v>422</v>
      </c>
      <c r="W19" t="s">
        <v>422</v>
      </c>
      <c r="X19" t="s">
        <v>422</v>
      </c>
      <c r="Y19" t="s">
        <v>422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83"/>
      <c r="B20" s="3" t="s">
        <v>135</v>
      </c>
      <c r="C20" s="4" t="s">
        <v>433</v>
      </c>
      <c r="D20" s="2" t="s">
        <v>427</v>
      </c>
      <c r="E20" s="9">
        <v>0</v>
      </c>
      <c r="F20" s="13">
        <v>0</v>
      </c>
      <c r="G20" s="13" t="s">
        <v>428</v>
      </c>
      <c r="H20">
        <v>0</v>
      </c>
      <c r="I20" s="24" t="str">
        <f>B21</f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422</v>
      </c>
      <c r="Q20" t="s">
        <v>422</v>
      </c>
      <c r="R20" t="s">
        <v>422</v>
      </c>
      <c r="S20" t="s">
        <v>422</v>
      </c>
      <c r="T20" t="s">
        <v>422</v>
      </c>
      <c r="U20" t="s">
        <v>422</v>
      </c>
      <c r="V20" t="s">
        <v>422</v>
      </c>
      <c r="W20" t="s">
        <v>422</v>
      </c>
      <c r="X20" t="s">
        <v>422</v>
      </c>
      <c r="Y20" t="s">
        <v>422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s="66" customFormat="1" x14ac:dyDescent="0.3">
      <c r="A21" s="83"/>
      <c r="B21" s="62" t="s">
        <v>134</v>
      </c>
      <c r="C21" s="63" t="s">
        <v>171</v>
      </c>
      <c r="D21" s="54" t="s">
        <v>401</v>
      </c>
      <c r="E21" s="9">
        <v>0</v>
      </c>
      <c r="F21" s="64">
        <v>0</v>
      </c>
      <c r="G21" s="64" t="s">
        <v>417</v>
      </c>
      <c r="H21">
        <v>0</v>
      </c>
      <c r="I21" s="65" t="str">
        <f>B37</f>
        <v>Reactant5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 t="s">
        <v>422</v>
      </c>
      <c r="Q21" s="66" t="s">
        <v>422</v>
      </c>
      <c r="R21" s="66" t="s">
        <v>422</v>
      </c>
      <c r="S21" s="66" t="s">
        <v>422</v>
      </c>
      <c r="T21" s="66" t="s">
        <v>422</v>
      </c>
      <c r="U21" s="66" t="s">
        <v>422</v>
      </c>
      <c r="V21" s="66" t="s">
        <v>422</v>
      </c>
      <c r="W21" s="66" t="s">
        <v>422</v>
      </c>
      <c r="X21" s="66" t="s">
        <v>422</v>
      </c>
      <c r="Y21" s="66" t="s">
        <v>422</v>
      </c>
      <c r="Z21" s="66" t="s">
        <v>422</v>
      </c>
      <c r="AA21" s="66" t="s">
        <v>422</v>
      </c>
      <c r="AB21" s="66" t="s">
        <v>422</v>
      </c>
      <c r="AC21" s="66" t="s">
        <v>422</v>
      </c>
      <c r="AD21" s="66" t="s">
        <v>422</v>
      </c>
      <c r="AE21" s="66" t="s">
        <v>422</v>
      </c>
      <c r="AF21" s="66" t="s">
        <v>422</v>
      </c>
      <c r="AG21" s="66" t="s">
        <v>422</v>
      </c>
      <c r="AH21" s="66" t="s">
        <v>422</v>
      </c>
      <c r="AI21" s="66" t="s">
        <v>422</v>
      </c>
      <c r="AJ21" s="66" t="s">
        <v>422</v>
      </c>
      <c r="AK21" s="66" t="s">
        <v>422</v>
      </c>
      <c r="AL21" s="66" t="s">
        <v>422</v>
      </c>
      <c r="AM21" s="66" t="s">
        <v>422</v>
      </c>
      <c r="AN21" s="66" t="s">
        <v>422</v>
      </c>
      <c r="AO21" s="66" t="s">
        <v>422</v>
      </c>
      <c r="AP21" s="66" t="s">
        <v>422</v>
      </c>
      <c r="AQ21" s="66" t="s">
        <v>422</v>
      </c>
      <c r="AR21" s="66" t="s">
        <v>422</v>
      </c>
      <c r="AS21" s="66" t="s">
        <v>422</v>
      </c>
      <c r="AT21" s="56" t="s">
        <v>422</v>
      </c>
      <c r="AU21" s="56" t="s">
        <v>422</v>
      </c>
      <c r="AV21" s="56" t="s">
        <v>422</v>
      </c>
      <c r="AW21" s="56" t="s">
        <v>422</v>
      </c>
      <c r="AX21" s="56" t="s">
        <v>422</v>
      </c>
      <c r="AY21" s="56" t="s">
        <v>422</v>
      </c>
      <c r="AZ21" s="56" t="s">
        <v>422</v>
      </c>
      <c r="BA21" s="56" t="s">
        <v>422</v>
      </c>
      <c r="BB21" s="56" t="s">
        <v>422</v>
      </c>
      <c r="BC21" s="56" t="s">
        <v>422</v>
      </c>
      <c r="BD21" s="56" t="s">
        <v>422</v>
      </c>
      <c r="BE21" s="56" t="s">
        <v>422</v>
      </c>
      <c r="BF21" s="56" t="s">
        <v>422</v>
      </c>
      <c r="BG21" s="56" t="s">
        <v>422</v>
      </c>
      <c r="BH21" s="56" t="s">
        <v>422</v>
      </c>
      <c r="BI21" s="56" t="s">
        <v>422</v>
      </c>
      <c r="BJ21" s="56" t="s">
        <v>422</v>
      </c>
      <c r="BK21" s="56" t="s">
        <v>422</v>
      </c>
      <c r="BL21" s="56" t="s">
        <v>422</v>
      </c>
      <c r="BM21" s="56" t="s">
        <v>422</v>
      </c>
      <c r="BN21" s="56" t="s">
        <v>422</v>
      </c>
      <c r="BO21" s="56" t="s">
        <v>422</v>
      </c>
      <c r="BP21" s="56" t="s">
        <v>422</v>
      </c>
      <c r="BQ21" s="56" t="s">
        <v>422</v>
      </c>
      <c r="BR21" s="56" t="s">
        <v>422</v>
      </c>
      <c r="BS21" s="56" t="s">
        <v>422</v>
      </c>
      <c r="BT21" s="56" t="s">
        <v>422</v>
      </c>
      <c r="BU21" s="56" t="s">
        <v>422</v>
      </c>
      <c r="BV21" s="56" t="s">
        <v>422</v>
      </c>
      <c r="BW21" s="56" t="s">
        <v>422</v>
      </c>
      <c r="BX21" s="55" t="s">
        <v>422</v>
      </c>
      <c r="BY21" s="55" t="s">
        <v>422</v>
      </c>
      <c r="BZ21" s="55" t="s">
        <v>422</v>
      </c>
      <c r="CA21" s="55" t="s">
        <v>422</v>
      </c>
      <c r="CB21" s="55" t="s">
        <v>422</v>
      </c>
      <c r="CC21" s="55" t="s">
        <v>422</v>
      </c>
      <c r="CD21" s="55" t="s">
        <v>422</v>
      </c>
      <c r="CE21" s="55" t="s">
        <v>422</v>
      </c>
      <c r="CF21" s="55" t="s">
        <v>422</v>
      </c>
      <c r="CG21" s="55" t="s">
        <v>422</v>
      </c>
      <c r="CH21" s="66" t="s">
        <v>422</v>
      </c>
      <c r="CI21" s="66" t="s">
        <v>422</v>
      </c>
      <c r="CJ21" s="66" t="s">
        <v>422</v>
      </c>
      <c r="CK21" s="66" t="s">
        <v>422</v>
      </c>
      <c r="CL21" s="66" t="s">
        <v>422</v>
      </c>
      <c r="CM21" s="66" t="s">
        <v>422</v>
      </c>
      <c r="CN21" s="66" t="s">
        <v>422</v>
      </c>
      <c r="CO21" s="66" t="s">
        <v>422</v>
      </c>
      <c r="CP21" s="66" t="s">
        <v>422</v>
      </c>
      <c r="CQ21" s="66" t="s">
        <v>422</v>
      </c>
      <c r="CR21" s="66" t="s">
        <v>422</v>
      </c>
      <c r="CS21" s="66" t="s">
        <v>422</v>
      </c>
      <c r="CT21" s="66" t="s">
        <v>422</v>
      </c>
      <c r="CU21" s="66" t="s">
        <v>422</v>
      </c>
      <c r="CV21" s="66" t="s">
        <v>422</v>
      </c>
      <c r="CW21" s="66" t="s">
        <v>422</v>
      </c>
      <c r="CX21" s="66" t="s">
        <v>422</v>
      </c>
      <c r="CY21" s="66" t="s">
        <v>422</v>
      </c>
      <c r="CZ21" s="66" t="s">
        <v>422</v>
      </c>
      <c r="DA21" s="66" t="s">
        <v>422</v>
      </c>
      <c r="DB21" s="66" t="s">
        <v>422</v>
      </c>
      <c r="DC21" s="66" t="s">
        <v>422</v>
      </c>
      <c r="DD21" s="66" t="s">
        <v>422</v>
      </c>
      <c r="DE21" s="66" t="s">
        <v>422</v>
      </c>
      <c r="DF21" s="66" t="s">
        <v>422</v>
      </c>
      <c r="DG21" s="66" t="s">
        <v>422</v>
      </c>
      <c r="DH21" s="66" t="s">
        <v>422</v>
      </c>
      <c r="DI21" s="66" t="s">
        <v>422</v>
      </c>
      <c r="DJ21" s="66" t="s">
        <v>422</v>
      </c>
      <c r="DK21" s="66" t="s">
        <v>422</v>
      </c>
      <c r="DL21" s="66" t="s">
        <v>422</v>
      </c>
      <c r="DM21" s="66" t="s">
        <v>422</v>
      </c>
      <c r="DN21" s="66" t="s">
        <v>422</v>
      </c>
      <c r="DO21" s="66" t="s">
        <v>422</v>
      </c>
      <c r="DP21" s="66" t="s">
        <v>422</v>
      </c>
      <c r="DQ21" s="66" t="s">
        <v>422</v>
      </c>
      <c r="DR21" s="66" t="s">
        <v>422</v>
      </c>
      <c r="DS21" s="66" t="s">
        <v>422</v>
      </c>
      <c r="DT21" s="66" t="s">
        <v>422</v>
      </c>
      <c r="DU21" s="66" t="s">
        <v>422</v>
      </c>
      <c r="DV21" s="66" t="s">
        <v>422</v>
      </c>
      <c r="DW21" s="66" t="s">
        <v>422</v>
      </c>
      <c r="DX21" s="66" t="s">
        <v>422</v>
      </c>
      <c r="DY21" s="66" t="s">
        <v>422</v>
      </c>
      <c r="DZ21" s="66" t="s">
        <v>422</v>
      </c>
      <c r="EA21" s="66" t="s">
        <v>422</v>
      </c>
      <c r="EB21" s="66" t="s">
        <v>422</v>
      </c>
      <c r="EC21" s="66" t="s">
        <v>422</v>
      </c>
      <c r="ED21" s="66" t="s">
        <v>422</v>
      </c>
      <c r="EE21" s="66" t="s">
        <v>422</v>
      </c>
      <c r="EF21" s="66" t="s">
        <v>422</v>
      </c>
      <c r="EG21" s="66" t="s">
        <v>422</v>
      </c>
      <c r="EH21" s="66" t="s">
        <v>422</v>
      </c>
      <c r="EI21" s="66" t="s">
        <v>422</v>
      </c>
      <c r="EJ21" s="66" t="s">
        <v>422</v>
      </c>
      <c r="EK21" s="66" t="s">
        <v>422</v>
      </c>
      <c r="EL21" s="66" t="s">
        <v>422</v>
      </c>
      <c r="EM21" s="66" t="s">
        <v>422</v>
      </c>
      <c r="EN21" s="66" t="s">
        <v>422</v>
      </c>
      <c r="EO21" s="66" t="s">
        <v>422</v>
      </c>
      <c r="EP21" s="66" t="s">
        <v>422</v>
      </c>
      <c r="EQ21" s="66" t="s">
        <v>422</v>
      </c>
      <c r="ER21" s="66" t="s">
        <v>422</v>
      </c>
      <c r="ES21" s="66" t="s">
        <v>422</v>
      </c>
      <c r="ET21" s="66" t="s">
        <v>422</v>
      </c>
      <c r="EU21" s="66" t="s">
        <v>422</v>
      </c>
      <c r="EV21" s="66" t="s">
        <v>422</v>
      </c>
      <c r="EW21" s="66" t="s">
        <v>422</v>
      </c>
      <c r="EX21" s="66" t="s">
        <v>422</v>
      </c>
      <c r="EY21" s="66" t="s">
        <v>422</v>
      </c>
      <c r="EZ21" s="66" t="s">
        <v>422</v>
      </c>
      <c r="FA21" s="66" t="s">
        <v>422</v>
      </c>
      <c r="FB21" s="66" t="s">
        <v>422</v>
      </c>
      <c r="FC21" s="66" t="s">
        <v>422</v>
      </c>
      <c r="FD21" s="66" t="s">
        <v>422</v>
      </c>
      <c r="FE21" s="66" t="s">
        <v>422</v>
      </c>
      <c r="FF21" s="66" t="s">
        <v>422</v>
      </c>
      <c r="FG21" s="66" t="s">
        <v>422</v>
      </c>
      <c r="FH21" s="66" t="s">
        <v>422</v>
      </c>
      <c r="FI21" s="66" t="s">
        <v>422</v>
      </c>
      <c r="FJ21" s="66" t="s">
        <v>422</v>
      </c>
      <c r="FK21" s="66" t="s">
        <v>422</v>
      </c>
      <c r="FL21" s="66" t="s">
        <v>422</v>
      </c>
      <c r="FM21" s="66" t="s">
        <v>422</v>
      </c>
      <c r="FN21" s="66" t="s">
        <v>422</v>
      </c>
      <c r="FO21" s="66" t="s">
        <v>422</v>
      </c>
      <c r="FP21" s="66" t="s">
        <v>422</v>
      </c>
      <c r="FQ21" s="66" t="s">
        <v>422</v>
      </c>
      <c r="FR21" s="66" t="s">
        <v>422</v>
      </c>
      <c r="FS21" s="66" t="s">
        <v>422</v>
      </c>
    </row>
    <row r="22" spans="1:175" s="66" customFormat="1" x14ac:dyDescent="0.3">
      <c r="A22" s="83"/>
      <c r="B22" s="62" t="s">
        <v>134</v>
      </c>
      <c r="C22" s="63" t="s">
        <v>171</v>
      </c>
      <c r="D22" s="54" t="s">
        <v>402</v>
      </c>
      <c r="E22" s="9">
        <v>0</v>
      </c>
      <c r="F22" s="64">
        <v>0</v>
      </c>
      <c r="G22" s="64" t="s">
        <v>418</v>
      </c>
      <c r="H22">
        <v>0</v>
      </c>
      <c r="I22" s="65" t="str">
        <f>B38</f>
        <v>Reactant6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 t="s">
        <v>422</v>
      </c>
      <c r="Q22" s="66" t="s">
        <v>422</v>
      </c>
      <c r="R22" s="66" t="s">
        <v>422</v>
      </c>
      <c r="S22" s="66" t="s">
        <v>422</v>
      </c>
      <c r="T22" s="66" t="s">
        <v>422</v>
      </c>
      <c r="U22" s="66" t="s">
        <v>422</v>
      </c>
      <c r="V22" s="66" t="s">
        <v>422</v>
      </c>
      <c r="W22" s="66" t="s">
        <v>422</v>
      </c>
      <c r="X22" s="66" t="s">
        <v>422</v>
      </c>
      <c r="Y22" s="66" t="s">
        <v>422</v>
      </c>
      <c r="Z22" s="66" t="s">
        <v>422</v>
      </c>
      <c r="AA22" s="66" t="s">
        <v>422</v>
      </c>
      <c r="AB22" s="66" t="s">
        <v>422</v>
      </c>
      <c r="AC22" s="66" t="s">
        <v>422</v>
      </c>
      <c r="AD22" s="66" t="s">
        <v>422</v>
      </c>
      <c r="AE22" s="66" t="s">
        <v>422</v>
      </c>
      <c r="AF22" s="66" t="s">
        <v>422</v>
      </c>
      <c r="AG22" s="66" t="s">
        <v>422</v>
      </c>
      <c r="AH22" s="66" t="s">
        <v>422</v>
      </c>
      <c r="AI22" s="66" t="s">
        <v>422</v>
      </c>
      <c r="AJ22" s="66" t="s">
        <v>422</v>
      </c>
      <c r="AK22" s="66" t="s">
        <v>422</v>
      </c>
      <c r="AL22" s="66" t="s">
        <v>422</v>
      </c>
      <c r="AM22" s="66" t="s">
        <v>422</v>
      </c>
      <c r="AN22" s="66" t="s">
        <v>422</v>
      </c>
      <c r="AO22" s="66" t="s">
        <v>422</v>
      </c>
      <c r="AP22" s="66" t="s">
        <v>422</v>
      </c>
      <c r="AQ22" s="66" t="s">
        <v>422</v>
      </c>
      <c r="AR22" s="66" t="s">
        <v>422</v>
      </c>
      <c r="AS22" s="66" t="s">
        <v>422</v>
      </c>
      <c r="AT22" s="56" t="s">
        <v>422</v>
      </c>
      <c r="AU22" s="56" t="s">
        <v>422</v>
      </c>
      <c r="AV22" s="56" t="s">
        <v>422</v>
      </c>
      <c r="AW22" s="56" t="s">
        <v>422</v>
      </c>
      <c r="AX22" s="56" t="s">
        <v>422</v>
      </c>
      <c r="AY22" s="56" t="s">
        <v>422</v>
      </c>
      <c r="AZ22" s="56" t="s">
        <v>422</v>
      </c>
      <c r="BA22" s="56" t="s">
        <v>422</v>
      </c>
      <c r="BB22" s="56" t="s">
        <v>422</v>
      </c>
      <c r="BC22" s="56" t="s">
        <v>422</v>
      </c>
      <c r="BD22" s="56" t="s">
        <v>422</v>
      </c>
      <c r="BE22" s="56" t="s">
        <v>422</v>
      </c>
      <c r="BF22" s="56" t="s">
        <v>422</v>
      </c>
      <c r="BG22" s="56" t="s">
        <v>422</v>
      </c>
      <c r="BH22" s="56" t="s">
        <v>422</v>
      </c>
      <c r="BI22" s="56" t="s">
        <v>422</v>
      </c>
      <c r="BJ22" s="56" t="s">
        <v>422</v>
      </c>
      <c r="BK22" s="56" t="s">
        <v>422</v>
      </c>
      <c r="BL22" s="56" t="s">
        <v>422</v>
      </c>
      <c r="BM22" s="56" t="s">
        <v>422</v>
      </c>
      <c r="BN22" s="56" t="s">
        <v>422</v>
      </c>
      <c r="BO22" s="56" t="s">
        <v>422</v>
      </c>
      <c r="BP22" s="56" t="s">
        <v>422</v>
      </c>
      <c r="BQ22" s="56" t="s">
        <v>422</v>
      </c>
      <c r="BR22" s="56" t="s">
        <v>422</v>
      </c>
      <c r="BS22" s="56" t="s">
        <v>422</v>
      </c>
      <c r="BT22" s="56" t="s">
        <v>422</v>
      </c>
      <c r="BU22" s="56" t="s">
        <v>422</v>
      </c>
      <c r="BV22" s="56" t="s">
        <v>422</v>
      </c>
      <c r="BW22" s="56" t="s">
        <v>422</v>
      </c>
      <c r="BX22" s="55" t="s">
        <v>422</v>
      </c>
      <c r="BY22" s="55" t="s">
        <v>422</v>
      </c>
      <c r="BZ22" s="55" t="s">
        <v>422</v>
      </c>
      <c r="CA22" s="55" t="s">
        <v>422</v>
      </c>
      <c r="CB22" s="55" t="s">
        <v>422</v>
      </c>
      <c r="CC22" s="55" t="s">
        <v>422</v>
      </c>
      <c r="CD22" s="55" t="s">
        <v>422</v>
      </c>
      <c r="CE22" s="55" t="s">
        <v>422</v>
      </c>
      <c r="CF22" s="55" t="s">
        <v>422</v>
      </c>
      <c r="CG22" s="55" t="s">
        <v>422</v>
      </c>
      <c r="CH22" s="66" t="s">
        <v>422</v>
      </c>
      <c r="CI22" s="66" t="s">
        <v>422</v>
      </c>
      <c r="CJ22" s="66" t="s">
        <v>422</v>
      </c>
      <c r="CK22" s="66" t="s">
        <v>422</v>
      </c>
      <c r="CL22" s="66" t="s">
        <v>422</v>
      </c>
      <c r="CM22" s="66" t="s">
        <v>422</v>
      </c>
      <c r="CN22" s="66" t="s">
        <v>422</v>
      </c>
      <c r="CO22" s="66" t="s">
        <v>422</v>
      </c>
      <c r="CP22" s="66" t="s">
        <v>422</v>
      </c>
      <c r="CQ22" s="66" t="s">
        <v>422</v>
      </c>
      <c r="CR22" s="66" t="s">
        <v>422</v>
      </c>
      <c r="CS22" s="66" t="s">
        <v>422</v>
      </c>
      <c r="CT22" s="66" t="s">
        <v>422</v>
      </c>
      <c r="CU22" s="66" t="s">
        <v>422</v>
      </c>
      <c r="CV22" s="66" t="s">
        <v>422</v>
      </c>
      <c r="CW22" s="66" t="s">
        <v>422</v>
      </c>
      <c r="CX22" s="66" t="s">
        <v>422</v>
      </c>
      <c r="CY22" s="66" t="s">
        <v>422</v>
      </c>
      <c r="CZ22" s="66" t="s">
        <v>422</v>
      </c>
      <c r="DA22" s="66" t="s">
        <v>422</v>
      </c>
      <c r="DB22" s="66" t="s">
        <v>422</v>
      </c>
      <c r="DC22" s="66" t="s">
        <v>422</v>
      </c>
      <c r="DD22" s="66" t="s">
        <v>422</v>
      </c>
      <c r="DE22" s="66" t="s">
        <v>422</v>
      </c>
      <c r="DF22" s="66" t="s">
        <v>422</v>
      </c>
      <c r="DG22" s="66" t="s">
        <v>422</v>
      </c>
      <c r="DH22" s="66" t="s">
        <v>422</v>
      </c>
      <c r="DI22" s="66" t="s">
        <v>422</v>
      </c>
      <c r="DJ22" s="66" t="s">
        <v>422</v>
      </c>
      <c r="DK22" s="66" t="s">
        <v>422</v>
      </c>
      <c r="DL22" s="66" t="s">
        <v>422</v>
      </c>
      <c r="DM22" s="66" t="s">
        <v>422</v>
      </c>
      <c r="DN22" s="66" t="s">
        <v>422</v>
      </c>
      <c r="DO22" s="66" t="s">
        <v>422</v>
      </c>
      <c r="DP22" s="66" t="s">
        <v>422</v>
      </c>
      <c r="DQ22" s="66" t="s">
        <v>422</v>
      </c>
      <c r="DR22" s="66" t="s">
        <v>422</v>
      </c>
      <c r="DS22" s="66" t="s">
        <v>422</v>
      </c>
      <c r="DT22" s="66" t="s">
        <v>422</v>
      </c>
      <c r="DU22" s="66" t="s">
        <v>422</v>
      </c>
      <c r="DV22" s="66" t="s">
        <v>422</v>
      </c>
      <c r="DW22" s="66" t="s">
        <v>422</v>
      </c>
      <c r="DX22" s="66" t="s">
        <v>422</v>
      </c>
      <c r="DY22" s="66" t="s">
        <v>422</v>
      </c>
      <c r="DZ22" s="66" t="s">
        <v>422</v>
      </c>
      <c r="EA22" s="66" t="s">
        <v>422</v>
      </c>
      <c r="EB22" s="66" t="s">
        <v>422</v>
      </c>
      <c r="EC22" s="66" t="s">
        <v>422</v>
      </c>
      <c r="ED22" s="66" t="s">
        <v>422</v>
      </c>
      <c r="EE22" s="66" t="s">
        <v>422</v>
      </c>
      <c r="EF22" s="66" t="s">
        <v>422</v>
      </c>
      <c r="EG22" s="66" t="s">
        <v>422</v>
      </c>
      <c r="EH22" s="66" t="s">
        <v>422</v>
      </c>
      <c r="EI22" s="66" t="s">
        <v>422</v>
      </c>
      <c r="EJ22" s="66" t="s">
        <v>422</v>
      </c>
      <c r="EK22" s="66" t="s">
        <v>422</v>
      </c>
      <c r="EL22" s="66" t="s">
        <v>422</v>
      </c>
      <c r="EM22" s="66" t="s">
        <v>422</v>
      </c>
      <c r="EN22" s="66" t="s">
        <v>422</v>
      </c>
      <c r="EO22" s="66" t="s">
        <v>422</v>
      </c>
      <c r="EP22" s="66" t="s">
        <v>422</v>
      </c>
      <c r="EQ22" s="66" t="s">
        <v>422</v>
      </c>
      <c r="ER22" s="66" t="s">
        <v>422</v>
      </c>
      <c r="ES22" s="66" t="s">
        <v>422</v>
      </c>
      <c r="ET22" s="66" t="s">
        <v>422</v>
      </c>
      <c r="EU22" s="66" t="s">
        <v>422</v>
      </c>
      <c r="EV22" s="66" t="s">
        <v>422</v>
      </c>
      <c r="EW22" s="66" t="s">
        <v>422</v>
      </c>
      <c r="EX22" s="66" t="s">
        <v>422</v>
      </c>
      <c r="EY22" s="66" t="s">
        <v>422</v>
      </c>
      <c r="EZ22" s="66" t="s">
        <v>422</v>
      </c>
      <c r="FA22" s="66" t="s">
        <v>422</v>
      </c>
      <c r="FB22" s="66" t="s">
        <v>422</v>
      </c>
      <c r="FC22" s="66" t="s">
        <v>422</v>
      </c>
      <c r="FD22" s="66" t="s">
        <v>422</v>
      </c>
      <c r="FE22" s="66" t="s">
        <v>422</v>
      </c>
      <c r="FF22" s="66" t="s">
        <v>422</v>
      </c>
      <c r="FG22" s="66" t="s">
        <v>422</v>
      </c>
      <c r="FH22" s="66" t="s">
        <v>422</v>
      </c>
      <c r="FI22" s="66" t="s">
        <v>422</v>
      </c>
      <c r="FJ22" s="66" t="s">
        <v>422</v>
      </c>
      <c r="FK22" s="66" t="s">
        <v>422</v>
      </c>
      <c r="FL22" s="66" t="s">
        <v>422</v>
      </c>
      <c r="FM22" s="66" t="s">
        <v>422</v>
      </c>
      <c r="FN22" s="66" t="s">
        <v>422</v>
      </c>
      <c r="FO22" s="66" t="s">
        <v>422</v>
      </c>
      <c r="FP22" s="66" t="s">
        <v>422</v>
      </c>
      <c r="FQ22" s="66" t="s">
        <v>422</v>
      </c>
      <c r="FR22" s="66" t="s">
        <v>422</v>
      </c>
      <c r="FS22" s="66" t="s">
        <v>422</v>
      </c>
    </row>
    <row r="23" spans="1:175" s="66" customFormat="1" x14ac:dyDescent="0.3">
      <c r="A23" s="83"/>
      <c r="B23" s="62" t="s">
        <v>134</v>
      </c>
      <c r="C23" s="63" t="s">
        <v>171</v>
      </c>
      <c r="D23" s="54" t="s">
        <v>403</v>
      </c>
      <c r="E23" s="9">
        <v>0</v>
      </c>
      <c r="F23" s="64">
        <v>0</v>
      </c>
      <c r="G23" s="64" t="s">
        <v>419</v>
      </c>
      <c r="H23">
        <v>0</v>
      </c>
      <c r="I23" s="65" t="str">
        <f t="shared" ref="I23:I24" si="3">B39</f>
        <v>Reactant7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 t="s">
        <v>422</v>
      </c>
      <c r="Q23" s="66" t="s">
        <v>422</v>
      </c>
      <c r="R23" s="66" t="s">
        <v>422</v>
      </c>
      <c r="S23" s="66" t="s">
        <v>422</v>
      </c>
      <c r="T23" s="66" t="s">
        <v>422</v>
      </c>
      <c r="U23" s="66" t="s">
        <v>422</v>
      </c>
      <c r="V23" s="66" t="s">
        <v>422</v>
      </c>
      <c r="W23" s="66" t="s">
        <v>422</v>
      </c>
      <c r="X23" s="66" t="s">
        <v>422</v>
      </c>
      <c r="Y23" s="66" t="s">
        <v>422</v>
      </c>
      <c r="Z23" s="66" t="s">
        <v>422</v>
      </c>
      <c r="AA23" s="66" t="s">
        <v>422</v>
      </c>
      <c r="AB23" s="66" t="s">
        <v>422</v>
      </c>
      <c r="AC23" s="66" t="s">
        <v>422</v>
      </c>
      <c r="AD23" s="66" t="s">
        <v>422</v>
      </c>
      <c r="AE23" s="66" t="s">
        <v>422</v>
      </c>
      <c r="AF23" s="66" t="s">
        <v>422</v>
      </c>
      <c r="AG23" s="66" t="s">
        <v>422</v>
      </c>
      <c r="AH23" s="66" t="s">
        <v>422</v>
      </c>
      <c r="AI23" s="66" t="s">
        <v>422</v>
      </c>
      <c r="AJ23" s="66" t="s">
        <v>422</v>
      </c>
      <c r="AK23" s="66" t="s">
        <v>422</v>
      </c>
      <c r="AL23" s="66" t="s">
        <v>422</v>
      </c>
      <c r="AM23" s="66" t="s">
        <v>422</v>
      </c>
      <c r="AN23" s="66" t="s">
        <v>422</v>
      </c>
      <c r="AO23" s="66" t="s">
        <v>422</v>
      </c>
      <c r="AP23" s="66" t="s">
        <v>422</v>
      </c>
      <c r="AQ23" s="66" t="s">
        <v>422</v>
      </c>
      <c r="AR23" s="66" t="s">
        <v>422</v>
      </c>
      <c r="AS23" s="66" t="s">
        <v>422</v>
      </c>
      <c r="AT23" s="56" t="s">
        <v>422</v>
      </c>
      <c r="AU23" s="56" t="s">
        <v>422</v>
      </c>
      <c r="AV23" s="56" t="s">
        <v>422</v>
      </c>
      <c r="AW23" s="56" t="s">
        <v>422</v>
      </c>
      <c r="AX23" s="56" t="s">
        <v>422</v>
      </c>
      <c r="AY23" s="56" t="s">
        <v>422</v>
      </c>
      <c r="AZ23" s="56" t="s">
        <v>422</v>
      </c>
      <c r="BA23" s="56" t="s">
        <v>422</v>
      </c>
      <c r="BB23" s="56" t="s">
        <v>422</v>
      </c>
      <c r="BC23" s="56" t="s">
        <v>422</v>
      </c>
      <c r="BD23" s="56" t="s">
        <v>422</v>
      </c>
      <c r="BE23" s="56" t="s">
        <v>422</v>
      </c>
      <c r="BF23" s="56" t="s">
        <v>422</v>
      </c>
      <c r="BG23" s="56" t="s">
        <v>422</v>
      </c>
      <c r="BH23" s="56" t="s">
        <v>422</v>
      </c>
      <c r="BI23" s="56" t="s">
        <v>422</v>
      </c>
      <c r="BJ23" s="56" t="s">
        <v>422</v>
      </c>
      <c r="BK23" s="56" t="s">
        <v>422</v>
      </c>
      <c r="BL23" s="56" t="s">
        <v>422</v>
      </c>
      <c r="BM23" s="56" t="s">
        <v>422</v>
      </c>
      <c r="BN23" s="56" t="s">
        <v>422</v>
      </c>
      <c r="BO23" s="56" t="s">
        <v>422</v>
      </c>
      <c r="BP23" s="56" t="s">
        <v>422</v>
      </c>
      <c r="BQ23" s="56" t="s">
        <v>422</v>
      </c>
      <c r="BR23" s="56" t="s">
        <v>422</v>
      </c>
      <c r="BS23" s="56" t="s">
        <v>422</v>
      </c>
      <c r="BT23" s="56" t="s">
        <v>422</v>
      </c>
      <c r="BU23" s="56" t="s">
        <v>422</v>
      </c>
      <c r="BV23" s="56" t="s">
        <v>422</v>
      </c>
      <c r="BW23" s="56" t="s">
        <v>422</v>
      </c>
      <c r="BX23" s="55" t="s">
        <v>422</v>
      </c>
      <c r="BY23" s="55" t="s">
        <v>422</v>
      </c>
      <c r="BZ23" s="55" t="s">
        <v>422</v>
      </c>
      <c r="CA23" s="55" t="s">
        <v>422</v>
      </c>
      <c r="CB23" s="55" t="s">
        <v>422</v>
      </c>
      <c r="CC23" s="55" t="s">
        <v>422</v>
      </c>
      <c r="CD23" s="55" t="s">
        <v>422</v>
      </c>
      <c r="CE23" s="55" t="s">
        <v>422</v>
      </c>
      <c r="CF23" s="55" t="s">
        <v>422</v>
      </c>
      <c r="CG23" s="55" t="s">
        <v>422</v>
      </c>
      <c r="CH23" s="66" t="s">
        <v>422</v>
      </c>
      <c r="CI23" s="66" t="s">
        <v>422</v>
      </c>
      <c r="CJ23" s="66" t="s">
        <v>422</v>
      </c>
      <c r="CK23" s="66" t="s">
        <v>422</v>
      </c>
      <c r="CL23" s="66" t="s">
        <v>422</v>
      </c>
      <c r="CM23" s="66" t="s">
        <v>422</v>
      </c>
      <c r="CN23" s="66" t="s">
        <v>422</v>
      </c>
      <c r="CO23" s="66" t="s">
        <v>422</v>
      </c>
      <c r="CP23" s="66" t="s">
        <v>422</v>
      </c>
      <c r="CQ23" s="66" t="s">
        <v>422</v>
      </c>
      <c r="CR23" s="66" t="s">
        <v>422</v>
      </c>
      <c r="CS23" s="66" t="s">
        <v>422</v>
      </c>
      <c r="CT23" s="66" t="s">
        <v>422</v>
      </c>
      <c r="CU23" s="66" t="s">
        <v>422</v>
      </c>
      <c r="CV23" s="66" t="s">
        <v>422</v>
      </c>
      <c r="CW23" s="66" t="s">
        <v>422</v>
      </c>
      <c r="CX23" s="66" t="s">
        <v>422</v>
      </c>
      <c r="CY23" s="66" t="s">
        <v>422</v>
      </c>
      <c r="CZ23" s="66" t="s">
        <v>422</v>
      </c>
      <c r="DA23" s="66" t="s">
        <v>422</v>
      </c>
      <c r="DB23" s="66" t="s">
        <v>422</v>
      </c>
      <c r="DC23" s="66" t="s">
        <v>422</v>
      </c>
      <c r="DD23" s="66" t="s">
        <v>422</v>
      </c>
      <c r="DE23" s="66" t="s">
        <v>422</v>
      </c>
      <c r="DF23" s="66" t="s">
        <v>422</v>
      </c>
      <c r="DG23" s="66" t="s">
        <v>422</v>
      </c>
      <c r="DH23" s="66" t="s">
        <v>422</v>
      </c>
      <c r="DI23" s="66" t="s">
        <v>422</v>
      </c>
      <c r="DJ23" s="66" t="s">
        <v>422</v>
      </c>
      <c r="DK23" s="66" t="s">
        <v>422</v>
      </c>
      <c r="DL23" s="66" t="s">
        <v>422</v>
      </c>
      <c r="DM23" s="66" t="s">
        <v>422</v>
      </c>
      <c r="DN23" s="66" t="s">
        <v>422</v>
      </c>
      <c r="DO23" s="66" t="s">
        <v>422</v>
      </c>
      <c r="DP23" s="66" t="s">
        <v>422</v>
      </c>
      <c r="DQ23" s="66" t="s">
        <v>422</v>
      </c>
      <c r="DR23" s="66" t="s">
        <v>422</v>
      </c>
      <c r="DS23" s="66" t="s">
        <v>422</v>
      </c>
      <c r="DT23" s="66" t="s">
        <v>422</v>
      </c>
      <c r="DU23" s="66" t="s">
        <v>422</v>
      </c>
      <c r="DV23" s="66" t="s">
        <v>422</v>
      </c>
      <c r="DW23" s="66" t="s">
        <v>422</v>
      </c>
      <c r="DX23" s="66" t="s">
        <v>422</v>
      </c>
      <c r="DY23" s="66" t="s">
        <v>422</v>
      </c>
      <c r="DZ23" s="66" t="s">
        <v>422</v>
      </c>
      <c r="EA23" s="66" t="s">
        <v>422</v>
      </c>
      <c r="EB23" s="66" t="s">
        <v>422</v>
      </c>
      <c r="EC23" s="66" t="s">
        <v>422</v>
      </c>
      <c r="ED23" s="66" t="s">
        <v>422</v>
      </c>
      <c r="EE23" s="66" t="s">
        <v>422</v>
      </c>
      <c r="EF23" s="66" t="s">
        <v>422</v>
      </c>
      <c r="EG23" s="66" t="s">
        <v>422</v>
      </c>
      <c r="EH23" s="66" t="s">
        <v>422</v>
      </c>
      <c r="EI23" s="66" t="s">
        <v>422</v>
      </c>
      <c r="EJ23" s="66" t="s">
        <v>422</v>
      </c>
      <c r="EK23" s="66" t="s">
        <v>422</v>
      </c>
      <c r="EL23" s="66" t="s">
        <v>422</v>
      </c>
      <c r="EM23" s="66" t="s">
        <v>422</v>
      </c>
      <c r="EN23" s="66" t="s">
        <v>422</v>
      </c>
      <c r="EO23" s="66" t="s">
        <v>422</v>
      </c>
      <c r="EP23" s="66" t="s">
        <v>422</v>
      </c>
      <c r="EQ23" s="66" t="s">
        <v>422</v>
      </c>
      <c r="ER23" s="66" t="s">
        <v>422</v>
      </c>
      <c r="ES23" s="66" t="s">
        <v>422</v>
      </c>
      <c r="ET23" s="66" t="s">
        <v>422</v>
      </c>
      <c r="EU23" s="66" t="s">
        <v>422</v>
      </c>
      <c r="EV23" s="66" t="s">
        <v>422</v>
      </c>
      <c r="EW23" s="66" t="s">
        <v>422</v>
      </c>
      <c r="EX23" s="66" t="s">
        <v>422</v>
      </c>
      <c r="EY23" s="66" t="s">
        <v>422</v>
      </c>
      <c r="EZ23" s="66" t="s">
        <v>422</v>
      </c>
      <c r="FA23" s="66" t="s">
        <v>422</v>
      </c>
      <c r="FB23" s="66" t="s">
        <v>422</v>
      </c>
      <c r="FC23" s="66" t="s">
        <v>422</v>
      </c>
      <c r="FD23" s="66" t="s">
        <v>422</v>
      </c>
      <c r="FE23" s="66" t="s">
        <v>422</v>
      </c>
      <c r="FF23" s="66" t="s">
        <v>422</v>
      </c>
      <c r="FG23" s="66" t="s">
        <v>422</v>
      </c>
      <c r="FH23" s="66" t="s">
        <v>422</v>
      </c>
      <c r="FI23" s="66" t="s">
        <v>422</v>
      </c>
      <c r="FJ23" s="66" t="s">
        <v>422</v>
      </c>
      <c r="FK23" s="66" t="s">
        <v>422</v>
      </c>
      <c r="FL23" s="66" t="s">
        <v>422</v>
      </c>
      <c r="FM23" s="66" t="s">
        <v>422</v>
      </c>
      <c r="FN23" s="66" t="s">
        <v>422</v>
      </c>
      <c r="FO23" s="66" t="s">
        <v>422</v>
      </c>
      <c r="FP23" s="66" t="s">
        <v>422</v>
      </c>
      <c r="FQ23" s="66" t="s">
        <v>422</v>
      </c>
      <c r="FR23" s="66" t="s">
        <v>422</v>
      </c>
      <c r="FS23" s="66" t="s">
        <v>422</v>
      </c>
    </row>
    <row r="24" spans="1:175" s="66" customFormat="1" x14ac:dyDescent="0.3">
      <c r="A24" s="83"/>
      <c r="B24" s="62" t="s">
        <v>134</v>
      </c>
      <c r="C24" s="63" t="s">
        <v>171</v>
      </c>
      <c r="D24" s="54" t="s">
        <v>404</v>
      </c>
      <c r="E24" s="9">
        <v>0</v>
      </c>
      <c r="F24" s="64">
        <v>0</v>
      </c>
      <c r="G24" s="64" t="s">
        <v>420</v>
      </c>
      <c r="H24">
        <v>0</v>
      </c>
      <c r="I24" s="65" t="str">
        <f t="shared" si="3"/>
        <v>Reactant8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 t="s">
        <v>422</v>
      </c>
      <c r="Q24" s="66" t="s">
        <v>422</v>
      </c>
      <c r="R24" s="66" t="s">
        <v>422</v>
      </c>
      <c r="S24" s="66" t="s">
        <v>422</v>
      </c>
      <c r="T24" s="66" t="s">
        <v>422</v>
      </c>
      <c r="U24" s="66" t="s">
        <v>422</v>
      </c>
      <c r="V24" s="66" t="s">
        <v>422</v>
      </c>
      <c r="W24" s="66" t="s">
        <v>422</v>
      </c>
      <c r="X24" s="66" t="s">
        <v>422</v>
      </c>
      <c r="Y24" s="66" t="s">
        <v>422</v>
      </c>
      <c r="Z24" s="66" t="s">
        <v>422</v>
      </c>
      <c r="AA24" s="66" t="s">
        <v>422</v>
      </c>
      <c r="AB24" s="66" t="s">
        <v>422</v>
      </c>
      <c r="AC24" s="66" t="s">
        <v>422</v>
      </c>
      <c r="AD24" s="66" t="s">
        <v>422</v>
      </c>
      <c r="AE24" s="66" t="s">
        <v>422</v>
      </c>
      <c r="AF24" s="66" t="s">
        <v>422</v>
      </c>
      <c r="AG24" s="66" t="s">
        <v>422</v>
      </c>
      <c r="AH24" s="66" t="s">
        <v>422</v>
      </c>
      <c r="AI24" s="66" t="s">
        <v>422</v>
      </c>
      <c r="AJ24" s="66" t="s">
        <v>422</v>
      </c>
      <c r="AK24" s="66" t="s">
        <v>422</v>
      </c>
      <c r="AL24" s="66" t="s">
        <v>422</v>
      </c>
      <c r="AM24" s="66" t="s">
        <v>422</v>
      </c>
      <c r="AN24" s="66" t="s">
        <v>422</v>
      </c>
      <c r="AO24" s="66" t="s">
        <v>422</v>
      </c>
      <c r="AP24" s="66" t="s">
        <v>422</v>
      </c>
      <c r="AQ24" s="66" t="s">
        <v>422</v>
      </c>
      <c r="AR24" s="66" t="s">
        <v>422</v>
      </c>
      <c r="AS24" s="66" t="s">
        <v>422</v>
      </c>
      <c r="AT24" s="56" t="s">
        <v>422</v>
      </c>
      <c r="AU24" s="56" t="s">
        <v>422</v>
      </c>
      <c r="AV24" s="56" t="s">
        <v>422</v>
      </c>
      <c r="AW24" s="56" t="s">
        <v>422</v>
      </c>
      <c r="AX24" s="56" t="s">
        <v>422</v>
      </c>
      <c r="AY24" s="56" t="s">
        <v>422</v>
      </c>
      <c r="AZ24" s="56" t="s">
        <v>422</v>
      </c>
      <c r="BA24" s="56" t="s">
        <v>422</v>
      </c>
      <c r="BB24" s="56" t="s">
        <v>422</v>
      </c>
      <c r="BC24" s="56" t="s">
        <v>422</v>
      </c>
      <c r="BD24" s="56" t="s">
        <v>422</v>
      </c>
      <c r="BE24" s="56" t="s">
        <v>422</v>
      </c>
      <c r="BF24" s="56" t="s">
        <v>422</v>
      </c>
      <c r="BG24" s="56" t="s">
        <v>422</v>
      </c>
      <c r="BH24" s="56" t="s">
        <v>422</v>
      </c>
      <c r="BI24" s="56" t="s">
        <v>422</v>
      </c>
      <c r="BJ24" s="56" t="s">
        <v>422</v>
      </c>
      <c r="BK24" s="56" t="s">
        <v>422</v>
      </c>
      <c r="BL24" s="56" t="s">
        <v>422</v>
      </c>
      <c r="BM24" s="56" t="s">
        <v>422</v>
      </c>
      <c r="BN24" s="56" t="s">
        <v>422</v>
      </c>
      <c r="BO24" s="56" t="s">
        <v>422</v>
      </c>
      <c r="BP24" s="56" t="s">
        <v>422</v>
      </c>
      <c r="BQ24" s="56" t="s">
        <v>422</v>
      </c>
      <c r="BR24" s="56" t="s">
        <v>422</v>
      </c>
      <c r="BS24" s="56" t="s">
        <v>422</v>
      </c>
      <c r="BT24" s="56" t="s">
        <v>422</v>
      </c>
      <c r="BU24" s="56" t="s">
        <v>422</v>
      </c>
      <c r="BV24" s="56" t="s">
        <v>422</v>
      </c>
      <c r="BW24" s="56" t="s">
        <v>422</v>
      </c>
      <c r="BX24" s="55" t="s">
        <v>422</v>
      </c>
      <c r="BY24" s="55" t="s">
        <v>422</v>
      </c>
      <c r="BZ24" s="55" t="s">
        <v>422</v>
      </c>
      <c r="CA24" s="55" t="s">
        <v>422</v>
      </c>
      <c r="CB24" s="55" t="s">
        <v>422</v>
      </c>
      <c r="CC24" s="55" t="s">
        <v>422</v>
      </c>
      <c r="CD24" s="55" t="s">
        <v>422</v>
      </c>
      <c r="CE24" s="55" t="s">
        <v>422</v>
      </c>
      <c r="CF24" s="55" t="s">
        <v>422</v>
      </c>
      <c r="CG24" s="55" t="s">
        <v>422</v>
      </c>
      <c r="CH24" s="66" t="s">
        <v>422</v>
      </c>
      <c r="CI24" s="66" t="s">
        <v>422</v>
      </c>
      <c r="CJ24" s="66" t="s">
        <v>422</v>
      </c>
      <c r="CK24" s="66" t="s">
        <v>422</v>
      </c>
      <c r="CL24" s="66" t="s">
        <v>422</v>
      </c>
      <c r="CM24" s="66" t="s">
        <v>422</v>
      </c>
      <c r="CN24" s="66" t="s">
        <v>422</v>
      </c>
      <c r="CO24" s="66" t="s">
        <v>422</v>
      </c>
      <c r="CP24" s="66" t="s">
        <v>422</v>
      </c>
      <c r="CQ24" s="66" t="s">
        <v>422</v>
      </c>
      <c r="CR24" s="66" t="s">
        <v>422</v>
      </c>
      <c r="CS24" s="66" t="s">
        <v>422</v>
      </c>
      <c r="CT24" s="66" t="s">
        <v>422</v>
      </c>
      <c r="CU24" s="66" t="s">
        <v>422</v>
      </c>
      <c r="CV24" s="66" t="s">
        <v>422</v>
      </c>
      <c r="CW24" s="66" t="s">
        <v>422</v>
      </c>
      <c r="CX24" s="66" t="s">
        <v>422</v>
      </c>
      <c r="CY24" s="66" t="s">
        <v>422</v>
      </c>
      <c r="CZ24" s="66" t="s">
        <v>422</v>
      </c>
      <c r="DA24" s="66" t="s">
        <v>422</v>
      </c>
      <c r="DB24" s="66" t="s">
        <v>422</v>
      </c>
      <c r="DC24" s="66" t="s">
        <v>422</v>
      </c>
      <c r="DD24" s="66" t="s">
        <v>422</v>
      </c>
      <c r="DE24" s="66" t="s">
        <v>422</v>
      </c>
      <c r="DF24" s="66" t="s">
        <v>422</v>
      </c>
      <c r="DG24" s="66" t="s">
        <v>422</v>
      </c>
      <c r="DH24" s="66" t="s">
        <v>422</v>
      </c>
      <c r="DI24" s="66" t="s">
        <v>422</v>
      </c>
      <c r="DJ24" s="66" t="s">
        <v>422</v>
      </c>
      <c r="DK24" s="66" t="s">
        <v>422</v>
      </c>
      <c r="DL24" s="66" t="s">
        <v>422</v>
      </c>
      <c r="DM24" s="66" t="s">
        <v>422</v>
      </c>
      <c r="DN24" s="66" t="s">
        <v>422</v>
      </c>
      <c r="DO24" s="66" t="s">
        <v>422</v>
      </c>
      <c r="DP24" s="66" t="s">
        <v>422</v>
      </c>
      <c r="DQ24" s="66" t="s">
        <v>422</v>
      </c>
      <c r="DR24" s="66" t="s">
        <v>422</v>
      </c>
      <c r="DS24" s="66" t="s">
        <v>422</v>
      </c>
      <c r="DT24" s="66" t="s">
        <v>422</v>
      </c>
      <c r="DU24" s="66" t="s">
        <v>422</v>
      </c>
      <c r="DV24" s="66" t="s">
        <v>422</v>
      </c>
      <c r="DW24" s="66" t="s">
        <v>422</v>
      </c>
      <c r="DX24" s="66" t="s">
        <v>422</v>
      </c>
      <c r="DY24" s="66" t="s">
        <v>422</v>
      </c>
      <c r="DZ24" s="66" t="s">
        <v>422</v>
      </c>
      <c r="EA24" s="66" t="s">
        <v>422</v>
      </c>
      <c r="EB24" s="66" t="s">
        <v>422</v>
      </c>
      <c r="EC24" s="66" t="s">
        <v>422</v>
      </c>
      <c r="ED24" s="66" t="s">
        <v>422</v>
      </c>
      <c r="EE24" s="66" t="s">
        <v>422</v>
      </c>
      <c r="EF24" s="66" t="s">
        <v>422</v>
      </c>
      <c r="EG24" s="66" t="s">
        <v>422</v>
      </c>
      <c r="EH24" s="66" t="s">
        <v>422</v>
      </c>
      <c r="EI24" s="66" t="s">
        <v>422</v>
      </c>
      <c r="EJ24" s="66" t="s">
        <v>422</v>
      </c>
      <c r="EK24" s="66" t="s">
        <v>422</v>
      </c>
      <c r="EL24" s="66" t="s">
        <v>422</v>
      </c>
      <c r="EM24" s="66" t="s">
        <v>422</v>
      </c>
      <c r="EN24" s="66" t="s">
        <v>422</v>
      </c>
      <c r="EO24" s="66" t="s">
        <v>422</v>
      </c>
      <c r="EP24" s="66" t="s">
        <v>422</v>
      </c>
      <c r="EQ24" s="66" t="s">
        <v>422</v>
      </c>
      <c r="ER24" s="66" t="s">
        <v>422</v>
      </c>
      <c r="ES24" s="66" t="s">
        <v>422</v>
      </c>
      <c r="ET24" s="66" t="s">
        <v>422</v>
      </c>
      <c r="EU24" s="66" t="s">
        <v>422</v>
      </c>
      <c r="EV24" s="66" t="s">
        <v>422</v>
      </c>
      <c r="EW24" s="66" t="s">
        <v>422</v>
      </c>
      <c r="EX24" s="66" t="s">
        <v>422</v>
      </c>
      <c r="EY24" s="66" t="s">
        <v>422</v>
      </c>
      <c r="EZ24" s="66" t="s">
        <v>422</v>
      </c>
      <c r="FA24" s="66" t="s">
        <v>422</v>
      </c>
      <c r="FB24" s="66" t="s">
        <v>422</v>
      </c>
      <c r="FC24" s="66" t="s">
        <v>422</v>
      </c>
      <c r="FD24" s="66" t="s">
        <v>422</v>
      </c>
      <c r="FE24" s="66" t="s">
        <v>422</v>
      </c>
      <c r="FF24" s="66" t="s">
        <v>422</v>
      </c>
      <c r="FG24" s="66" t="s">
        <v>422</v>
      </c>
      <c r="FH24" s="66" t="s">
        <v>422</v>
      </c>
      <c r="FI24" s="66" t="s">
        <v>422</v>
      </c>
      <c r="FJ24" s="66" t="s">
        <v>422</v>
      </c>
      <c r="FK24" s="66" t="s">
        <v>422</v>
      </c>
      <c r="FL24" s="66" t="s">
        <v>422</v>
      </c>
      <c r="FM24" s="66" t="s">
        <v>422</v>
      </c>
      <c r="FN24" s="66" t="s">
        <v>422</v>
      </c>
      <c r="FO24" s="66" t="s">
        <v>422</v>
      </c>
      <c r="FP24" s="66" t="s">
        <v>422</v>
      </c>
      <c r="FQ24" s="66" t="s">
        <v>422</v>
      </c>
      <c r="FR24" s="66" t="s">
        <v>422</v>
      </c>
      <c r="FS24" s="66" t="s">
        <v>422</v>
      </c>
    </row>
    <row r="25" spans="1:175" x14ac:dyDescent="0.3">
      <c r="A25" s="83"/>
      <c r="B25" s="3" t="s">
        <v>135</v>
      </c>
      <c r="C25" s="4" t="s">
        <v>171</v>
      </c>
      <c r="D25" s="2" t="s">
        <v>94</v>
      </c>
      <c r="E25" s="9">
        <v>0</v>
      </c>
      <c r="F25" s="13">
        <v>0</v>
      </c>
      <c r="G25" s="13" t="s">
        <v>90</v>
      </c>
      <c r="H25" s="15">
        <v>0</v>
      </c>
      <c r="I25" s="24" t="str">
        <f>B41</f>
        <v>Reactant9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6" t="s">
        <v>287</v>
      </c>
      <c r="Q25" s="16" t="s">
        <v>291</v>
      </c>
      <c r="R25" s="16" t="s">
        <v>287</v>
      </c>
      <c r="S25" s="16" t="s">
        <v>287</v>
      </c>
      <c r="T25" s="16" t="s">
        <v>287</v>
      </c>
      <c r="U25" s="16" t="s">
        <v>287</v>
      </c>
      <c r="V25" s="16" t="s">
        <v>287</v>
      </c>
      <c r="W25" s="16" t="s">
        <v>287</v>
      </c>
      <c r="X25" s="16" t="s">
        <v>287</v>
      </c>
      <c r="Y25" s="16" t="s">
        <v>287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 t="s">
        <v>287</v>
      </c>
      <c r="AU25" s="14" t="s">
        <v>287</v>
      </c>
      <c r="AV25" s="14" t="s">
        <v>287</v>
      </c>
      <c r="AW25" s="14" t="s">
        <v>287</v>
      </c>
      <c r="AX25" s="14" t="s">
        <v>287</v>
      </c>
      <c r="AY25" s="14" t="s">
        <v>287</v>
      </c>
      <c r="AZ25" s="14" t="s">
        <v>287</v>
      </c>
      <c r="BA25" s="14" t="s">
        <v>287</v>
      </c>
      <c r="BB25" s="14" t="s">
        <v>287</v>
      </c>
      <c r="BC25" s="14" t="s">
        <v>287</v>
      </c>
      <c r="BD25" s="14" t="s">
        <v>309</v>
      </c>
      <c r="BE25" s="14" t="s">
        <v>309</v>
      </c>
      <c r="BF25" s="14" t="s">
        <v>309</v>
      </c>
      <c r="BG25" s="14" t="s">
        <v>287</v>
      </c>
      <c r="BH25" s="14" t="s">
        <v>287</v>
      </c>
      <c r="BI25" s="14" t="s">
        <v>287</v>
      </c>
      <c r="BJ25" s="14" t="s">
        <v>310</v>
      </c>
      <c r="BK25" s="14" t="s">
        <v>310</v>
      </c>
      <c r="BL25" s="14" t="s">
        <v>310</v>
      </c>
      <c r="BM25" s="14" t="s">
        <v>310</v>
      </c>
      <c r="BN25" s="14" t="s">
        <v>309</v>
      </c>
      <c r="BO25" s="14" t="s">
        <v>309</v>
      </c>
      <c r="BP25" s="14" t="s">
        <v>309</v>
      </c>
      <c r="BQ25" s="14" t="s">
        <v>287</v>
      </c>
      <c r="BR25" s="14" t="s">
        <v>287</v>
      </c>
      <c r="BS25" s="14" t="s">
        <v>287</v>
      </c>
      <c r="BT25" s="14" t="s">
        <v>310</v>
      </c>
      <c r="BU25" s="14" t="s">
        <v>310</v>
      </c>
      <c r="BV25" s="14" t="s">
        <v>310</v>
      </c>
      <c r="BW25" s="14" t="s">
        <v>310</v>
      </c>
      <c r="BX25" t="s">
        <v>287</v>
      </c>
      <c r="BY25" t="s">
        <v>287</v>
      </c>
      <c r="BZ25" t="s">
        <v>287</v>
      </c>
      <c r="CA25" t="s">
        <v>287</v>
      </c>
      <c r="CB25" t="s">
        <v>287</v>
      </c>
      <c r="CC25" t="s">
        <v>287</v>
      </c>
      <c r="CD25" t="s">
        <v>287</v>
      </c>
      <c r="CE25" t="s">
        <v>287</v>
      </c>
      <c r="CF25" t="s">
        <v>287</v>
      </c>
      <c r="CG25" t="s">
        <v>287</v>
      </c>
      <c r="CH25" t="s">
        <v>364</v>
      </c>
      <c r="CI25" t="s">
        <v>364</v>
      </c>
      <c r="CJ25" t="s">
        <v>364</v>
      </c>
      <c r="CK25" t="s">
        <v>365</v>
      </c>
      <c r="CL25" t="s">
        <v>365</v>
      </c>
      <c r="CM25" t="s">
        <v>365</v>
      </c>
      <c r="CN25">
        <v>0</v>
      </c>
      <c r="CO25" t="s">
        <v>366</v>
      </c>
      <c r="CP25" t="s">
        <v>366</v>
      </c>
      <c r="CQ25" t="s">
        <v>366</v>
      </c>
      <c r="CR25" t="s">
        <v>363</v>
      </c>
      <c r="CS25" t="s">
        <v>363</v>
      </c>
      <c r="CT25" t="s">
        <v>363</v>
      </c>
      <c r="CU25" t="s">
        <v>363</v>
      </c>
      <c r="CV25" t="s">
        <v>363</v>
      </c>
      <c r="CW25" t="s">
        <v>363</v>
      </c>
      <c r="CX25" t="s">
        <v>363</v>
      </c>
      <c r="CY25" t="s">
        <v>363</v>
      </c>
      <c r="CZ25" t="s">
        <v>363</v>
      </c>
      <c r="DA25" t="s">
        <v>363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 s="51">
        <v>0</v>
      </c>
      <c r="FK25" s="51">
        <v>0</v>
      </c>
      <c r="FL25" s="51">
        <v>0</v>
      </c>
      <c r="FM25" s="51">
        <v>0</v>
      </c>
      <c r="FN25" s="51">
        <v>0</v>
      </c>
      <c r="FO25" s="51">
        <v>0</v>
      </c>
      <c r="FP25" s="51">
        <v>0</v>
      </c>
      <c r="FQ25" s="51">
        <v>0</v>
      </c>
      <c r="FR25" s="51">
        <v>0</v>
      </c>
      <c r="FS25" s="51">
        <v>0</v>
      </c>
    </row>
    <row r="26" spans="1:175" x14ac:dyDescent="0.3">
      <c r="A26" s="83"/>
      <c r="B26" s="3" t="s">
        <v>135</v>
      </c>
      <c r="C26" s="4" t="s">
        <v>171</v>
      </c>
      <c r="D26" s="2" t="s">
        <v>95</v>
      </c>
      <c r="E26" s="9">
        <v>0</v>
      </c>
      <c r="F26" s="13">
        <v>0</v>
      </c>
      <c r="G26" s="13" t="s">
        <v>91</v>
      </c>
      <c r="H26" s="15">
        <v>0</v>
      </c>
      <c r="I26" s="24" t="str">
        <f>B41</f>
        <v>Reactant9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6" t="s">
        <v>287</v>
      </c>
      <c r="Q26" s="16" t="s">
        <v>288</v>
      </c>
      <c r="R26" s="16" t="s">
        <v>287</v>
      </c>
      <c r="S26" s="16" t="s">
        <v>287</v>
      </c>
      <c r="T26" s="16" t="s">
        <v>287</v>
      </c>
      <c r="U26" s="16" t="s">
        <v>287</v>
      </c>
      <c r="V26" s="16" t="s">
        <v>287</v>
      </c>
      <c r="W26" s="16" t="s">
        <v>287</v>
      </c>
      <c r="X26" s="16" t="s">
        <v>287</v>
      </c>
      <c r="Y26" s="16" t="s">
        <v>287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 t="s">
        <v>287</v>
      </c>
      <c r="AU26" s="14" t="s">
        <v>287</v>
      </c>
      <c r="AV26" s="14" t="s">
        <v>287</v>
      </c>
      <c r="AW26" s="14" t="s">
        <v>287</v>
      </c>
      <c r="AX26" s="14" t="s">
        <v>287</v>
      </c>
      <c r="AY26" s="14" t="s">
        <v>287</v>
      </c>
      <c r="AZ26" s="14" t="s">
        <v>287</v>
      </c>
      <c r="BA26" s="14" t="s">
        <v>287</v>
      </c>
      <c r="BB26" s="14" t="s">
        <v>287</v>
      </c>
      <c r="BC26" s="14" t="s">
        <v>287</v>
      </c>
      <c r="BD26" s="14" t="s">
        <v>309</v>
      </c>
      <c r="BE26" s="14" t="s">
        <v>309</v>
      </c>
      <c r="BF26" s="14" t="s">
        <v>309</v>
      </c>
      <c r="BG26" s="14" t="s">
        <v>287</v>
      </c>
      <c r="BH26" s="14" t="s">
        <v>287</v>
      </c>
      <c r="BI26" s="14" t="s">
        <v>287</v>
      </c>
      <c r="BJ26" s="14" t="s">
        <v>310</v>
      </c>
      <c r="BK26" s="14" t="s">
        <v>310</v>
      </c>
      <c r="BL26" s="14" t="s">
        <v>310</v>
      </c>
      <c r="BM26" s="14" t="s">
        <v>310</v>
      </c>
      <c r="BN26" s="14" t="s">
        <v>309</v>
      </c>
      <c r="BO26" s="14" t="s">
        <v>309</v>
      </c>
      <c r="BP26" s="14" t="s">
        <v>309</v>
      </c>
      <c r="BQ26" s="14" t="s">
        <v>287</v>
      </c>
      <c r="BR26" s="14" t="s">
        <v>287</v>
      </c>
      <c r="BS26" s="14" t="s">
        <v>287</v>
      </c>
      <c r="BT26" s="14" t="s">
        <v>310</v>
      </c>
      <c r="BU26" s="14" t="s">
        <v>310</v>
      </c>
      <c r="BV26" s="14" t="s">
        <v>310</v>
      </c>
      <c r="BW26" s="14" t="s">
        <v>310</v>
      </c>
      <c r="BX26" t="s">
        <v>287</v>
      </c>
      <c r="BY26" t="s">
        <v>287</v>
      </c>
      <c r="BZ26" t="s">
        <v>287</v>
      </c>
      <c r="CA26" t="s">
        <v>287</v>
      </c>
      <c r="CB26" t="s">
        <v>287</v>
      </c>
      <c r="CC26" t="s">
        <v>287</v>
      </c>
      <c r="CD26" t="s">
        <v>287</v>
      </c>
      <c r="CE26" t="s">
        <v>287</v>
      </c>
      <c r="CF26" t="s">
        <v>287</v>
      </c>
      <c r="CG26" t="s">
        <v>287</v>
      </c>
      <c r="CH26" t="s">
        <v>364</v>
      </c>
      <c r="CI26" t="s">
        <v>364</v>
      </c>
      <c r="CJ26" t="s">
        <v>364</v>
      </c>
      <c r="CK26" t="s">
        <v>365</v>
      </c>
      <c r="CL26" t="s">
        <v>365</v>
      </c>
      <c r="CM26" t="s">
        <v>365</v>
      </c>
      <c r="CN26">
        <v>0</v>
      </c>
      <c r="CO26" t="s">
        <v>366</v>
      </c>
      <c r="CP26" t="s">
        <v>366</v>
      </c>
      <c r="CQ26" t="s">
        <v>366</v>
      </c>
      <c r="CR26" t="s">
        <v>363</v>
      </c>
      <c r="CS26" t="s">
        <v>363</v>
      </c>
      <c r="CT26" t="s">
        <v>363</v>
      </c>
      <c r="CU26" t="s">
        <v>363</v>
      </c>
      <c r="CV26" t="s">
        <v>363</v>
      </c>
      <c r="CW26" t="s">
        <v>363</v>
      </c>
      <c r="CX26" t="s">
        <v>363</v>
      </c>
      <c r="CY26" t="s">
        <v>363</v>
      </c>
      <c r="CZ26" t="s">
        <v>363</v>
      </c>
      <c r="DA26" t="s">
        <v>363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 s="16">
        <v>0</v>
      </c>
      <c r="EG26" s="16">
        <v>0</v>
      </c>
      <c r="EH26" s="1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6">
        <v>0</v>
      </c>
      <c r="EQ26" s="16">
        <v>0</v>
      </c>
      <c r="ER26" s="1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 s="51">
        <v>0</v>
      </c>
      <c r="FK26" s="51">
        <v>0</v>
      </c>
      <c r="FL26" s="51">
        <v>0</v>
      </c>
      <c r="FM26" s="51">
        <v>0</v>
      </c>
      <c r="FN26" s="51">
        <v>0</v>
      </c>
      <c r="FO26" s="51">
        <v>0</v>
      </c>
      <c r="FP26" s="51">
        <v>0</v>
      </c>
      <c r="FQ26" s="51">
        <v>0</v>
      </c>
      <c r="FR26" s="51">
        <v>0</v>
      </c>
      <c r="FS26" s="51">
        <v>0</v>
      </c>
    </row>
    <row r="27" spans="1:175" x14ac:dyDescent="0.3">
      <c r="A27" s="83"/>
      <c r="B27" s="3" t="s">
        <v>135</v>
      </c>
      <c r="C27" s="4" t="s">
        <v>171</v>
      </c>
      <c r="D27" s="2" t="s">
        <v>250</v>
      </c>
      <c r="E27" s="9">
        <v>0</v>
      </c>
      <c r="F27" s="13">
        <v>0</v>
      </c>
      <c r="G27" s="13" t="s">
        <v>251</v>
      </c>
      <c r="H27" s="15">
        <v>0</v>
      </c>
      <c r="I27" s="24" t="str">
        <f>B42</f>
        <v>Reactant10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60" t="s">
        <v>388</v>
      </c>
      <c r="AU27" s="60" t="s">
        <v>388</v>
      </c>
      <c r="AV27" s="60" t="s">
        <v>388</v>
      </c>
      <c r="AW27" s="60" t="s">
        <v>388</v>
      </c>
      <c r="AX27" s="60" t="s">
        <v>388</v>
      </c>
      <c r="AY27" s="60" t="s">
        <v>388</v>
      </c>
      <c r="AZ27" s="60" t="s">
        <v>388</v>
      </c>
      <c r="BA27" s="60" t="s">
        <v>388</v>
      </c>
      <c r="BB27" s="60" t="s">
        <v>388</v>
      </c>
      <c r="BC27" s="60" t="s">
        <v>388</v>
      </c>
      <c r="BD27" s="60" t="s">
        <v>388</v>
      </c>
      <c r="BE27" s="60" t="s">
        <v>388</v>
      </c>
      <c r="BF27" s="60" t="s">
        <v>388</v>
      </c>
      <c r="BG27" s="60" t="s">
        <v>388</v>
      </c>
      <c r="BH27" s="60" t="s">
        <v>388</v>
      </c>
      <c r="BI27" s="60" t="s">
        <v>388</v>
      </c>
      <c r="BJ27" s="60" t="s">
        <v>388</v>
      </c>
      <c r="BK27" s="60" t="s">
        <v>388</v>
      </c>
      <c r="BL27" s="60" t="s">
        <v>388</v>
      </c>
      <c r="BM27" s="60" t="s">
        <v>388</v>
      </c>
      <c r="BN27" s="60" t="s">
        <v>388</v>
      </c>
      <c r="BO27" s="60" t="s">
        <v>388</v>
      </c>
      <c r="BP27" s="60" t="s">
        <v>388</v>
      </c>
      <c r="BQ27" s="60" t="s">
        <v>388</v>
      </c>
      <c r="BR27" s="60" t="s">
        <v>388</v>
      </c>
      <c r="BS27" s="60" t="s">
        <v>388</v>
      </c>
      <c r="BT27" s="60" t="s">
        <v>388</v>
      </c>
      <c r="BU27" s="60" t="s">
        <v>388</v>
      </c>
      <c r="BV27" s="60" t="s">
        <v>388</v>
      </c>
      <c r="BW27" s="60" t="s">
        <v>388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3">
      <c r="A28" s="83"/>
      <c r="B28" s="25" t="s">
        <v>424</v>
      </c>
      <c r="C28" s="11" t="s">
        <v>276</v>
      </c>
      <c r="D28" s="2" t="s">
        <v>35</v>
      </c>
      <c r="E28" s="9">
        <v>0</v>
      </c>
      <c r="F28" s="13">
        <v>0</v>
      </c>
      <c r="G28" s="13" t="s">
        <v>227</v>
      </c>
      <c r="H28">
        <v>0</v>
      </c>
      <c r="I28" s="13" t="s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t="s">
        <v>333</v>
      </c>
      <c r="BY28" t="s">
        <v>333</v>
      </c>
      <c r="BZ28" t="s">
        <v>333</v>
      </c>
      <c r="CA28" t="s">
        <v>333</v>
      </c>
      <c r="CB28" t="s">
        <v>333</v>
      </c>
      <c r="CC28" t="s">
        <v>333</v>
      </c>
      <c r="CD28" t="s">
        <v>334</v>
      </c>
      <c r="CE28" t="s">
        <v>334</v>
      </c>
      <c r="CF28" t="s">
        <v>334</v>
      </c>
      <c r="CG28" t="s">
        <v>334</v>
      </c>
      <c r="CH28" t="s">
        <v>367</v>
      </c>
      <c r="CI28" t="s">
        <v>367</v>
      </c>
      <c r="CJ28" t="s">
        <v>367</v>
      </c>
      <c r="CK28" t="s">
        <v>368</v>
      </c>
      <c r="CL28" t="s">
        <v>369</v>
      </c>
      <c r="CM28" t="s">
        <v>369</v>
      </c>
      <c r="CN28">
        <v>0</v>
      </c>
      <c r="CO28" t="s">
        <v>370</v>
      </c>
      <c r="CP28" t="s">
        <v>370</v>
      </c>
      <c r="CQ28" t="s">
        <v>370</v>
      </c>
      <c r="CR28" t="s">
        <v>371</v>
      </c>
      <c r="CS28" t="s">
        <v>371</v>
      </c>
      <c r="CT28" t="s">
        <v>371</v>
      </c>
      <c r="CU28" t="s">
        <v>371</v>
      </c>
      <c r="CV28" t="s">
        <v>371</v>
      </c>
      <c r="CW28" t="s">
        <v>371</v>
      </c>
      <c r="CX28" t="s">
        <v>371</v>
      </c>
      <c r="CY28" t="s">
        <v>371</v>
      </c>
      <c r="CZ28" t="s">
        <v>371</v>
      </c>
      <c r="DA28" t="s">
        <v>371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5">
        <v>0</v>
      </c>
      <c r="EG28" s="15">
        <v>0</v>
      </c>
      <c r="EH28" s="15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5">
        <v>0</v>
      </c>
      <c r="EQ28" s="15">
        <v>0</v>
      </c>
      <c r="ER28" s="15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3">
      <c r="A29" s="83"/>
      <c r="B29" s="25" t="str">
        <f>B28</f>
        <v>Reactant11</v>
      </c>
      <c r="C29" s="11" t="s">
        <v>276</v>
      </c>
      <c r="D29" s="2" t="s">
        <v>224</v>
      </c>
      <c r="E29" s="9">
        <v>0</v>
      </c>
      <c r="F29" s="13">
        <v>0</v>
      </c>
      <c r="G29" s="13" t="s">
        <v>226</v>
      </c>
      <c r="H29">
        <v>0</v>
      </c>
      <c r="I29" s="13" t="s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0" t="s">
        <v>333</v>
      </c>
      <c r="BY29" s="10" t="s">
        <v>333</v>
      </c>
      <c r="BZ29" s="10" t="s">
        <v>333</v>
      </c>
      <c r="CA29" s="10" t="s">
        <v>333</v>
      </c>
      <c r="CB29" t="s">
        <v>333</v>
      </c>
      <c r="CC29" s="10" t="s">
        <v>333</v>
      </c>
      <c r="CD29" t="s">
        <v>334</v>
      </c>
      <c r="CE29" t="s">
        <v>334</v>
      </c>
      <c r="CF29" t="s">
        <v>334</v>
      </c>
      <c r="CG29" t="s">
        <v>334</v>
      </c>
      <c r="CH29" t="s">
        <v>367</v>
      </c>
      <c r="CI29" t="s">
        <v>367</v>
      </c>
      <c r="CJ29" t="s">
        <v>367</v>
      </c>
      <c r="CK29" t="s">
        <v>368</v>
      </c>
      <c r="CL29" t="s">
        <v>368</v>
      </c>
      <c r="CM29" t="s">
        <v>368</v>
      </c>
      <c r="CN29">
        <v>0</v>
      </c>
      <c r="CO29" t="s">
        <v>370</v>
      </c>
      <c r="CP29" t="s">
        <v>370</v>
      </c>
      <c r="CQ29" t="s">
        <v>370</v>
      </c>
      <c r="CR29" t="s">
        <v>371</v>
      </c>
      <c r="CS29" t="s">
        <v>371</v>
      </c>
      <c r="CT29" t="s">
        <v>371</v>
      </c>
      <c r="CU29" t="s">
        <v>371</v>
      </c>
      <c r="CV29" t="s">
        <v>371</v>
      </c>
      <c r="CW29" t="s">
        <v>371</v>
      </c>
      <c r="CX29" t="s">
        <v>371</v>
      </c>
      <c r="CY29" t="s">
        <v>371</v>
      </c>
      <c r="CZ29" t="s">
        <v>371</v>
      </c>
      <c r="DA29" t="s">
        <v>371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 t="s">
        <v>372</v>
      </c>
      <c r="DW29" t="s">
        <v>373</v>
      </c>
      <c r="DX29" t="s">
        <v>374</v>
      </c>
      <c r="DY29" t="s">
        <v>372</v>
      </c>
      <c r="DZ29" t="s">
        <v>373</v>
      </c>
      <c r="EA29" t="s">
        <v>374</v>
      </c>
      <c r="EB29">
        <v>0</v>
      </c>
      <c r="EC29" t="s">
        <v>372</v>
      </c>
      <c r="ED29" t="s">
        <v>373</v>
      </c>
      <c r="EE29" t="s">
        <v>374</v>
      </c>
      <c r="EF29" s="15">
        <v>0</v>
      </c>
      <c r="EG29" s="15">
        <v>0</v>
      </c>
      <c r="EH29" s="15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5">
        <v>0</v>
      </c>
      <c r="EQ29" s="15">
        <v>0</v>
      </c>
      <c r="ER29" s="15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3">
      <c r="A30" s="83"/>
      <c r="B30" s="25" t="str">
        <f>B28</f>
        <v>Reactant11</v>
      </c>
      <c r="C30" s="11" t="s">
        <v>276</v>
      </c>
      <c r="D30" s="2" t="s">
        <v>225</v>
      </c>
      <c r="E30" s="9">
        <v>0</v>
      </c>
      <c r="F30" s="13">
        <v>0</v>
      </c>
      <c r="G30" s="13" t="s">
        <v>228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t="s">
        <v>333</v>
      </c>
      <c r="BY30" t="s">
        <v>333</v>
      </c>
      <c r="BZ30" t="s">
        <v>333</v>
      </c>
      <c r="CA30" t="s">
        <v>333</v>
      </c>
      <c r="CB30" t="s">
        <v>333</v>
      </c>
      <c r="CC30" t="s">
        <v>333</v>
      </c>
      <c r="CD30" t="s">
        <v>334</v>
      </c>
      <c r="CE30" t="s">
        <v>334</v>
      </c>
      <c r="CF30" t="s">
        <v>334</v>
      </c>
      <c r="CG30" t="s">
        <v>334</v>
      </c>
      <c r="CH30" t="s">
        <v>367</v>
      </c>
      <c r="CI30" t="s">
        <v>367</v>
      </c>
      <c r="CJ30" t="s">
        <v>367</v>
      </c>
      <c r="CK30" t="s">
        <v>368</v>
      </c>
      <c r="CL30" t="s">
        <v>368</v>
      </c>
      <c r="CM30" t="s">
        <v>368</v>
      </c>
      <c r="CN30">
        <v>0</v>
      </c>
      <c r="CO30" t="s">
        <v>370</v>
      </c>
      <c r="CP30" t="s">
        <v>370</v>
      </c>
      <c r="CQ30" t="s">
        <v>370</v>
      </c>
      <c r="CR30" t="s">
        <v>371</v>
      </c>
      <c r="CS30" t="s">
        <v>371</v>
      </c>
      <c r="CT30" t="s">
        <v>371</v>
      </c>
      <c r="CU30" t="s">
        <v>371</v>
      </c>
      <c r="CV30" t="s">
        <v>371</v>
      </c>
      <c r="CW30" t="s">
        <v>371</v>
      </c>
      <c r="CX30" t="s">
        <v>371</v>
      </c>
      <c r="CY30" t="s">
        <v>371</v>
      </c>
      <c r="CZ30" t="s">
        <v>371</v>
      </c>
      <c r="DA30" t="s">
        <v>371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 t="s">
        <v>372</v>
      </c>
      <c r="DW30" t="s">
        <v>373</v>
      </c>
      <c r="DX30" t="s">
        <v>374</v>
      </c>
      <c r="DY30" t="s">
        <v>372</v>
      </c>
      <c r="DZ30" t="s">
        <v>373</v>
      </c>
      <c r="EA30" t="s">
        <v>374</v>
      </c>
      <c r="EB30">
        <v>0</v>
      </c>
      <c r="EC30" t="s">
        <v>372</v>
      </c>
      <c r="ED30" t="s">
        <v>373</v>
      </c>
      <c r="EE30" t="s">
        <v>374</v>
      </c>
      <c r="EF30" s="15">
        <v>0</v>
      </c>
      <c r="EG30" s="15">
        <v>0</v>
      </c>
      <c r="EH30" s="15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3">
      <c r="A31" s="83"/>
      <c r="B31" s="3" t="s">
        <v>140</v>
      </c>
      <c r="C31" s="4" t="s">
        <v>13</v>
      </c>
      <c r="D31" s="2" t="s">
        <v>232</v>
      </c>
      <c r="E31" s="9">
        <v>0</v>
      </c>
      <c r="F31" s="13">
        <v>0</v>
      </c>
      <c r="G31" s="13" t="s">
        <v>92</v>
      </c>
      <c r="H31">
        <v>0</v>
      </c>
      <c r="I31" s="24" t="str">
        <f>B28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493</v>
      </c>
      <c r="Q31" t="s">
        <v>493</v>
      </c>
      <c r="R31" t="s">
        <v>493</v>
      </c>
      <c r="S31" t="s">
        <v>493</v>
      </c>
      <c r="T31" t="s">
        <v>493</v>
      </c>
      <c r="U31" t="s">
        <v>493</v>
      </c>
      <c r="V31" t="s">
        <v>493</v>
      </c>
      <c r="W31" t="s">
        <v>493</v>
      </c>
      <c r="X31" t="s">
        <v>493</v>
      </c>
      <c r="Y31" t="s">
        <v>493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t="s">
        <v>335</v>
      </c>
      <c r="BY31" t="s">
        <v>336</v>
      </c>
      <c r="BZ31" t="s">
        <v>287</v>
      </c>
      <c r="CA31" t="s">
        <v>335</v>
      </c>
      <c r="CB31" t="s">
        <v>287</v>
      </c>
      <c r="CC31" t="s">
        <v>335</v>
      </c>
      <c r="CD31" t="s">
        <v>287</v>
      </c>
      <c r="CE31" t="s">
        <v>287</v>
      </c>
      <c r="CF31" t="s">
        <v>287</v>
      </c>
      <c r="CG31" t="s">
        <v>337</v>
      </c>
      <c r="CH31">
        <v>0</v>
      </c>
      <c r="CI31" t="s">
        <v>375</v>
      </c>
      <c r="CJ31">
        <v>0</v>
      </c>
      <c r="CK31" t="s">
        <v>375</v>
      </c>
      <c r="CL31" t="s">
        <v>375</v>
      </c>
      <c r="CM31" t="s">
        <v>375</v>
      </c>
      <c r="CN31">
        <v>0</v>
      </c>
      <c r="CO31" t="s">
        <v>375</v>
      </c>
      <c r="CP31" t="s">
        <v>375</v>
      </c>
      <c r="CQ31" t="s">
        <v>375</v>
      </c>
      <c r="CR31" t="s">
        <v>376</v>
      </c>
      <c r="CS31" t="s">
        <v>376</v>
      </c>
      <c r="CT31" t="s">
        <v>376</v>
      </c>
      <c r="CU31" t="s">
        <v>376</v>
      </c>
      <c r="CV31" t="s">
        <v>376</v>
      </c>
      <c r="CW31" t="s">
        <v>376</v>
      </c>
      <c r="CX31" t="s">
        <v>376</v>
      </c>
      <c r="CY31" t="s">
        <v>376</v>
      </c>
      <c r="CZ31" t="s">
        <v>376</v>
      </c>
      <c r="DA31" t="s">
        <v>376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 s="51">
        <v>0</v>
      </c>
      <c r="FK31" s="51">
        <v>0</v>
      </c>
      <c r="FL31" s="51">
        <v>0</v>
      </c>
      <c r="FM31" s="51">
        <v>0</v>
      </c>
      <c r="FN31" s="51">
        <v>0</v>
      </c>
      <c r="FO31" s="51">
        <v>0</v>
      </c>
      <c r="FP31" s="51">
        <v>0</v>
      </c>
      <c r="FQ31" s="51">
        <v>0</v>
      </c>
      <c r="FR31" s="51">
        <v>0</v>
      </c>
      <c r="FS31" s="51">
        <v>0</v>
      </c>
    </row>
    <row r="32" spans="1:175" x14ac:dyDescent="0.3">
      <c r="A32" s="83"/>
      <c r="B32" s="3" t="s">
        <v>140</v>
      </c>
      <c r="C32" s="4" t="s">
        <v>13</v>
      </c>
      <c r="D32" s="2" t="s">
        <v>242</v>
      </c>
      <c r="E32" s="9">
        <v>0</v>
      </c>
      <c r="F32" s="13">
        <v>0</v>
      </c>
      <c r="G32" s="13" t="s">
        <v>245</v>
      </c>
      <c r="H32">
        <v>0</v>
      </c>
      <c r="I32" s="24" t="str">
        <f>B28</f>
        <v>Reactant11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493</v>
      </c>
      <c r="Q32" t="s">
        <v>493</v>
      </c>
      <c r="R32" t="s">
        <v>493</v>
      </c>
      <c r="S32" t="s">
        <v>493</v>
      </c>
      <c r="T32" t="s">
        <v>493</v>
      </c>
      <c r="U32" t="s">
        <v>493</v>
      </c>
      <c r="V32" t="s">
        <v>493</v>
      </c>
      <c r="W32" t="s">
        <v>493</v>
      </c>
      <c r="X32" t="s">
        <v>493</v>
      </c>
      <c r="Y32" t="s">
        <v>493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" t="s">
        <v>423</v>
      </c>
      <c r="BY32" s="1" t="s">
        <v>423</v>
      </c>
      <c r="BZ32" s="1" t="s">
        <v>423</v>
      </c>
      <c r="CA32" s="1" t="s">
        <v>423</v>
      </c>
      <c r="CB32" s="1" t="s">
        <v>423</v>
      </c>
      <c r="CC32" s="1" t="s">
        <v>423</v>
      </c>
      <c r="CD32" s="1" t="s">
        <v>423</v>
      </c>
      <c r="CE32" s="1" t="s">
        <v>423</v>
      </c>
      <c r="CF32" s="1" t="s">
        <v>423</v>
      </c>
      <c r="CG32" s="1" t="s">
        <v>423</v>
      </c>
      <c r="CH32" s="1">
        <v>0</v>
      </c>
      <c r="CI32" s="1" t="s">
        <v>375</v>
      </c>
      <c r="CJ32" s="1">
        <v>0</v>
      </c>
      <c r="CK32" t="s">
        <v>377</v>
      </c>
      <c r="CL32" t="s">
        <v>377</v>
      </c>
      <c r="CM32" t="s">
        <v>377</v>
      </c>
      <c r="CN32">
        <v>0</v>
      </c>
      <c r="CO32" t="s">
        <v>375</v>
      </c>
      <c r="CP32" t="s">
        <v>375</v>
      </c>
      <c r="CQ32" t="s">
        <v>375</v>
      </c>
      <c r="CR32" s="1" t="s">
        <v>378</v>
      </c>
      <c r="CS32" s="1" t="s">
        <v>378</v>
      </c>
      <c r="CT32" s="1" t="s">
        <v>378</v>
      </c>
      <c r="CU32" s="1" t="s">
        <v>378</v>
      </c>
      <c r="CV32" s="1" t="s">
        <v>378</v>
      </c>
      <c r="CW32" s="1" t="s">
        <v>378</v>
      </c>
      <c r="CX32" s="1" t="s">
        <v>378</v>
      </c>
      <c r="CY32" s="1" t="s">
        <v>378</v>
      </c>
      <c r="CZ32" s="1" t="s">
        <v>378</v>
      </c>
      <c r="DA32" s="1" t="s">
        <v>378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 s="16">
        <v>0</v>
      </c>
      <c r="EG32" s="16">
        <v>0</v>
      </c>
      <c r="EH32" s="16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6">
        <v>0</v>
      </c>
      <c r="EQ32" s="16">
        <v>0</v>
      </c>
      <c r="ER32" s="16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51">
        <v>0</v>
      </c>
      <c r="FK32" s="51">
        <v>0</v>
      </c>
      <c r="FL32" s="51">
        <v>0</v>
      </c>
      <c r="FM32" s="51">
        <v>0</v>
      </c>
      <c r="FN32" s="51">
        <v>0</v>
      </c>
      <c r="FO32" s="51">
        <v>0</v>
      </c>
      <c r="FP32" s="51">
        <v>0</v>
      </c>
      <c r="FQ32" s="51">
        <v>0</v>
      </c>
      <c r="FR32" s="51">
        <v>0</v>
      </c>
      <c r="FS32" s="51">
        <v>0</v>
      </c>
    </row>
    <row r="33" spans="1:175" x14ac:dyDescent="0.3">
      <c r="A33" s="83"/>
      <c r="B33" s="3" t="s">
        <v>140</v>
      </c>
      <c r="C33" s="4" t="s">
        <v>13</v>
      </c>
      <c r="D33" s="2" t="s">
        <v>241</v>
      </c>
      <c r="E33" s="9">
        <v>0</v>
      </c>
      <c r="F33" s="13">
        <v>0</v>
      </c>
      <c r="G33" s="13" t="s">
        <v>246</v>
      </c>
      <c r="H33">
        <v>0</v>
      </c>
      <c r="I33" s="24" t="str">
        <f>B28</f>
        <v>Reactant11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493</v>
      </c>
      <c r="Q33" t="s">
        <v>493</v>
      </c>
      <c r="R33" t="s">
        <v>493</v>
      </c>
      <c r="S33" t="s">
        <v>493</v>
      </c>
      <c r="T33" t="s">
        <v>493</v>
      </c>
      <c r="U33" t="s">
        <v>493</v>
      </c>
      <c r="V33" t="s">
        <v>493</v>
      </c>
      <c r="W33" t="s">
        <v>493</v>
      </c>
      <c r="X33" t="s">
        <v>493</v>
      </c>
      <c r="Y33" t="s">
        <v>493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" t="s">
        <v>287</v>
      </c>
      <c r="BY33" s="1" t="s">
        <v>287</v>
      </c>
      <c r="BZ33" s="1" t="s">
        <v>287</v>
      </c>
      <c r="CA33" s="24" t="s">
        <v>287</v>
      </c>
      <c r="CB33" s="24" t="s">
        <v>287</v>
      </c>
      <c r="CC33" s="24" t="s">
        <v>287</v>
      </c>
      <c r="CD33" s="1" t="s">
        <v>287</v>
      </c>
      <c r="CE33" t="s">
        <v>287</v>
      </c>
      <c r="CF33" t="s">
        <v>287</v>
      </c>
      <c r="CG33" t="s">
        <v>287</v>
      </c>
      <c r="CH33" s="1">
        <v>0</v>
      </c>
      <c r="CI33" s="1" t="s">
        <v>375</v>
      </c>
      <c r="CJ33" s="1">
        <v>0</v>
      </c>
      <c r="CK33" t="s">
        <v>377</v>
      </c>
      <c r="CL33" t="s">
        <v>377</v>
      </c>
      <c r="CM33" t="s">
        <v>377</v>
      </c>
      <c r="CN33">
        <v>0</v>
      </c>
      <c r="CO33" t="s">
        <v>375</v>
      </c>
      <c r="CP33" t="s">
        <v>375</v>
      </c>
      <c r="CQ33" t="s">
        <v>375</v>
      </c>
      <c r="CR33" s="1" t="s">
        <v>378</v>
      </c>
      <c r="CS33" s="1" t="s">
        <v>378</v>
      </c>
      <c r="CT33" s="1" t="s">
        <v>378</v>
      </c>
      <c r="CU33" s="1" t="s">
        <v>378</v>
      </c>
      <c r="CV33" s="1" t="s">
        <v>378</v>
      </c>
      <c r="CW33" s="1" t="s">
        <v>378</v>
      </c>
      <c r="CX33" s="1" t="s">
        <v>378</v>
      </c>
      <c r="CY33" s="1" t="s">
        <v>378</v>
      </c>
      <c r="CZ33" s="1" t="s">
        <v>378</v>
      </c>
      <c r="DA33" s="1" t="s">
        <v>378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 s="16">
        <v>0</v>
      </c>
      <c r="EG33" s="16">
        <v>0</v>
      </c>
      <c r="EH33" s="16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6">
        <v>0</v>
      </c>
      <c r="EQ33" s="16">
        <v>0</v>
      </c>
      <c r="ER33" s="16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51">
        <v>0</v>
      </c>
      <c r="FK33" s="51">
        <v>0</v>
      </c>
      <c r="FL33" s="51">
        <v>0</v>
      </c>
      <c r="FM33" s="51">
        <v>0</v>
      </c>
      <c r="FN33" s="51">
        <v>0</v>
      </c>
      <c r="FO33" s="51">
        <v>0</v>
      </c>
      <c r="FP33" s="51">
        <v>0</v>
      </c>
      <c r="FQ33" s="51">
        <v>0</v>
      </c>
      <c r="FR33" s="51">
        <v>0</v>
      </c>
      <c r="FS33" s="51">
        <v>0</v>
      </c>
    </row>
    <row r="34" spans="1:175" x14ac:dyDescent="0.3">
      <c r="A34" s="83"/>
      <c r="B34" s="3" t="s">
        <v>140</v>
      </c>
      <c r="C34" s="4" t="s">
        <v>13</v>
      </c>
      <c r="D34" s="2" t="s">
        <v>243</v>
      </c>
      <c r="E34" s="9">
        <v>0</v>
      </c>
      <c r="F34" s="13">
        <v>0</v>
      </c>
      <c r="G34" s="13" t="s">
        <v>247</v>
      </c>
      <c r="H34">
        <v>0</v>
      </c>
      <c r="I34" s="24" t="str">
        <f>B28</f>
        <v>Reactant11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493</v>
      </c>
      <c r="Q34" t="s">
        <v>493</v>
      </c>
      <c r="R34" t="s">
        <v>493</v>
      </c>
      <c r="S34" t="s">
        <v>493</v>
      </c>
      <c r="T34" t="s">
        <v>493</v>
      </c>
      <c r="U34" t="s">
        <v>493</v>
      </c>
      <c r="V34" t="s">
        <v>493</v>
      </c>
      <c r="W34" t="s">
        <v>493</v>
      </c>
      <c r="X34" t="s">
        <v>493</v>
      </c>
      <c r="Y34" t="s">
        <v>493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>
        <v>0</v>
      </c>
      <c r="DF34" s="1">
        <v>0</v>
      </c>
      <c r="DG34">
        <v>0</v>
      </c>
      <c r="DH34" s="1">
        <v>0</v>
      </c>
      <c r="DI34">
        <v>0</v>
      </c>
      <c r="DJ34" s="1">
        <v>0</v>
      </c>
      <c r="DK34">
        <v>0</v>
      </c>
      <c r="DL34" s="1">
        <v>0</v>
      </c>
      <c r="DM34" s="1">
        <v>0</v>
      </c>
      <c r="DN34" s="1">
        <v>0</v>
      </c>
      <c r="DO34">
        <v>0</v>
      </c>
      <c r="DP34" s="1">
        <v>0</v>
      </c>
      <c r="DQ34">
        <v>0</v>
      </c>
      <c r="DR34" s="1">
        <v>0</v>
      </c>
      <c r="DS34">
        <v>0</v>
      </c>
      <c r="DT34" s="1">
        <v>0</v>
      </c>
      <c r="DU34">
        <v>0</v>
      </c>
      <c r="DV34" s="1">
        <v>0</v>
      </c>
      <c r="DW34" s="1">
        <v>0</v>
      </c>
      <c r="DX34" s="1">
        <v>0</v>
      </c>
      <c r="DY34">
        <v>0</v>
      </c>
      <c r="DZ34" s="1">
        <v>0</v>
      </c>
      <c r="EA34">
        <v>0</v>
      </c>
      <c r="EB34" s="1">
        <v>0</v>
      </c>
      <c r="EC34">
        <v>0</v>
      </c>
      <c r="ED34" s="1">
        <v>0</v>
      </c>
      <c r="EE34">
        <v>0</v>
      </c>
      <c r="EF34" s="1">
        <v>0</v>
      </c>
      <c r="EG34" s="1">
        <v>0</v>
      </c>
      <c r="EH34" s="1">
        <v>0</v>
      </c>
      <c r="EI34">
        <v>0</v>
      </c>
      <c r="EJ34" s="1">
        <v>0</v>
      </c>
      <c r="EK34">
        <v>0</v>
      </c>
      <c r="EL34" s="1">
        <v>0</v>
      </c>
      <c r="EM34">
        <v>0</v>
      </c>
      <c r="EN34" s="1">
        <v>0</v>
      </c>
      <c r="EO34">
        <v>0</v>
      </c>
      <c r="EP34" s="1">
        <v>0</v>
      </c>
      <c r="EQ34" s="1">
        <v>0</v>
      </c>
      <c r="ER34" s="1">
        <v>0</v>
      </c>
      <c r="ES34">
        <v>0</v>
      </c>
      <c r="ET34" s="1">
        <v>0</v>
      </c>
      <c r="EU34">
        <v>0</v>
      </c>
      <c r="EV34" s="1">
        <v>0</v>
      </c>
      <c r="EW34">
        <v>0</v>
      </c>
      <c r="EX34" s="1">
        <v>0</v>
      </c>
      <c r="EY34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</row>
    <row r="35" spans="1:175" x14ac:dyDescent="0.3">
      <c r="A35" s="83"/>
      <c r="B35" s="3" t="s">
        <v>140</v>
      </c>
      <c r="C35" s="4" t="s">
        <v>13</v>
      </c>
      <c r="D35" s="2" t="s">
        <v>244</v>
      </c>
      <c r="E35" s="9">
        <v>0</v>
      </c>
      <c r="F35" s="13">
        <v>0</v>
      </c>
      <c r="G35" s="13" t="s">
        <v>248</v>
      </c>
      <c r="H35">
        <v>0</v>
      </c>
      <c r="I35" s="24" t="str">
        <f>B28</f>
        <v>Reactant11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493</v>
      </c>
      <c r="Q35" t="s">
        <v>493</v>
      </c>
      <c r="R35" t="s">
        <v>493</v>
      </c>
      <c r="S35" t="s">
        <v>493</v>
      </c>
      <c r="T35" t="s">
        <v>493</v>
      </c>
      <c r="U35" t="s">
        <v>493</v>
      </c>
      <c r="V35" t="s">
        <v>493</v>
      </c>
      <c r="W35" t="s">
        <v>493</v>
      </c>
      <c r="X35" t="s">
        <v>493</v>
      </c>
      <c r="Y35" t="s">
        <v>493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>
        <v>0</v>
      </c>
      <c r="DF35" s="1">
        <v>0</v>
      </c>
      <c r="DG35">
        <v>0</v>
      </c>
      <c r="DH35" s="1">
        <v>0</v>
      </c>
      <c r="DI35">
        <v>0</v>
      </c>
      <c r="DJ35" s="1">
        <v>0</v>
      </c>
      <c r="DK35">
        <v>0</v>
      </c>
      <c r="DL35" s="1">
        <v>0</v>
      </c>
      <c r="DM35" s="1">
        <v>0</v>
      </c>
      <c r="DN35" s="1">
        <v>0</v>
      </c>
      <c r="DO35">
        <v>0</v>
      </c>
      <c r="DP35" s="1">
        <v>0</v>
      </c>
      <c r="DQ35">
        <v>0</v>
      </c>
      <c r="DR35" s="1">
        <v>0</v>
      </c>
      <c r="DS35">
        <v>0</v>
      </c>
      <c r="DT35" s="1">
        <v>0</v>
      </c>
      <c r="DU35">
        <v>0</v>
      </c>
      <c r="DV35" s="1">
        <v>0</v>
      </c>
      <c r="DW35" s="1">
        <v>0</v>
      </c>
      <c r="DX35" s="1">
        <v>0</v>
      </c>
      <c r="DY35">
        <v>0</v>
      </c>
      <c r="DZ35" s="1">
        <v>0</v>
      </c>
      <c r="EA35">
        <v>0</v>
      </c>
      <c r="EB35" s="1">
        <v>0</v>
      </c>
      <c r="EC35">
        <v>0</v>
      </c>
      <c r="ED35" s="1">
        <v>0</v>
      </c>
      <c r="EE35">
        <v>0</v>
      </c>
      <c r="EF35" s="1">
        <v>0</v>
      </c>
      <c r="EG35" s="1">
        <v>0</v>
      </c>
      <c r="EH35" s="1">
        <v>0</v>
      </c>
      <c r="EI35">
        <v>0</v>
      </c>
      <c r="EJ35" s="1">
        <v>0</v>
      </c>
      <c r="EK35">
        <v>0</v>
      </c>
      <c r="EL35" s="1">
        <v>0</v>
      </c>
      <c r="EM35">
        <v>0</v>
      </c>
      <c r="EN35" s="1">
        <v>0</v>
      </c>
      <c r="EO35">
        <v>0</v>
      </c>
      <c r="EP35" s="1">
        <v>0</v>
      </c>
      <c r="EQ35" s="1">
        <v>0</v>
      </c>
      <c r="ER35" s="1">
        <v>0</v>
      </c>
      <c r="ES35">
        <v>0</v>
      </c>
      <c r="ET35" s="1">
        <v>0</v>
      </c>
      <c r="EU35">
        <v>0</v>
      </c>
      <c r="EV35" s="1">
        <v>0</v>
      </c>
      <c r="EW35">
        <v>0</v>
      </c>
      <c r="EX35" s="1">
        <v>0</v>
      </c>
      <c r="EY35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</row>
    <row r="36" spans="1:175" x14ac:dyDescent="0.3">
      <c r="A36" s="83"/>
      <c r="B36" s="25" t="s">
        <v>136</v>
      </c>
      <c r="C36" s="11" t="s">
        <v>276</v>
      </c>
      <c r="D36" s="2" t="s">
        <v>75</v>
      </c>
      <c r="E36" s="9">
        <v>0</v>
      </c>
      <c r="F36" s="13">
        <v>0</v>
      </c>
      <c r="G36" s="13" t="s">
        <v>76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83"/>
      <c r="B37" s="25" t="s">
        <v>137</v>
      </c>
      <c r="C37" s="11" t="s">
        <v>276</v>
      </c>
      <c r="D37" s="2" t="s">
        <v>407</v>
      </c>
      <c r="E37" s="9">
        <v>0</v>
      </c>
      <c r="F37" s="13">
        <v>0</v>
      </c>
      <c r="G37" s="13" t="s">
        <v>411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83"/>
      <c r="B38" s="25" t="s">
        <v>138</v>
      </c>
      <c r="C38" s="11" t="s">
        <v>276</v>
      </c>
      <c r="D38" s="2" t="s">
        <v>408</v>
      </c>
      <c r="E38" s="9">
        <v>0</v>
      </c>
      <c r="F38" s="13">
        <v>0</v>
      </c>
      <c r="G38" s="13" t="s">
        <v>412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83"/>
      <c r="B39" s="25" t="s">
        <v>139</v>
      </c>
      <c r="C39" s="11" t="s">
        <v>276</v>
      </c>
      <c r="D39" s="2" t="s">
        <v>409</v>
      </c>
      <c r="E39" s="9">
        <v>0</v>
      </c>
      <c r="F39" s="13">
        <v>0</v>
      </c>
      <c r="G39" s="13" t="s">
        <v>413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83"/>
      <c r="B40" s="25" t="s">
        <v>249</v>
      </c>
      <c r="C40" s="11" t="s">
        <v>276</v>
      </c>
      <c r="D40" s="2" t="s">
        <v>410</v>
      </c>
      <c r="E40" s="9">
        <v>0</v>
      </c>
      <c r="F40" s="13">
        <v>0</v>
      </c>
      <c r="G40" s="13" t="s">
        <v>414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83"/>
      <c r="B41" s="25" t="s">
        <v>415</v>
      </c>
      <c r="C41" s="11" t="s">
        <v>276</v>
      </c>
      <c r="D41" s="2" t="s">
        <v>36</v>
      </c>
      <c r="E41" s="9">
        <v>0</v>
      </c>
      <c r="F41" s="13">
        <v>0</v>
      </c>
      <c r="G41" s="13" t="s">
        <v>19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83"/>
      <c r="B42" s="25" t="s">
        <v>416</v>
      </c>
      <c r="C42" s="11" t="s">
        <v>276</v>
      </c>
      <c r="D42" s="2" t="s">
        <v>252</v>
      </c>
      <c r="E42" s="9">
        <v>0</v>
      </c>
      <c r="F42" s="13">
        <v>0</v>
      </c>
      <c r="G42" s="13" t="s">
        <v>253</v>
      </c>
      <c r="H42" s="57">
        <v>0</v>
      </c>
      <c r="I42" t="s">
        <v>12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0">
        <v>0</v>
      </c>
      <c r="BD42" s="60">
        <v>0</v>
      </c>
      <c r="BE42" s="60">
        <v>0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57">
        <v>0</v>
      </c>
      <c r="BY42" s="57">
        <v>0</v>
      </c>
      <c r="BZ42" s="57">
        <v>0</v>
      </c>
      <c r="CA42" s="57">
        <v>0</v>
      </c>
      <c r="CB42" s="57">
        <v>0</v>
      </c>
      <c r="CC42" s="57">
        <v>0</v>
      </c>
      <c r="CD42" s="57">
        <v>0</v>
      </c>
      <c r="CE42" s="57">
        <v>0</v>
      </c>
      <c r="CF42" s="57">
        <v>0</v>
      </c>
      <c r="CG42" s="57">
        <v>0</v>
      </c>
      <c r="CH42" s="57">
        <v>0</v>
      </c>
      <c r="CI42" s="57">
        <v>0</v>
      </c>
      <c r="CJ42" s="57">
        <v>0</v>
      </c>
      <c r="CK42">
        <v>0</v>
      </c>
      <c r="CL42" s="57">
        <v>0</v>
      </c>
      <c r="CM42">
        <v>0</v>
      </c>
      <c r="CN42" s="57">
        <v>0</v>
      </c>
      <c r="CO42">
        <v>0</v>
      </c>
      <c r="CP42" s="57">
        <v>0</v>
      </c>
      <c r="CQ42">
        <v>0</v>
      </c>
      <c r="CR42" s="57">
        <v>0</v>
      </c>
      <c r="CS42" s="57">
        <v>0</v>
      </c>
      <c r="CT42" s="57">
        <v>0</v>
      </c>
      <c r="CU42">
        <v>0</v>
      </c>
      <c r="CV42" s="57">
        <v>0</v>
      </c>
      <c r="CW42">
        <v>0</v>
      </c>
      <c r="CX42" s="57">
        <v>0</v>
      </c>
      <c r="CY42">
        <v>0</v>
      </c>
      <c r="CZ42" s="57">
        <v>0</v>
      </c>
      <c r="DA42">
        <v>0</v>
      </c>
      <c r="DB42" s="57">
        <v>0</v>
      </c>
      <c r="DC42" s="57">
        <v>0</v>
      </c>
      <c r="DD42" s="57">
        <v>0</v>
      </c>
      <c r="DE42">
        <v>0</v>
      </c>
      <c r="DF42" s="57">
        <v>0</v>
      </c>
      <c r="DG42">
        <v>0</v>
      </c>
      <c r="DH42" s="57">
        <v>0</v>
      </c>
      <c r="DI42">
        <v>0</v>
      </c>
      <c r="DJ42" s="57">
        <v>0</v>
      </c>
      <c r="DK42">
        <v>0</v>
      </c>
      <c r="DL42" s="57">
        <v>0</v>
      </c>
      <c r="DM42" s="57">
        <v>0</v>
      </c>
      <c r="DN42" s="57">
        <v>0</v>
      </c>
      <c r="DO42">
        <v>0</v>
      </c>
      <c r="DP42" s="57">
        <v>0</v>
      </c>
      <c r="DQ42">
        <v>0</v>
      </c>
      <c r="DR42" s="57">
        <v>0</v>
      </c>
      <c r="DS42">
        <v>0</v>
      </c>
      <c r="DT42" s="57">
        <v>0</v>
      </c>
      <c r="DU42">
        <v>0</v>
      </c>
      <c r="DV42" s="57">
        <v>0</v>
      </c>
      <c r="DW42" s="57">
        <v>0</v>
      </c>
      <c r="DX42" s="57">
        <v>0</v>
      </c>
      <c r="DY42">
        <v>0</v>
      </c>
      <c r="DZ42" s="57">
        <v>0</v>
      </c>
      <c r="EA42">
        <v>0</v>
      </c>
      <c r="EB42" s="57">
        <v>0</v>
      </c>
      <c r="EC42">
        <v>0</v>
      </c>
      <c r="ED42" s="57">
        <v>0</v>
      </c>
      <c r="EE42">
        <v>0</v>
      </c>
      <c r="EF42" s="57">
        <v>0</v>
      </c>
      <c r="EG42" s="57">
        <v>0</v>
      </c>
      <c r="EH42" s="57">
        <v>0</v>
      </c>
      <c r="EI42">
        <v>0</v>
      </c>
      <c r="EJ42" s="57">
        <v>0</v>
      </c>
      <c r="EK42">
        <v>0</v>
      </c>
      <c r="EL42" s="57">
        <v>0</v>
      </c>
      <c r="EM42">
        <v>0</v>
      </c>
      <c r="EN42" s="57">
        <v>0</v>
      </c>
      <c r="EO42">
        <v>0</v>
      </c>
      <c r="EP42" s="57">
        <v>0</v>
      </c>
      <c r="EQ42" s="57">
        <v>0</v>
      </c>
      <c r="ER42" s="57">
        <v>0</v>
      </c>
      <c r="ES42">
        <v>0</v>
      </c>
      <c r="ET42" s="57">
        <v>0</v>
      </c>
      <c r="EU42">
        <v>0</v>
      </c>
      <c r="EV42" s="57">
        <v>0</v>
      </c>
      <c r="EW42">
        <v>0</v>
      </c>
      <c r="EX42" s="57">
        <v>0</v>
      </c>
      <c r="EY42">
        <v>0</v>
      </c>
      <c r="EZ42" s="57">
        <v>0</v>
      </c>
      <c r="FA42" s="57">
        <v>0</v>
      </c>
      <c r="FB42" s="57">
        <v>0</v>
      </c>
      <c r="FC42">
        <v>0</v>
      </c>
      <c r="FD42" s="57">
        <v>0</v>
      </c>
      <c r="FE42">
        <v>0</v>
      </c>
      <c r="FF42" s="57">
        <v>0</v>
      </c>
      <c r="FG42">
        <v>0</v>
      </c>
      <c r="FH42" s="57">
        <v>0</v>
      </c>
      <c r="FI42">
        <v>0</v>
      </c>
      <c r="FJ42" s="57">
        <v>0</v>
      </c>
      <c r="FK42" s="57">
        <v>0</v>
      </c>
      <c r="FL42" s="57">
        <v>0</v>
      </c>
      <c r="FM42">
        <v>0</v>
      </c>
      <c r="FN42" s="57">
        <v>0</v>
      </c>
      <c r="FO42">
        <v>0</v>
      </c>
      <c r="FP42" s="57">
        <v>0</v>
      </c>
      <c r="FQ42">
        <v>0</v>
      </c>
      <c r="FR42" s="57">
        <v>0</v>
      </c>
      <c r="FS42">
        <v>0</v>
      </c>
    </row>
    <row r="43" spans="1:175" x14ac:dyDescent="0.3">
      <c r="A43" s="83"/>
      <c r="B43" s="3" t="s">
        <v>29</v>
      </c>
      <c r="C43" s="4" t="s">
        <v>31</v>
      </c>
      <c r="D43" s="2" t="s">
        <v>37</v>
      </c>
      <c r="E43" s="9">
        <v>0</v>
      </c>
      <c r="F43" s="13">
        <v>0</v>
      </c>
      <c r="G43" s="13" t="s">
        <v>20</v>
      </c>
      <c r="H43" s="10">
        <v>0</v>
      </c>
      <c r="I43" t="s">
        <v>12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83"/>
      <c r="B44" s="3" t="s">
        <v>30</v>
      </c>
      <c r="C44" s="4" t="s">
        <v>32</v>
      </c>
      <c r="D44" s="2" t="s">
        <v>38</v>
      </c>
      <c r="E44" s="9">
        <v>0</v>
      </c>
      <c r="F44" s="13">
        <v>0</v>
      </c>
      <c r="G44" s="13" t="s">
        <v>21</v>
      </c>
      <c r="H44" s="10">
        <v>0</v>
      </c>
      <c r="I44" t="s">
        <v>12</v>
      </c>
      <c r="J44" s="10">
        <v>0</v>
      </c>
      <c r="K44">
        <v>0</v>
      </c>
      <c r="L44">
        <v>0</v>
      </c>
      <c r="M44" s="10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>
        <v>0</v>
      </c>
      <c r="CL44" s="10">
        <v>0</v>
      </c>
      <c r="CM44">
        <v>0</v>
      </c>
      <c r="CN44" s="10">
        <v>0</v>
      </c>
      <c r="CO44">
        <v>0</v>
      </c>
      <c r="CP44" s="10">
        <v>0</v>
      </c>
      <c r="CQ44">
        <v>0</v>
      </c>
      <c r="CR44" s="10">
        <v>0</v>
      </c>
      <c r="CS44" s="10">
        <v>0</v>
      </c>
      <c r="CT44" s="10">
        <v>0</v>
      </c>
      <c r="CU44">
        <v>0</v>
      </c>
      <c r="CV44" s="10">
        <v>0</v>
      </c>
      <c r="CW44">
        <v>0</v>
      </c>
      <c r="CX44" s="10">
        <v>0</v>
      </c>
      <c r="CY44">
        <v>0</v>
      </c>
      <c r="CZ44" s="10">
        <v>0</v>
      </c>
      <c r="DA44">
        <v>0</v>
      </c>
      <c r="DB44" s="10">
        <v>0</v>
      </c>
      <c r="DC44" s="10">
        <v>0</v>
      </c>
      <c r="DD44" s="10">
        <v>0</v>
      </c>
      <c r="DE44">
        <v>0</v>
      </c>
      <c r="DF44" s="10">
        <v>0</v>
      </c>
      <c r="DG44">
        <v>0</v>
      </c>
      <c r="DH44" s="10">
        <v>0</v>
      </c>
      <c r="DI44">
        <v>0</v>
      </c>
      <c r="DJ44" s="10">
        <v>0</v>
      </c>
      <c r="DK44">
        <v>0</v>
      </c>
      <c r="DL44" s="28">
        <v>0</v>
      </c>
      <c r="DM44" s="28">
        <v>0</v>
      </c>
      <c r="DN44" s="10">
        <v>0</v>
      </c>
      <c r="DO44" s="28">
        <v>0</v>
      </c>
      <c r="DP44" s="28">
        <v>0</v>
      </c>
      <c r="DQ44" s="10">
        <v>0</v>
      </c>
      <c r="DR44" s="10">
        <v>0</v>
      </c>
      <c r="DS44" s="28">
        <v>0</v>
      </c>
      <c r="DT44" s="28">
        <v>0</v>
      </c>
      <c r="DU44" s="10">
        <v>0</v>
      </c>
      <c r="DV44" s="10">
        <v>0</v>
      </c>
      <c r="DW44" s="10">
        <v>0</v>
      </c>
      <c r="DX44" s="10">
        <v>0</v>
      </c>
      <c r="DY44">
        <v>0</v>
      </c>
      <c r="DZ44" s="10">
        <v>0</v>
      </c>
      <c r="EA44">
        <v>0</v>
      </c>
      <c r="EB44" s="10">
        <v>0</v>
      </c>
      <c r="EC44">
        <v>0</v>
      </c>
      <c r="ED44" s="10">
        <v>0</v>
      </c>
      <c r="EE44">
        <v>0</v>
      </c>
      <c r="EF44" s="10">
        <v>0</v>
      </c>
      <c r="EG44" s="10">
        <v>0</v>
      </c>
      <c r="EH44" s="10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 s="10">
        <v>0</v>
      </c>
      <c r="EQ44" s="10">
        <v>0</v>
      </c>
      <c r="ER44" s="10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 s="10">
        <v>0</v>
      </c>
      <c r="FK44" s="10">
        <v>0</v>
      </c>
      <c r="FL44" s="10">
        <v>0</v>
      </c>
      <c r="FM44">
        <v>0</v>
      </c>
      <c r="FN44" s="10">
        <v>0</v>
      </c>
      <c r="FO44">
        <v>0</v>
      </c>
      <c r="FP44" s="10">
        <v>0</v>
      </c>
      <c r="FQ44">
        <v>0</v>
      </c>
      <c r="FR44" s="10">
        <v>0</v>
      </c>
      <c r="FS44">
        <v>0</v>
      </c>
    </row>
    <row r="45" spans="1:175" x14ac:dyDescent="0.3">
      <c r="A45" s="83"/>
      <c r="B45" t="s">
        <v>276</v>
      </c>
      <c r="C45" s="4" t="s">
        <v>434</v>
      </c>
      <c r="D45" s="2" t="s">
        <v>425</v>
      </c>
      <c r="E45" s="9">
        <v>0</v>
      </c>
      <c r="F45" s="13">
        <v>0</v>
      </c>
      <c r="G45" s="13" t="s">
        <v>426</v>
      </c>
      <c r="H45" s="10">
        <v>0</v>
      </c>
      <c r="I45" t="s">
        <v>12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28">
        <v>0</v>
      </c>
      <c r="DM45" s="28">
        <v>0</v>
      </c>
      <c r="DN45" s="28">
        <v>0</v>
      </c>
      <c r="DO45" s="28">
        <v>0</v>
      </c>
      <c r="DP45" s="28">
        <v>0</v>
      </c>
      <c r="DQ45" s="28">
        <v>0</v>
      </c>
      <c r="DR45" s="28">
        <v>0</v>
      </c>
      <c r="DS45" s="28">
        <v>0</v>
      </c>
      <c r="DT45" s="28">
        <v>0</v>
      </c>
      <c r="DU45" s="28">
        <v>0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83"/>
      <c r="B46" s="3" t="s">
        <v>135</v>
      </c>
      <c r="C46" s="4" t="s">
        <v>130</v>
      </c>
      <c r="D46" s="2" t="s">
        <v>39</v>
      </c>
      <c r="E46" s="9">
        <v>0</v>
      </c>
      <c r="F46" s="13">
        <v>0</v>
      </c>
      <c r="G46" s="13" t="s">
        <v>14</v>
      </c>
      <c r="H46">
        <v>0</v>
      </c>
      <c r="I46" s="24" t="str">
        <f>B31</f>
        <v>Product/Reactant3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t="s">
        <v>311</v>
      </c>
      <c r="Q46" t="s">
        <v>311</v>
      </c>
      <c r="R46" t="s">
        <v>311</v>
      </c>
      <c r="S46" t="s">
        <v>311</v>
      </c>
      <c r="T46" t="s">
        <v>311</v>
      </c>
      <c r="U46" t="s">
        <v>311</v>
      </c>
      <c r="V46" t="s">
        <v>311</v>
      </c>
      <c r="W46" t="s">
        <v>311</v>
      </c>
      <c r="X46" t="s">
        <v>311</v>
      </c>
      <c r="Y46" t="s">
        <v>311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83"/>
      <c r="B47" s="3" t="s">
        <v>15</v>
      </c>
      <c r="C47" s="11" t="s">
        <v>276</v>
      </c>
      <c r="D47" s="2" t="s">
        <v>40</v>
      </c>
      <c r="E47" s="9">
        <v>0</v>
      </c>
      <c r="F47" s="13">
        <v>0</v>
      </c>
      <c r="G47" s="13" t="s">
        <v>22</v>
      </c>
      <c r="H47">
        <v>0</v>
      </c>
      <c r="I47" t="s">
        <v>12</v>
      </c>
      <c r="J47">
        <v>0</v>
      </c>
      <c r="K47">
        <v>0</v>
      </c>
      <c r="L47" s="10">
        <v>0</v>
      </c>
      <c r="M47" s="10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t="s">
        <v>379</v>
      </c>
      <c r="BY47" t="s">
        <v>379</v>
      </c>
      <c r="BZ47" t="s">
        <v>379</v>
      </c>
      <c r="CA47" t="s">
        <v>379</v>
      </c>
      <c r="CB47" t="s">
        <v>379</v>
      </c>
      <c r="CC47" t="s">
        <v>379</v>
      </c>
      <c r="CD47" t="s">
        <v>379</v>
      </c>
      <c r="CE47" t="s">
        <v>379</v>
      </c>
      <c r="CF47" t="s">
        <v>379</v>
      </c>
      <c r="CG47" t="s">
        <v>379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83"/>
      <c r="B48" s="3" t="s">
        <v>16</v>
      </c>
      <c r="C48" s="11" t="s">
        <v>276</v>
      </c>
      <c r="D48" s="2" t="s">
        <v>41</v>
      </c>
      <c r="E48" s="9">
        <v>0</v>
      </c>
      <c r="F48" s="13">
        <v>0</v>
      </c>
      <c r="G48" s="13" t="s">
        <v>23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83"/>
      <c r="B49" s="3" t="s">
        <v>17</v>
      </c>
      <c r="C49" s="11" t="s">
        <v>276</v>
      </c>
      <c r="D49" s="6" t="s">
        <v>42</v>
      </c>
      <c r="E49" s="9">
        <v>0</v>
      </c>
      <c r="F49" s="13">
        <v>0</v>
      </c>
      <c r="G49" s="13" t="s">
        <v>157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 t="s">
        <v>312</v>
      </c>
      <c r="AU49" s="14" t="s">
        <v>312</v>
      </c>
      <c r="AV49" s="14" t="s">
        <v>312</v>
      </c>
      <c r="AW49" s="14" t="s">
        <v>312</v>
      </c>
      <c r="AX49" s="14" t="s">
        <v>312</v>
      </c>
      <c r="AY49" s="14" t="s">
        <v>312</v>
      </c>
      <c r="AZ49" s="14" t="s">
        <v>312</v>
      </c>
      <c r="BA49" s="14" t="s">
        <v>312</v>
      </c>
      <c r="BB49" s="14" t="s">
        <v>312</v>
      </c>
      <c r="BC49" s="14" t="s">
        <v>312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380</v>
      </c>
      <c r="CI49" t="s">
        <v>380</v>
      </c>
      <c r="CJ49" t="s">
        <v>380</v>
      </c>
      <c r="CK49" t="s">
        <v>380</v>
      </c>
      <c r="CL49" t="s">
        <v>380</v>
      </c>
      <c r="CM49" t="s">
        <v>380</v>
      </c>
      <c r="CN49">
        <v>0</v>
      </c>
      <c r="CO49" t="s">
        <v>381</v>
      </c>
      <c r="CP49" t="s">
        <v>381</v>
      </c>
      <c r="CQ49" t="s">
        <v>381</v>
      </c>
      <c r="CR49" t="s">
        <v>382</v>
      </c>
      <c r="CS49" t="s">
        <v>383</v>
      </c>
      <c r="CT49" t="s">
        <v>383</v>
      </c>
      <c r="CU49" t="s">
        <v>383</v>
      </c>
      <c r="CV49" t="s">
        <v>383</v>
      </c>
      <c r="CW49" t="s">
        <v>383</v>
      </c>
      <c r="CX49" t="s">
        <v>383</v>
      </c>
      <c r="CY49" t="s">
        <v>383</v>
      </c>
      <c r="CZ49" t="s">
        <v>383</v>
      </c>
      <c r="DA49" t="s">
        <v>383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3">
      <c r="A50" s="83"/>
      <c r="B50" s="3" t="s">
        <v>15</v>
      </c>
      <c r="C50" s="11" t="s">
        <v>276</v>
      </c>
      <c r="D50" s="6" t="s">
        <v>158</v>
      </c>
      <c r="E50" s="9">
        <v>0</v>
      </c>
      <c r="F50" s="13">
        <v>0</v>
      </c>
      <c r="G50" s="13" t="s">
        <v>159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t="s">
        <v>384</v>
      </c>
      <c r="BY50" t="s">
        <v>384</v>
      </c>
      <c r="BZ50" t="s">
        <v>384</v>
      </c>
      <c r="CA50" t="s">
        <v>384</v>
      </c>
      <c r="CB50" t="s">
        <v>384</v>
      </c>
      <c r="CC50" t="s">
        <v>384</v>
      </c>
      <c r="CD50" t="s">
        <v>384</v>
      </c>
      <c r="CE50" t="s">
        <v>384</v>
      </c>
      <c r="CF50" t="s">
        <v>384</v>
      </c>
      <c r="CG50" t="s">
        <v>384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83"/>
      <c r="B51" s="3" t="s">
        <v>16</v>
      </c>
      <c r="C51" s="11" t="s">
        <v>276</v>
      </c>
      <c r="D51" s="6" t="s">
        <v>160</v>
      </c>
      <c r="E51" s="9">
        <v>0</v>
      </c>
      <c r="F51" s="13">
        <v>0</v>
      </c>
      <c r="G51" s="13" t="s">
        <v>161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83"/>
      <c r="B52" s="3" t="s">
        <v>17</v>
      </c>
      <c r="C52" s="11" t="s">
        <v>276</v>
      </c>
      <c r="D52" s="6" t="s">
        <v>162</v>
      </c>
      <c r="E52" s="9">
        <v>0</v>
      </c>
      <c r="F52" s="13">
        <v>0</v>
      </c>
      <c r="G52" s="13" t="s">
        <v>163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 t="s">
        <v>313</v>
      </c>
      <c r="AU52" s="14" t="s">
        <v>313</v>
      </c>
      <c r="AV52" s="14" t="s">
        <v>313</v>
      </c>
      <c r="AW52" s="14" t="s">
        <v>314</v>
      </c>
      <c r="AX52" s="14" t="s">
        <v>314</v>
      </c>
      <c r="AY52" s="14" t="s">
        <v>314</v>
      </c>
      <c r="AZ52" s="14" t="s">
        <v>314</v>
      </c>
      <c r="BA52" s="14" t="s">
        <v>314</v>
      </c>
      <c r="BB52" s="14" t="s">
        <v>314</v>
      </c>
      <c r="BC52" s="14" t="s">
        <v>314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313</v>
      </c>
      <c r="CI52" t="s">
        <v>385</v>
      </c>
      <c r="CJ52" t="s">
        <v>385</v>
      </c>
      <c r="CK52" t="s">
        <v>385</v>
      </c>
      <c r="CL52" t="s">
        <v>385</v>
      </c>
      <c r="CM52" t="s">
        <v>385</v>
      </c>
      <c r="CN52" t="s">
        <v>385</v>
      </c>
      <c r="CO52" t="s">
        <v>385</v>
      </c>
      <c r="CP52" t="s">
        <v>385</v>
      </c>
      <c r="CQ52" t="s">
        <v>385</v>
      </c>
      <c r="CR52" t="s">
        <v>382</v>
      </c>
      <c r="CS52" t="s">
        <v>383</v>
      </c>
      <c r="CT52" t="s">
        <v>383</v>
      </c>
      <c r="CU52" t="s">
        <v>383</v>
      </c>
      <c r="CV52" t="s">
        <v>383</v>
      </c>
      <c r="CW52" t="s">
        <v>383</v>
      </c>
      <c r="CX52" t="s">
        <v>383</v>
      </c>
      <c r="CY52" t="s">
        <v>383</v>
      </c>
      <c r="CZ52" t="s">
        <v>383</v>
      </c>
      <c r="DA52" t="s">
        <v>383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 s="51">
        <v>0</v>
      </c>
      <c r="FA52" s="51">
        <v>0</v>
      </c>
      <c r="FB52" s="51">
        <v>0</v>
      </c>
      <c r="FC52">
        <v>0</v>
      </c>
      <c r="FD52" s="51">
        <v>0</v>
      </c>
      <c r="FE52">
        <v>0</v>
      </c>
      <c r="FF52" s="51">
        <v>0</v>
      </c>
      <c r="FG52">
        <v>0</v>
      </c>
      <c r="FH52" s="51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ht="14.55" customHeight="1" x14ac:dyDescent="0.3">
      <c r="A53" s="83" t="s">
        <v>18</v>
      </c>
      <c r="B53" s="12" t="s">
        <v>52</v>
      </c>
      <c r="C53" s="11" t="s">
        <v>276</v>
      </c>
      <c r="D53" s="6" t="s">
        <v>47</v>
      </c>
      <c r="E53" s="9">
        <v>0</v>
      </c>
      <c r="F53" s="13">
        <v>0</v>
      </c>
      <c r="G53" s="13" t="s">
        <v>48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386</v>
      </c>
      <c r="CI53" t="s">
        <v>386</v>
      </c>
      <c r="CJ53" t="s">
        <v>386</v>
      </c>
      <c r="CK53" t="s">
        <v>387</v>
      </c>
      <c r="CL53" t="s">
        <v>387</v>
      </c>
      <c r="CM53" t="s">
        <v>387</v>
      </c>
      <c r="CN53" t="s">
        <v>387</v>
      </c>
      <c r="CO53" t="s">
        <v>387</v>
      </c>
      <c r="CP53" t="s">
        <v>387</v>
      </c>
      <c r="CQ53" t="s">
        <v>387</v>
      </c>
      <c r="CR53" t="s">
        <v>386</v>
      </c>
      <c r="CS53" t="s">
        <v>386</v>
      </c>
      <c r="CT53" t="s">
        <v>386</v>
      </c>
      <c r="CU53" t="s">
        <v>387</v>
      </c>
      <c r="CV53" t="s">
        <v>387</v>
      </c>
      <c r="CW53" t="s">
        <v>387</v>
      </c>
      <c r="CX53" t="s">
        <v>387</v>
      </c>
      <c r="CY53" t="s">
        <v>387</v>
      </c>
      <c r="CZ53" t="s">
        <v>387</v>
      </c>
      <c r="DA53" t="s">
        <v>387</v>
      </c>
      <c r="DB53" t="s">
        <v>386</v>
      </c>
      <c r="DC53" t="s">
        <v>386</v>
      </c>
      <c r="DD53" t="s">
        <v>386</v>
      </c>
      <c r="DE53" t="s">
        <v>387</v>
      </c>
      <c r="DF53" t="s">
        <v>387</v>
      </c>
      <c r="DG53" t="s">
        <v>387</v>
      </c>
      <c r="DH53" t="s">
        <v>387</v>
      </c>
      <c r="DI53" t="s">
        <v>387</v>
      </c>
      <c r="DJ53" t="s">
        <v>387</v>
      </c>
      <c r="DK53" t="s">
        <v>387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ht="14.55" customHeight="1" x14ac:dyDescent="0.3">
      <c r="A54" s="83"/>
      <c r="B54" s="12" t="s">
        <v>51</v>
      </c>
      <c r="C54" s="11" t="s">
        <v>276</v>
      </c>
      <c r="D54" s="6" t="s">
        <v>49</v>
      </c>
      <c r="E54" s="9">
        <v>0</v>
      </c>
      <c r="F54" s="13">
        <v>0</v>
      </c>
      <c r="G54" s="13" t="s">
        <v>50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386</v>
      </c>
      <c r="CI54" t="s">
        <v>386</v>
      </c>
      <c r="CJ54" t="s">
        <v>386</v>
      </c>
      <c r="CK54" t="s">
        <v>387</v>
      </c>
      <c r="CL54" t="s">
        <v>387</v>
      </c>
      <c r="CM54" t="s">
        <v>387</v>
      </c>
      <c r="CN54" t="s">
        <v>387</v>
      </c>
      <c r="CO54" t="s">
        <v>387</v>
      </c>
      <c r="CP54" t="s">
        <v>387</v>
      </c>
      <c r="CQ54" t="s">
        <v>387</v>
      </c>
      <c r="CR54" t="s">
        <v>386</v>
      </c>
      <c r="CS54" t="s">
        <v>386</v>
      </c>
      <c r="CT54" t="s">
        <v>386</v>
      </c>
      <c r="CU54" t="s">
        <v>387</v>
      </c>
      <c r="CV54" t="s">
        <v>387</v>
      </c>
      <c r="CW54" t="s">
        <v>387</v>
      </c>
      <c r="CX54" t="s">
        <v>387</v>
      </c>
      <c r="CY54" t="s">
        <v>387</v>
      </c>
      <c r="CZ54" t="s">
        <v>387</v>
      </c>
      <c r="DA54" t="s">
        <v>387</v>
      </c>
      <c r="DB54" t="s">
        <v>386</v>
      </c>
      <c r="DC54" t="s">
        <v>386</v>
      </c>
      <c r="DD54" t="s">
        <v>386</v>
      </c>
      <c r="DE54" t="s">
        <v>387</v>
      </c>
      <c r="DF54" t="s">
        <v>387</v>
      </c>
      <c r="DG54" t="s">
        <v>387</v>
      </c>
      <c r="DH54" t="s">
        <v>387</v>
      </c>
      <c r="DI54" t="s">
        <v>387</v>
      </c>
      <c r="DJ54" t="s">
        <v>387</v>
      </c>
      <c r="DK54" t="s">
        <v>387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83"/>
      <c r="B55" s="12" t="str">
        <f>CONCATENATE("RPU_"&amp;D55)</f>
        <v>RPU_ON_SP198-HH100</v>
      </c>
      <c r="C55" s="11" t="s">
        <v>276</v>
      </c>
      <c r="D55" s="2" t="s">
        <v>164</v>
      </c>
      <c r="E55" s="9">
        <v>0</v>
      </c>
      <c r="F55" s="13">
        <v>0</v>
      </c>
      <c r="G55" s="13" t="s">
        <v>53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386</v>
      </c>
      <c r="CI55" t="s">
        <v>386</v>
      </c>
      <c r="CJ55" t="s">
        <v>386</v>
      </c>
      <c r="CK55" t="s">
        <v>387</v>
      </c>
      <c r="CL55" t="s">
        <v>387</v>
      </c>
      <c r="CM55" t="s">
        <v>387</v>
      </c>
      <c r="CN55" t="s">
        <v>387</v>
      </c>
      <c r="CO55" t="s">
        <v>387</v>
      </c>
      <c r="CP55" t="s">
        <v>387</v>
      </c>
      <c r="CQ55" t="s">
        <v>387</v>
      </c>
      <c r="CR55" t="s">
        <v>386</v>
      </c>
      <c r="CS55" t="s">
        <v>386</v>
      </c>
      <c r="CT55" t="s">
        <v>386</v>
      </c>
      <c r="CU55" t="s">
        <v>387</v>
      </c>
      <c r="CV55" t="s">
        <v>387</v>
      </c>
      <c r="CW55" t="s">
        <v>387</v>
      </c>
      <c r="CX55" t="s">
        <v>387</v>
      </c>
      <c r="CY55" t="s">
        <v>387</v>
      </c>
      <c r="CZ55" t="s">
        <v>387</v>
      </c>
      <c r="DA55" t="s">
        <v>387</v>
      </c>
      <c r="DB55" t="s">
        <v>386</v>
      </c>
      <c r="DC55" t="s">
        <v>386</v>
      </c>
      <c r="DD55" t="s">
        <v>386</v>
      </c>
      <c r="DE55" t="s">
        <v>387</v>
      </c>
      <c r="DF55" t="s">
        <v>387</v>
      </c>
      <c r="DG55" t="s">
        <v>387</v>
      </c>
      <c r="DH55" t="s">
        <v>387</v>
      </c>
      <c r="DI55" t="s">
        <v>387</v>
      </c>
      <c r="DJ55" t="s">
        <v>387</v>
      </c>
      <c r="DK55" t="s">
        <v>387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83"/>
      <c r="B56" s="12" t="str">
        <f t="shared" ref="B56:B66" si="4">CONCATENATE("RPU_"&amp;D56)</f>
        <v>RPU_ON_SP198-HH150</v>
      </c>
      <c r="C56" s="11" t="s">
        <v>276</v>
      </c>
      <c r="D56" s="2" t="s">
        <v>54</v>
      </c>
      <c r="E56" s="9">
        <v>0</v>
      </c>
      <c r="F56" s="13">
        <v>0</v>
      </c>
      <c r="G56" s="13" t="s">
        <v>55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386</v>
      </c>
      <c r="CI56" t="s">
        <v>386</v>
      </c>
      <c r="CJ56" t="s">
        <v>386</v>
      </c>
      <c r="CK56" t="s">
        <v>387</v>
      </c>
      <c r="CL56" t="s">
        <v>387</v>
      </c>
      <c r="CM56" t="s">
        <v>387</v>
      </c>
      <c r="CN56" t="s">
        <v>387</v>
      </c>
      <c r="CO56" t="s">
        <v>387</v>
      </c>
      <c r="CP56" t="s">
        <v>387</v>
      </c>
      <c r="CQ56" t="s">
        <v>387</v>
      </c>
      <c r="CR56" t="s">
        <v>386</v>
      </c>
      <c r="CS56" t="s">
        <v>386</v>
      </c>
      <c r="CT56" t="s">
        <v>386</v>
      </c>
      <c r="CU56" t="s">
        <v>387</v>
      </c>
      <c r="CV56" t="s">
        <v>387</v>
      </c>
      <c r="CW56" t="s">
        <v>387</v>
      </c>
      <c r="CX56" t="s">
        <v>387</v>
      </c>
      <c r="CY56" t="s">
        <v>387</v>
      </c>
      <c r="CZ56" t="s">
        <v>387</v>
      </c>
      <c r="DA56" t="s">
        <v>387</v>
      </c>
      <c r="DB56" t="s">
        <v>386</v>
      </c>
      <c r="DC56" t="s">
        <v>386</v>
      </c>
      <c r="DD56" t="s">
        <v>386</v>
      </c>
      <c r="DE56" t="s">
        <v>387</v>
      </c>
      <c r="DF56" t="s">
        <v>387</v>
      </c>
      <c r="DG56" t="s">
        <v>387</v>
      </c>
      <c r="DH56" t="s">
        <v>387</v>
      </c>
      <c r="DI56" t="s">
        <v>387</v>
      </c>
      <c r="DJ56" t="s">
        <v>387</v>
      </c>
      <c r="DK56" t="s">
        <v>387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83"/>
      <c r="B57" s="12" t="str">
        <f t="shared" si="4"/>
        <v>RPU_ON_SP237-HH100</v>
      </c>
      <c r="C57" s="11" t="s">
        <v>276</v>
      </c>
      <c r="D57" s="2" t="s">
        <v>56</v>
      </c>
      <c r="E57" s="9">
        <v>0</v>
      </c>
      <c r="F57" s="13">
        <v>0</v>
      </c>
      <c r="G57" s="13" t="s">
        <v>57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386</v>
      </c>
      <c r="CI57" t="s">
        <v>386</v>
      </c>
      <c r="CJ57" t="s">
        <v>386</v>
      </c>
      <c r="CK57" t="s">
        <v>387</v>
      </c>
      <c r="CL57" t="s">
        <v>387</v>
      </c>
      <c r="CM57" t="s">
        <v>387</v>
      </c>
      <c r="CN57" t="s">
        <v>387</v>
      </c>
      <c r="CO57" t="s">
        <v>387</v>
      </c>
      <c r="CP57" t="s">
        <v>387</v>
      </c>
      <c r="CQ57" t="s">
        <v>387</v>
      </c>
      <c r="CR57" t="s">
        <v>386</v>
      </c>
      <c r="CS57" t="s">
        <v>386</v>
      </c>
      <c r="CT57" t="s">
        <v>386</v>
      </c>
      <c r="CU57" t="s">
        <v>387</v>
      </c>
      <c r="CV57" t="s">
        <v>387</v>
      </c>
      <c r="CW57" t="s">
        <v>387</v>
      </c>
      <c r="CX57" t="s">
        <v>387</v>
      </c>
      <c r="CY57" t="s">
        <v>387</v>
      </c>
      <c r="CZ57" t="s">
        <v>387</v>
      </c>
      <c r="DA57" t="s">
        <v>387</v>
      </c>
      <c r="DB57" t="s">
        <v>386</v>
      </c>
      <c r="DC57" t="s">
        <v>386</v>
      </c>
      <c r="DD57" t="s">
        <v>386</v>
      </c>
      <c r="DE57" t="s">
        <v>387</v>
      </c>
      <c r="DF57" t="s">
        <v>387</v>
      </c>
      <c r="DG57" t="s">
        <v>387</v>
      </c>
      <c r="DH57" t="s">
        <v>387</v>
      </c>
      <c r="DI57" t="s">
        <v>387</v>
      </c>
      <c r="DJ57" t="s">
        <v>387</v>
      </c>
      <c r="DK57" t="s">
        <v>387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83"/>
      <c r="B58" s="12" t="str">
        <f t="shared" si="4"/>
        <v>RPU_ON_SP237-HH150</v>
      </c>
      <c r="C58" s="11" t="s">
        <v>276</v>
      </c>
      <c r="D58" s="2" t="s">
        <v>58</v>
      </c>
      <c r="E58" s="9">
        <v>0</v>
      </c>
      <c r="F58" s="13">
        <v>0</v>
      </c>
      <c r="G58" s="13" t="s">
        <v>59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386</v>
      </c>
      <c r="CI58" t="s">
        <v>386</v>
      </c>
      <c r="CJ58" t="s">
        <v>386</v>
      </c>
      <c r="CK58" t="s">
        <v>387</v>
      </c>
      <c r="CL58" t="s">
        <v>387</v>
      </c>
      <c r="CM58" t="s">
        <v>387</v>
      </c>
      <c r="CN58" t="s">
        <v>387</v>
      </c>
      <c r="CO58" t="s">
        <v>387</v>
      </c>
      <c r="CP58" t="s">
        <v>387</v>
      </c>
      <c r="CQ58" t="s">
        <v>387</v>
      </c>
      <c r="CR58" t="s">
        <v>386</v>
      </c>
      <c r="CS58" t="s">
        <v>386</v>
      </c>
      <c r="CT58" t="s">
        <v>386</v>
      </c>
      <c r="CU58" t="s">
        <v>387</v>
      </c>
      <c r="CV58" t="s">
        <v>387</v>
      </c>
      <c r="CW58" t="s">
        <v>387</v>
      </c>
      <c r="CX58" t="s">
        <v>387</v>
      </c>
      <c r="CY58" t="s">
        <v>387</v>
      </c>
      <c r="CZ58" t="s">
        <v>387</v>
      </c>
      <c r="DA58" t="s">
        <v>387</v>
      </c>
      <c r="DB58" t="s">
        <v>386</v>
      </c>
      <c r="DC58" t="s">
        <v>386</v>
      </c>
      <c r="DD58" t="s">
        <v>386</v>
      </c>
      <c r="DE58" t="s">
        <v>387</v>
      </c>
      <c r="DF58" t="s">
        <v>387</v>
      </c>
      <c r="DG58" t="s">
        <v>387</v>
      </c>
      <c r="DH58" t="s">
        <v>387</v>
      </c>
      <c r="DI58" t="s">
        <v>387</v>
      </c>
      <c r="DJ58" t="s">
        <v>387</v>
      </c>
      <c r="DK58" t="s">
        <v>387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83"/>
      <c r="B59" s="12" t="str">
        <f t="shared" si="4"/>
        <v>RPU_ON_SP277-HH100</v>
      </c>
      <c r="C59" s="11" t="s">
        <v>276</v>
      </c>
      <c r="D59" s="2" t="s">
        <v>60</v>
      </c>
      <c r="E59" s="9">
        <v>0</v>
      </c>
      <c r="F59" s="13">
        <v>0</v>
      </c>
      <c r="G59" s="13" t="s">
        <v>61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386</v>
      </c>
      <c r="CI59" t="s">
        <v>386</v>
      </c>
      <c r="CJ59" t="s">
        <v>386</v>
      </c>
      <c r="CK59" t="s">
        <v>387</v>
      </c>
      <c r="CL59" t="s">
        <v>387</v>
      </c>
      <c r="CM59" t="s">
        <v>387</v>
      </c>
      <c r="CN59" t="s">
        <v>387</v>
      </c>
      <c r="CO59" t="s">
        <v>387</v>
      </c>
      <c r="CP59" t="s">
        <v>387</v>
      </c>
      <c r="CQ59" t="s">
        <v>387</v>
      </c>
      <c r="CR59" t="s">
        <v>386</v>
      </c>
      <c r="CS59" t="s">
        <v>386</v>
      </c>
      <c r="CT59" t="s">
        <v>386</v>
      </c>
      <c r="CU59" t="s">
        <v>387</v>
      </c>
      <c r="CV59" t="s">
        <v>387</v>
      </c>
      <c r="CW59" t="s">
        <v>387</v>
      </c>
      <c r="CX59" t="s">
        <v>387</v>
      </c>
      <c r="CY59" t="s">
        <v>387</v>
      </c>
      <c r="CZ59" t="s">
        <v>387</v>
      </c>
      <c r="DA59" t="s">
        <v>387</v>
      </c>
      <c r="DB59" t="s">
        <v>386</v>
      </c>
      <c r="DC59" t="s">
        <v>386</v>
      </c>
      <c r="DD59" t="s">
        <v>386</v>
      </c>
      <c r="DE59" t="s">
        <v>387</v>
      </c>
      <c r="DF59" t="s">
        <v>387</v>
      </c>
      <c r="DG59" t="s">
        <v>387</v>
      </c>
      <c r="DH59" t="s">
        <v>387</v>
      </c>
      <c r="DI59" t="s">
        <v>387</v>
      </c>
      <c r="DJ59" t="s">
        <v>387</v>
      </c>
      <c r="DK59" t="s">
        <v>387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0</v>
      </c>
      <c r="EG59" s="16">
        <v>0</v>
      </c>
      <c r="EH59" s="16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83"/>
      <c r="B60" s="12" t="str">
        <f t="shared" si="4"/>
        <v>RPU_ON_SP277-HH150</v>
      </c>
      <c r="C60" s="11" t="s">
        <v>276</v>
      </c>
      <c r="D60" s="2" t="s">
        <v>62</v>
      </c>
      <c r="E60" s="9">
        <v>0</v>
      </c>
      <c r="F60" s="13">
        <v>0</v>
      </c>
      <c r="G60" s="13" t="s">
        <v>63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386</v>
      </c>
      <c r="CI60" t="s">
        <v>386</v>
      </c>
      <c r="CJ60" t="s">
        <v>386</v>
      </c>
      <c r="CK60" t="s">
        <v>387</v>
      </c>
      <c r="CL60" t="s">
        <v>387</v>
      </c>
      <c r="CM60" t="s">
        <v>387</v>
      </c>
      <c r="CN60" t="s">
        <v>387</v>
      </c>
      <c r="CO60" t="s">
        <v>387</v>
      </c>
      <c r="CP60" t="s">
        <v>387</v>
      </c>
      <c r="CQ60" t="s">
        <v>387</v>
      </c>
      <c r="CR60" t="s">
        <v>386</v>
      </c>
      <c r="CS60" t="s">
        <v>386</v>
      </c>
      <c r="CT60" t="s">
        <v>386</v>
      </c>
      <c r="CU60" t="s">
        <v>387</v>
      </c>
      <c r="CV60" t="s">
        <v>387</v>
      </c>
      <c r="CW60" t="s">
        <v>387</v>
      </c>
      <c r="CX60" t="s">
        <v>387</v>
      </c>
      <c r="CY60" t="s">
        <v>387</v>
      </c>
      <c r="CZ60" t="s">
        <v>387</v>
      </c>
      <c r="DA60" t="s">
        <v>387</v>
      </c>
      <c r="DB60" t="s">
        <v>386</v>
      </c>
      <c r="DC60" t="s">
        <v>386</v>
      </c>
      <c r="DD60" t="s">
        <v>386</v>
      </c>
      <c r="DE60" t="s">
        <v>387</v>
      </c>
      <c r="DF60" t="s">
        <v>387</v>
      </c>
      <c r="DG60" t="s">
        <v>387</v>
      </c>
      <c r="DH60" t="s">
        <v>387</v>
      </c>
      <c r="DI60" t="s">
        <v>387</v>
      </c>
      <c r="DJ60" t="s">
        <v>387</v>
      </c>
      <c r="DK60" t="s">
        <v>387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0</v>
      </c>
      <c r="EG60" s="16">
        <v>0</v>
      </c>
      <c r="EH60" s="16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83"/>
      <c r="B61" s="12" t="str">
        <f t="shared" si="4"/>
        <v>RPU_ON_SP321-HH100</v>
      </c>
      <c r="C61" s="11" t="s">
        <v>276</v>
      </c>
      <c r="D61" s="2" t="s">
        <v>64</v>
      </c>
      <c r="E61" s="9">
        <v>0</v>
      </c>
      <c r="F61" s="13">
        <v>0</v>
      </c>
      <c r="G61" s="13" t="s">
        <v>65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386</v>
      </c>
      <c r="CI61" t="s">
        <v>386</v>
      </c>
      <c r="CJ61" t="s">
        <v>386</v>
      </c>
      <c r="CK61" t="s">
        <v>387</v>
      </c>
      <c r="CL61" t="s">
        <v>387</v>
      </c>
      <c r="CM61" t="s">
        <v>387</v>
      </c>
      <c r="CN61" t="s">
        <v>387</v>
      </c>
      <c r="CO61" t="s">
        <v>387</v>
      </c>
      <c r="CP61" t="s">
        <v>387</v>
      </c>
      <c r="CQ61" t="s">
        <v>387</v>
      </c>
      <c r="CR61" t="s">
        <v>386</v>
      </c>
      <c r="CS61" t="s">
        <v>386</v>
      </c>
      <c r="CT61" t="s">
        <v>386</v>
      </c>
      <c r="CU61" t="s">
        <v>387</v>
      </c>
      <c r="CV61" t="s">
        <v>387</v>
      </c>
      <c r="CW61" t="s">
        <v>387</v>
      </c>
      <c r="CX61" t="s">
        <v>387</v>
      </c>
      <c r="CY61" t="s">
        <v>387</v>
      </c>
      <c r="CZ61" t="s">
        <v>387</v>
      </c>
      <c r="DA61" t="s">
        <v>387</v>
      </c>
      <c r="DB61" t="s">
        <v>386</v>
      </c>
      <c r="DC61" t="s">
        <v>386</v>
      </c>
      <c r="DD61" t="s">
        <v>386</v>
      </c>
      <c r="DE61" t="s">
        <v>387</v>
      </c>
      <c r="DF61" t="s">
        <v>387</v>
      </c>
      <c r="DG61" t="s">
        <v>387</v>
      </c>
      <c r="DH61" t="s">
        <v>387</v>
      </c>
      <c r="DI61" t="s">
        <v>387</v>
      </c>
      <c r="DJ61" t="s">
        <v>387</v>
      </c>
      <c r="DK61" t="s">
        <v>387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0</v>
      </c>
      <c r="EG61" s="16">
        <v>0</v>
      </c>
      <c r="EH61" s="16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83"/>
      <c r="B62" s="12" t="str">
        <f t="shared" si="4"/>
        <v>RPU_ON_SP321-HH150</v>
      </c>
      <c r="C62" s="11" t="s">
        <v>276</v>
      </c>
      <c r="D62" s="2" t="s">
        <v>66</v>
      </c>
      <c r="E62" s="9">
        <v>0</v>
      </c>
      <c r="F62" s="13">
        <v>0</v>
      </c>
      <c r="G62" s="13" t="s">
        <v>67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386</v>
      </c>
      <c r="CI62" t="s">
        <v>386</v>
      </c>
      <c r="CJ62" t="s">
        <v>386</v>
      </c>
      <c r="CK62" t="s">
        <v>387</v>
      </c>
      <c r="CL62" t="s">
        <v>387</v>
      </c>
      <c r="CM62" t="s">
        <v>387</v>
      </c>
      <c r="CN62" t="s">
        <v>387</v>
      </c>
      <c r="CO62" t="s">
        <v>387</v>
      </c>
      <c r="CP62" t="s">
        <v>387</v>
      </c>
      <c r="CQ62" t="s">
        <v>387</v>
      </c>
      <c r="CR62" t="s">
        <v>386</v>
      </c>
      <c r="CS62" t="s">
        <v>386</v>
      </c>
      <c r="CT62" t="s">
        <v>386</v>
      </c>
      <c r="CU62" t="s">
        <v>387</v>
      </c>
      <c r="CV62" t="s">
        <v>387</v>
      </c>
      <c r="CW62" t="s">
        <v>387</v>
      </c>
      <c r="CX62" t="s">
        <v>387</v>
      </c>
      <c r="CY62" t="s">
        <v>387</v>
      </c>
      <c r="CZ62" t="s">
        <v>387</v>
      </c>
      <c r="DA62" t="s">
        <v>387</v>
      </c>
      <c r="DB62" t="s">
        <v>386</v>
      </c>
      <c r="DC62" t="s">
        <v>386</v>
      </c>
      <c r="DD62" t="s">
        <v>386</v>
      </c>
      <c r="DE62" t="s">
        <v>387</v>
      </c>
      <c r="DF62" t="s">
        <v>387</v>
      </c>
      <c r="DG62" t="s">
        <v>387</v>
      </c>
      <c r="DH62" t="s">
        <v>387</v>
      </c>
      <c r="DI62" t="s">
        <v>387</v>
      </c>
      <c r="DJ62" t="s">
        <v>387</v>
      </c>
      <c r="DK62" t="s">
        <v>387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0</v>
      </c>
      <c r="EG62" s="16">
        <v>0</v>
      </c>
      <c r="EH62" s="16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83"/>
      <c r="B63" s="12" t="str">
        <f t="shared" si="4"/>
        <v>RPU_OFF_SP379-HH100</v>
      </c>
      <c r="C63" s="11" t="s">
        <v>276</v>
      </c>
      <c r="D63" s="2" t="s">
        <v>68</v>
      </c>
      <c r="E63" s="9">
        <v>0</v>
      </c>
      <c r="F63" s="13">
        <v>0</v>
      </c>
      <c r="G63" s="13" t="s">
        <v>69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 t="s">
        <v>386</v>
      </c>
      <c r="CI63" t="s">
        <v>386</v>
      </c>
      <c r="CJ63" t="s">
        <v>386</v>
      </c>
      <c r="CK63" t="s">
        <v>387</v>
      </c>
      <c r="CL63" t="s">
        <v>387</v>
      </c>
      <c r="CM63" t="s">
        <v>387</v>
      </c>
      <c r="CN63" t="s">
        <v>387</v>
      </c>
      <c r="CO63" t="s">
        <v>387</v>
      </c>
      <c r="CP63" t="s">
        <v>387</v>
      </c>
      <c r="CQ63" t="s">
        <v>387</v>
      </c>
      <c r="CR63" t="s">
        <v>386</v>
      </c>
      <c r="CS63" t="s">
        <v>386</v>
      </c>
      <c r="CT63" t="s">
        <v>386</v>
      </c>
      <c r="CU63" t="s">
        <v>387</v>
      </c>
      <c r="CV63" t="s">
        <v>387</v>
      </c>
      <c r="CW63" t="s">
        <v>387</v>
      </c>
      <c r="CX63" t="s">
        <v>387</v>
      </c>
      <c r="CY63" t="s">
        <v>387</v>
      </c>
      <c r="CZ63" t="s">
        <v>387</v>
      </c>
      <c r="DA63" t="s">
        <v>387</v>
      </c>
      <c r="DB63" t="s">
        <v>386</v>
      </c>
      <c r="DC63" t="s">
        <v>386</v>
      </c>
      <c r="DD63" t="s">
        <v>386</v>
      </c>
      <c r="DE63" t="s">
        <v>387</v>
      </c>
      <c r="DF63" t="s">
        <v>387</v>
      </c>
      <c r="DG63" t="s">
        <v>387</v>
      </c>
      <c r="DH63" t="s">
        <v>387</v>
      </c>
      <c r="DI63" t="s">
        <v>387</v>
      </c>
      <c r="DJ63" t="s">
        <v>387</v>
      </c>
      <c r="DK63" t="s">
        <v>387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</row>
    <row r="64" spans="1:175" x14ac:dyDescent="0.3">
      <c r="A64" s="83"/>
      <c r="B64" s="12" t="str">
        <f t="shared" si="4"/>
        <v>RPU_OFF_SP379-HH150</v>
      </c>
      <c r="C64" s="11" t="s">
        <v>276</v>
      </c>
      <c r="D64" s="2" t="s">
        <v>70</v>
      </c>
      <c r="E64" s="9">
        <v>0</v>
      </c>
      <c r="F64" s="13">
        <v>0</v>
      </c>
      <c r="G64" s="13" t="s">
        <v>71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 t="s">
        <v>386</v>
      </c>
      <c r="CI64" t="s">
        <v>386</v>
      </c>
      <c r="CJ64" t="s">
        <v>386</v>
      </c>
      <c r="CK64" t="s">
        <v>387</v>
      </c>
      <c r="CL64" t="s">
        <v>387</v>
      </c>
      <c r="CM64" t="s">
        <v>387</v>
      </c>
      <c r="CN64" t="s">
        <v>387</v>
      </c>
      <c r="CO64" t="s">
        <v>387</v>
      </c>
      <c r="CP64" t="s">
        <v>387</v>
      </c>
      <c r="CQ64" t="s">
        <v>387</v>
      </c>
      <c r="CR64" t="s">
        <v>386</v>
      </c>
      <c r="CS64" t="s">
        <v>386</v>
      </c>
      <c r="CT64" t="s">
        <v>386</v>
      </c>
      <c r="CU64" t="s">
        <v>387</v>
      </c>
      <c r="CV64" t="s">
        <v>387</v>
      </c>
      <c r="CW64" t="s">
        <v>387</v>
      </c>
      <c r="CX64" t="s">
        <v>387</v>
      </c>
      <c r="CY64" t="s">
        <v>387</v>
      </c>
      <c r="CZ64" t="s">
        <v>387</v>
      </c>
      <c r="DA64" t="s">
        <v>387</v>
      </c>
      <c r="DB64" t="s">
        <v>386</v>
      </c>
      <c r="DC64" t="s">
        <v>386</v>
      </c>
      <c r="DD64" t="s">
        <v>386</v>
      </c>
      <c r="DE64" t="s">
        <v>387</v>
      </c>
      <c r="DF64" t="s">
        <v>387</v>
      </c>
      <c r="DG64" t="s">
        <v>387</v>
      </c>
      <c r="DH64" t="s">
        <v>387</v>
      </c>
      <c r="DI64" t="s">
        <v>387</v>
      </c>
      <c r="DJ64" t="s">
        <v>387</v>
      </c>
      <c r="DK64" t="s">
        <v>387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83"/>
      <c r="B65" s="12" t="str">
        <f t="shared" si="4"/>
        <v>RPU_OFF_SP450-HH100</v>
      </c>
      <c r="C65" s="11" t="s">
        <v>276</v>
      </c>
      <c r="D65" s="2" t="s">
        <v>72</v>
      </c>
      <c r="E65" s="9">
        <v>0</v>
      </c>
      <c r="F65" s="13">
        <v>0</v>
      </c>
      <c r="G65" s="13" t="s">
        <v>73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 t="s">
        <v>386</v>
      </c>
      <c r="CI65" t="s">
        <v>386</v>
      </c>
      <c r="CJ65" t="s">
        <v>386</v>
      </c>
      <c r="CK65" t="s">
        <v>387</v>
      </c>
      <c r="CL65" t="s">
        <v>387</v>
      </c>
      <c r="CM65" t="s">
        <v>387</v>
      </c>
      <c r="CN65" t="s">
        <v>387</v>
      </c>
      <c r="CO65" t="s">
        <v>387</v>
      </c>
      <c r="CP65" t="s">
        <v>387</v>
      </c>
      <c r="CQ65" t="s">
        <v>387</v>
      </c>
      <c r="CR65" t="s">
        <v>386</v>
      </c>
      <c r="CS65" t="s">
        <v>386</v>
      </c>
      <c r="CT65" t="s">
        <v>386</v>
      </c>
      <c r="CU65" t="s">
        <v>387</v>
      </c>
      <c r="CV65" t="s">
        <v>387</v>
      </c>
      <c r="CW65" t="s">
        <v>387</v>
      </c>
      <c r="CX65" t="s">
        <v>387</v>
      </c>
      <c r="CY65" t="s">
        <v>387</v>
      </c>
      <c r="CZ65" t="s">
        <v>387</v>
      </c>
      <c r="DA65" t="s">
        <v>387</v>
      </c>
      <c r="DB65" t="s">
        <v>386</v>
      </c>
      <c r="DC65" t="s">
        <v>386</v>
      </c>
      <c r="DD65" t="s">
        <v>386</v>
      </c>
      <c r="DE65" t="s">
        <v>387</v>
      </c>
      <c r="DF65" t="s">
        <v>387</v>
      </c>
      <c r="DG65" t="s">
        <v>387</v>
      </c>
      <c r="DH65" t="s">
        <v>387</v>
      </c>
      <c r="DI65" t="s">
        <v>387</v>
      </c>
      <c r="DJ65" t="s">
        <v>387</v>
      </c>
      <c r="DK65" t="s">
        <v>387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83"/>
      <c r="B66" s="12" t="str">
        <f t="shared" si="4"/>
        <v>RPU_OFF_SP450-HH150</v>
      </c>
      <c r="C66" s="11" t="s">
        <v>276</v>
      </c>
      <c r="D66" s="2" t="s">
        <v>165</v>
      </c>
      <c r="E66" s="9">
        <v>0</v>
      </c>
      <c r="F66" s="13">
        <v>0</v>
      </c>
      <c r="G66" s="13" t="s">
        <v>74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 t="s">
        <v>386</v>
      </c>
      <c r="CI66" t="s">
        <v>386</v>
      </c>
      <c r="CJ66" t="s">
        <v>386</v>
      </c>
      <c r="CK66" t="s">
        <v>387</v>
      </c>
      <c r="CL66" t="s">
        <v>387</v>
      </c>
      <c r="CM66" t="s">
        <v>387</v>
      </c>
      <c r="CN66" t="s">
        <v>387</v>
      </c>
      <c r="CO66" t="s">
        <v>387</v>
      </c>
      <c r="CP66" t="s">
        <v>387</v>
      </c>
      <c r="CQ66" t="s">
        <v>387</v>
      </c>
      <c r="CR66" t="s">
        <v>386</v>
      </c>
      <c r="CS66" t="s">
        <v>386</v>
      </c>
      <c r="CT66" t="s">
        <v>386</v>
      </c>
      <c r="CU66" t="s">
        <v>387</v>
      </c>
      <c r="CV66" t="s">
        <v>387</v>
      </c>
      <c r="CW66" t="s">
        <v>387</v>
      </c>
      <c r="CX66" t="s">
        <v>387</v>
      </c>
      <c r="CY66" t="s">
        <v>387</v>
      </c>
      <c r="CZ66" t="s">
        <v>387</v>
      </c>
      <c r="DA66" t="s">
        <v>387</v>
      </c>
      <c r="DB66" t="s">
        <v>386</v>
      </c>
      <c r="DC66" t="s">
        <v>386</v>
      </c>
      <c r="DD66" t="s">
        <v>386</v>
      </c>
      <c r="DE66" t="s">
        <v>387</v>
      </c>
      <c r="DF66" t="s">
        <v>387</v>
      </c>
      <c r="DG66" t="s">
        <v>387</v>
      </c>
      <c r="DH66" t="s">
        <v>387</v>
      </c>
      <c r="DI66" t="s">
        <v>387</v>
      </c>
      <c r="DJ66" t="s">
        <v>387</v>
      </c>
      <c r="DK66" t="s">
        <v>387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</row>
    <row r="67" spans="1:175" x14ac:dyDescent="0.3">
      <c r="A67" s="83"/>
      <c r="B67" s="12" t="s">
        <v>236</v>
      </c>
      <c r="C67" s="11" t="s">
        <v>276</v>
      </c>
      <c r="D67" s="2" t="s">
        <v>237</v>
      </c>
      <c r="E67" s="9">
        <v>0</v>
      </c>
      <c r="F67" s="13">
        <v>0</v>
      </c>
      <c r="G67" s="13" t="s">
        <v>237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 t="s">
        <v>286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 s="32">
        <v>0</v>
      </c>
      <c r="FK67" s="32">
        <v>0</v>
      </c>
      <c r="FL67" s="32">
        <v>0</v>
      </c>
      <c r="FM67" s="32">
        <v>0</v>
      </c>
      <c r="FN67" s="32">
        <v>0</v>
      </c>
      <c r="FO67" s="32">
        <v>0</v>
      </c>
      <c r="FP67" s="32">
        <v>0</v>
      </c>
      <c r="FQ67" s="32">
        <v>0</v>
      </c>
      <c r="FR67" s="32">
        <v>0</v>
      </c>
      <c r="FS67" s="32">
        <v>0</v>
      </c>
    </row>
    <row r="68" spans="1:175" x14ac:dyDescent="0.3">
      <c r="A68" s="83"/>
      <c r="B68" s="12" t="s">
        <v>15</v>
      </c>
      <c r="C68" s="11" t="s">
        <v>276</v>
      </c>
      <c r="D68" s="2" t="s">
        <v>270</v>
      </c>
      <c r="E68" s="9">
        <v>0</v>
      </c>
      <c r="F68" s="13">
        <v>0</v>
      </c>
      <c r="G68" s="13" t="s">
        <v>273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60">
        <v>0</v>
      </c>
      <c r="AU68" s="60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 x14ac:dyDescent="0.3">
      <c r="A69" s="83"/>
      <c r="B69" s="12" t="s">
        <v>16</v>
      </c>
      <c r="C69" s="11" t="s">
        <v>276</v>
      </c>
      <c r="D69" s="2" t="s">
        <v>271</v>
      </c>
      <c r="E69" s="9">
        <v>0</v>
      </c>
      <c r="F69" s="13">
        <v>0</v>
      </c>
      <c r="G69" s="13" t="s">
        <v>274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0">
        <v>0</v>
      </c>
      <c r="AU69" s="60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0</v>
      </c>
      <c r="BI69" s="60">
        <v>0</v>
      </c>
      <c r="BJ69" s="60">
        <v>0</v>
      </c>
      <c r="BK69" s="60">
        <v>0</v>
      </c>
      <c r="BL69" s="60">
        <v>0</v>
      </c>
      <c r="BM69" s="60">
        <v>0</v>
      </c>
      <c r="BN69" s="60">
        <v>0</v>
      </c>
      <c r="BO69" s="60">
        <v>0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0</v>
      </c>
      <c r="BW69" s="60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83"/>
      <c r="B70" s="12" t="s">
        <v>17</v>
      </c>
      <c r="C70" s="11" t="s">
        <v>276</v>
      </c>
      <c r="D70" s="2" t="s">
        <v>272</v>
      </c>
      <c r="E70" s="9">
        <v>0</v>
      </c>
      <c r="F70" s="13">
        <v>0</v>
      </c>
      <c r="G70" s="13" t="s">
        <v>272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0">
        <v>0</v>
      </c>
      <c r="AU70" s="60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0">
        <v>0</v>
      </c>
      <c r="BE70" s="60">
        <v>0</v>
      </c>
      <c r="BF70" s="60">
        <v>0</v>
      </c>
      <c r="BG70" s="60">
        <v>0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 s="32">
        <v>0</v>
      </c>
      <c r="FK70" s="32">
        <v>0</v>
      </c>
      <c r="FL70" s="32">
        <v>0</v>
      </c>
      <c r="FM70" s="32">
        <v>0</v>
      </c>
      <c r="FN70" s="32">
        <v>0</v>
      </c>
      <c r="FO70" s="32">
        <v>0</v>
      </c>
      <c r="FP70" s="32">
        <v>0</v>
      </c>
      <c r="FQ70" s="32">
        <v>0</v>
      </c>
      <c r="FR70" s="32">
        <v>0</v>
      </c>
      <c r="FS70" s="32">
        <v>0</v>
      </c>
    </row>
    <row r="71" spans="1:175" x14ac:dyDescent="0.3">
      <c r="A71" s="83"/>
      <c r="B71" s="61" t="s">
        <v>276</v>
      </c>
      <c r="C71" s="11" t="s">
        <v>276</v>
      </c>
      <c r="D71" s="2" t="s">
        <v>277</v>
      </c>
      <c r="E71" s="9">
        <v>0</v>
      </c>
      <c r="F71" s="13">
        <v>0</v>
      </c>
      <c r="G71" s="13" t="s">
        <v>277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0">
        <v>0</v>
      </c>
      <c r="AU71" s="60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83"/>
      <c r="B72" s="12" t="s">
        <v>28</v>
      </c>
      <c r="C72" s="4" t="s">
        <v>33</v>
      </c>
      <c r="D72" s="6" t="s">
        <v>43</v>
      </c>
      <c r="E72" s="9">
        <v>0</v>
      </c>
      <c r="F72" s="13">
        <v>0</v>
      </c>
      <c r="G72" s="13" t="s">
        <v>24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2">
        <v>0</v>
      </c>
      <c r="FK72" s="32">
        <v>0</v>
      </c>
      <c r="FL72" s="32">
        <v>0</v>
      </c>
      <c r="FM72" s="32">
        <v>0</v>
      </c>
      <c r="FN72" s="32">
        <v>0</v>
      </c>
      <c r="FO72" s="32">
        <v>0</v>
      </c>
      <c r="FP72" s="32">
        <v>0</v>
      </c>
      <c r="FQ72" s="32">
        <v>0</v>
      </c>
      <c r="FR72" s="32">
        <v>0</v>
      </c>
      <c r="FS72" s="32">
        <v>0</v>
      </c>
    </row>
    <row r="73" spans="1:175" x14ac:dyDescent="0.3">
      <c r="A73" s="83"/>
      <c r="B73" s="12" t="s">
        <v>217</v>
      </c>
      <c r="C73" s="4" t="s">
        <v>34</v>
      </c>
      <c r="D73" s="6" t="s">
        <v>278</v>
      </c>
      <c r="E73" s="9">
        <v>0</v>
      </c>
      <c r="F73" s="13">
        <v>0</v>
      </c>
      <c r="G73" s="13" t="s">
        <v>278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83"/>
      <c r="B74" s="12" t="s">
        <v>218</v>
      </c>
      <c r="C74" s="11" t="s">
        <v>276</v>
      </c>
      <c r="D74" s="6" t="s">
        <v>176</v>
      </c>
      <c r="E74" s="9">
        <v>0</v>
      </c>
      <c r="F74" s="13">
        <v>0</v>
      </c>
      <c r="G74" s="13" t="s">
        <v>177</v>
      </c>
      <c r="H74">
        <v>0</v>
      </c>
      <c r="I74" t="s">
        <v>12</v>
      </c>
      <c r="J74">
        <v>0</v>
      </c>
      <c r="K74">
        <v>0</v>
      </c>
      <c r="L74" s="10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34">
        <v>0</v>
      </c>
      <c r="AU74" s="3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34">
        <v>0</v>
      </c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4">
        <v>0</v>
      </c>
      <c r="BL74" s="34">
        <v>0</v>
      </c>
      <c r="BM74" s="34">
        <v>0</v>
      </c>
      <c r="BN74" s="34">
        <v>0</v>
      </c>
      <c r="BO74" s="34">
        <v>0</v>
      </c>
      <c r="BP74" s="34">
        <v>0</v>
      </c>
      <c r="BQ74" s="34">
        <v>0</v>
      </c>
      <c r="BR74" s="34">
        <v>0</v>
      </c>
      <c r="BS74" s="34">
        <v>0</v>
      </c>
      <c r="BT74" s="34">
        <v>0</v>
      </c>
      <c r="BU74" s="34">
        <v>0</v>
      </c>
      <c r="BV74" s="34">
        <v>0</v>
      </c>
      <c r="BW74" s="3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</row>
    <row r="75" spans="1:175" x14ac:dyDescent="0.3">
      <c r="A75" s="83"/>
      <c r="B75" s="12" t="s">
        <v>15</v>
      </c>
      <c r="C75" s="11" t="s">
        <v>276</v>
      </c>
      <c r="D75" s="6" t="s">
        <v>44</v>
      </c>
      <c r="E75" s="9">
        <v>0</v>
      </c>
      <c r="F75" s="13">
        <v>0</v>
      </c>
      <c r="G75" s="13" t="s">
        <v>25</v>
      </c>
      <c r="H75">
        <v>0</v>
      </c>
      <c r="I75" t="s">
        <v>12</v>
      </c>
      <c r="J75">
        <v>0</v>
      </c>
      <c r="K75">
        <v>0</v>
      </c>
      <c r="L75" s="10">
        <v>0</v>
      </c>
      <c r="M75">
        <v>0</v>
      </c>
      <c r="N75">
        <v>0</v>
      </c>
      <c r="O75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t="s">
        <v>388</v>
      </c>
      <c r="BY75" t="s">
        <v>388</v>
      </c>
      <c r="BZ75" t="s">
        <v>388</v>
      </c>
      <c r="CA75" t="s">
        <v>388</v>
      </c>
      <c r="CB75" t="s">
        <v>388</v>
      </c>
      <c r="CC75" t="s">
        <v>388</v>
      </c>
      <c r="CD75" t="s">
        <v>388</v>
      </c>
      <c r="CE75" t="s">
        <v>388</v>
      </c>
      <c r="CF75" t="s">
        <v>388</v>
      </c>
      <c r="CG75" t="s">
        <v>388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83"/>
      <c r="B76" s="12" t="s">
        <v>16</v>
      </c>
      <c r="C76" s="11" t="s">
        <v>276</v>
      </c>
      <c r="D76" s="6" t="s">
        <v>45</v>
      </c>
      <c r="E76" s="9">
        <v>0</v>
      </c>
      <c r="F76" s="13">
        <v>0</v>
      </c>
      <c r="G76" s="13" t="s">
        <v>26</v>
      </c>
      <c r="H76">
        <v>0</v>
      </c>
      <c r="I76" t="s">
        <v>12</v>
      </c>
      <c r="J76">
        <v>0</v>
      </c>
      <c r="K76">
        <v>0</v>
      </c>
      <c r="L76" s="10">
        <v>0</v>
      </c>
      <c r="M76">
        <v>0</v>
      </c>
      <c r="N76">
        <v>0</v>
      </c>
      <c r="O76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t="s">
        <v>388</v>
      </c>
      <c r="BY76" t="s">
        <v>388</v>
      </c>
      <c r="BZ76" t="s">
        <v>388</v>
      </c>
      <c r="CA76" t="s">
        <v>388</v>
      </c>
      <c r="CB76" t="s">
        <v>388</v>
      </c>
      <c r="CC76" t="s">
        <v>388</v>
      </c>
      <c r="CD76" t="s">
        <v>388</v>
      </c>
      <c r="CE76" t="s">
        <v>388</v>
      </c>
      <c r="CF76" t="s">
        <v>388</v>
      </c>
      <c r="CG76" t="s">
        <v>388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</row>
    <row r="77" spans="1:175" x14ac:dyDescent="0.3">
      <c r="A77" s="83"/>
      <c r="B77" s="12" t="s">
        <v>17</v>
      </c>
      <c r="C77" s="11" t="s">
        <v>276</v>
      </c>
      <c r="D77" s="2" t="s">
        <v>46</v>
      </c>
      <c r="E77" s="9">
        <v>0</v>
      </c>
      <c r="F77" s="13">
        <v>0</v>
      </c>
      <c r="G77" s="13" t="s">
        <v>27</v>
      </c>
      <c r="H77">
        <v>0</v>
      </c>
      <c r="I77" t="s">
        <v>12</v>
      </c>
      <c r="J77">
        <v>0</v>
      </c>
      <c r="K77">
        <v>0</v>
      </c>
      <c r="L77" s="10">
        <v>0</v>
      </c>
      <c r="M77">
        <v>0</v>
      </c>
      <c r="N77">
        <v>0</v>
      </c>
      <c r="O77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 t="s">
        <v>315</v>
      </c>
      <c r="AU77" s="14" t="s">
        <v>315</v>
      </c>
      <c r="AV77" s="14" t="s">
        <v>315</v>
      </c>
      <c r="AW77" s="14" t="s">
        <v>315</v>
      </c>
      <c r="AX77" s="14" t="s">
        <v>315</v>
      </c>
      <c r="AY77" s="14" t="s">
        <v>315</v>
      </c>
      <c r="AZ77" s="14" t="s">
        <v>315</v>
      </c>
      <c r="BA77" s="14" t="s">
        <v>315</v>
      </c>
      <c r="BB77" s="14" t="s">
        <v>315</v>
      </c>
      <c r="BC77" s="14" t="s">
        <v>315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 t="s">
        <v>389</v>
      </c>
      <c r="CI77" t="s">
        <v>390</v>
      </c>
      <c r="CJ77" t="s">
        <v>391</v>
      </c>
      <c r="CK77" t="s">
        <v>392</v>
      </c>
      <c r="CL77" t="s">
        <v>393</v>
      </c>
      <c r="CM77" t="s">
        <v>394</v>
      </c>
      <c r="CN77">
        <v>0</v>
      </c>
      <c r="CO77" t="s">
        <v>395</v>
      </c>
      <c r="CP77" t="s">
        <v>396</v>
      </c>
      <c r="CQ77" t="s">
        <v>397</v>
      </c>
      <c r="CR77" t="s">
        <v>398</v>
      </c>
      <c r="CS77" t="s">
        <v>399</v>
      </c>
      <c r="CT77" t="s">
        <v>400</v>
      </c>
      <c r="CU77" t="s">
        <v>398</v>
      </c>
      <c r="CV77" t="s">
        <v>399</v>
      </c>
      <c r="CW77" t="s">
        <v>400</v>
      </c>
      <c r="CX77">
        <v>0</v>
      </c>
      <c r="CY77" t="s">
        <v>398</v>
      </c>
      <c r="CZ77" t="s">
        <v>399</v>
      </c>
      <c r="DA77" t="s">
        <v>400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 t="s">
        <v>285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 s="51">
        <v>0</v>
      </c>
      <c r="FN77" s="51">
        <v>0</v>
      </c>
      <c r="FO77" s="51">
        <v>0</v>
      </c>
      <c r="FP77">
        <v>0</v>
      </c>
      <c r="FQ77">
        <v>0</v>
      </c>
      <c r="FR77">
        <v>0</v>
      </c>
      <c r="FS77">
        <v>0</v>
      </c>
    </row>
  </sheetData>
  <mergeCells count="22">
    <mergeCell ref="P4:Y4"/>
    <mergeCell ref="AJ4:AS4"/>
    <mergeCell ref="AT4:BB4"/>
    <mergeCell ref="BD4:BL4"/>
    <mergeCell ref="BN4:BV4"/>
    <mergeCell ref="Z4:AI4"/>
    <mergeCell ref="A9:A52"/>
    <mergeCell ref="A53:A77"/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  <mergeCell ref="B5:B8"/>
    <mergeCell ref="C5:C8"/>
    <mergeCell ref="D5:D8"/>
    <mergeCell ref="A4:C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G14" sqref="G14"/>
    </sheetView>
  </sheetViews>
  <sheetFormatPr defaultColWidth="39.33203125" defaultRowHeight="14.4" x14ac:dyDescent="0.3"/>
  <cols>
    <col min="1" max="1" width="43.109375" style="39" customWidth="1"/>
    <col min="2" max="2" width="57.77734375" style="38" customWidth="1"/>
    <col min="3" max="5" width="39.33203125" style="38"/>
    <col min="6" max="6" width="12" style="38" customWidth="1"/>
    <col min="7" max="7" width="39.33203125" style="47"/>
    <col min="8" max="16384" width="39.33203125" style="39"/>
  </cols>
  <sheetData>
    <row r="1" spans="1:8" s="42" customFormat="1" x14ac:dyDescent="0.3">
      <c r="A1" s="42" t="s">
        <v>297</v>
      </c>
      <c r="B1" s="43" t="s">
        <v>191</v>
      </c>
      <c r="C1" s="43" t="s">
        <v>212</v>
      </c>
      <c r="D1" s="43" t="s">
        <v>99</v>
      </c>
      <c r="E1" s="43" t="s">
        <v>190</v>
      </c>
      <c r="F1" s="43" t="s">
        <v>192</v>
      </c>
      <c r="G1" s="44" t="s">
        <v>210</v>
      </c>
      <c r="H1" s="42" t="s">
        <v>290</v>
      </c>
    </row>
    <row r="2" spans="1:8" ht="28.8" x14ac:dyDescent="0.3">
      <c r="A2" s="39" t="s">
        <v>283</v>
      </c>
      <c r="B2" s="38" t="s">
        <v>281</v>
      </c>
      <c r="C2" s="38" t="s">
        <v>282</v>
      </c>
      <c r="D2" s="38">
        <v>2023</v>
      </c>
      <c r="E2" s="38" t="s">
        <v>296</v>
      </c>
      <c r="G2" s="41"/>
      <c r="H2" s="47" t="s">
        <v>289</v>
      </c>
    </row>
    <row r="3" spans="1:8" ht="22.05" customHeight="1" x14ac:dyDescent="0.3">
      <c r="A3" s="39" t="s">
        <v>292</v>
      </c>
      <c r="B3" s="38" t="s">
        <v>293</v>
      </c>
      <c r="C3" s="38" t="s">
        <v>294</v>
      </c>
      <c r="D3" s="38">
        <v>2023</v>
      </c>
      <c r="E3" s="38" t="s">
        <v>295</v>
      </c>
      <c r="G3" s="41"/>
    </row>
    <row r="4" spans="1:8" ht="40.950000000000003" customHeight="1" x14ac:dyDescent="0.3">
      <c r="A4" s="39" t="str">
        <f t="shared" ref="A4:A5" si="0">C4&amp;D4</f>
        <v>Adams2019</v>
      </c>
      <c r="B4" s="38" t="s">
        <v>298</v>
      </c>
      <c r="C4" s="38" t="s">
        <v>299</v>
      </c>
      <c r="D4" s="38">
        <v>2019</v>
      </c>
      <c r="E4" s="38" t="s">
        <v>300</v>
      </c>
      <c r="G4" s="41" t="s">
        <v>301</v>
      </c>
    </row>
    <row r="5" spans="1:8" x14ac:dyDescent="0.3">
      <c r="A5" s="39" t="str">
        <f t="shared" si="0"/>
        <v>Papadias2021</v>
      </c>
      <c r="B5" s="39" t="s">
        <v>302</v>
      </c>
      <c r="C5" s="38" t="s">
        <v>303</v>
      </c>
      <c r="D5" s="38">
        <v>2021</v>
      </c>
      <c r="E5" s="38" t="s">
        <v>304</v>
      </c>
      <c r="G5" s="41" t="s">
        <v>204</v>
      </c>
    </row>
    <row r="6" spans="1:8" ht="34.5" customHeight="1" x14ac:dyDescent="0.3">
      <c r="A6" s="39" t="str">
        <f>C6&amp;D6</f>
        <v>Armijo2020</v>
      </c>
      <c r="B6" s="38" t="s">
        <v>305</v>
      </c>
      <c r="C6" s="38" t="s">
        <v>306</v>
      </c>
      <c r="D6" s="38">
        <v>2020</v>
      </c>
      <c r="E6" s="38" t="s">
        <v>304</v>
      </c>
      <c r="G6" s="41" t="s">
        <v>307</v>
      </c>
    </row>
    <row r="7" spans="1:8" x14ac:dyDescent="0.3">
      <c r="A7" s="39" t="str">
        <f t="shared" ref="A7" si="1">C7&amp;D7</f>
        <v>IEA2019</v>
      </c>
      <c r="B7" s="38" t="s">
        <v>325</v>
      </c>
      <c r="C7" s="38" t="s">
        <v>326</v>
      </c>
      <c r="D7" s="38">
        <v>2019</v>
      </c>
      <c r="E7" s="38" t="s">
        <v>327</v>
      </c>
      <c r="G7" s="41" t="s">
        <v>328</v>
      </c>
    </row>
    <row r="8" spans="1:8" ht="31.05" customHeight="1" x14ac:dyDescent="0.3">
      <c r="A8" s="39" t="s">
        <v>329</v>
      </c>
      <c r="B8" s="38" t="s">
        <v>330</v>
      </c>
      <c r="C8" s="38" t="s">
        <v>331</v>
      </c>
      <c r="D8" s="38">
        <v>2023</v>
      </c>
      <c r="E8" s="38" t="s">
        <v>304</v>
      </c>
      <c r="G8" s="41" t="s">
        <v>332</v>
      </c>
    </row>
    <row r="9" spans="1:8" x14ac:dyDescent="0.3">
      <c r="A9" s="39" t="s">
        <v>338</v>
      </c>
      <c r="B9" s="40" t="s">
        <v>339</v>
      </c>
      <c r="C9" s="38" t="s">
        <v>340</v>
      </c>
      <c r="D9" s="38">
        <v>2023</v>
      </c>
      <c r="E9" s="38" t="s">
        <v>296</v>
      </c>
      <c r="G9" s="41"/>
    </row>
    <row r="10" spans="1:8" x14ac:dyDescent="0.3">
      <c r="A10" s="39" t="s">
        <v>345</v>
      </c>
      <c r="B10" s="38" t="s">
        <v>344</v>
      </c>
      <c r="C10" s="38" t="s">
        <v>343</v>
      </c>
      <c r="D10" s="38">
        <v>2020</v>
      </c>
      <c r="E10" s="38" t="s">
        <v>342</v>
      </c>
      <c r="G10" s="41" t="s">
        <v>341</v>
      </c>
      <c r="H10" s="39" t="s">
        <v>346</v>
      </c>
    </row>
    <row r="11" spans="1:8" ht="28.8" x14ac:dyDescent="0.3">
      <c r="A11" s="39" t="str">
        <f t="shared" ref="A11" si="2">C11&amp;D11</f>
        <v>Ikäheimo2018</v>
      </c>
      <c r="B11" s="38" t="s">
        <v>347</v>
      </c>
      <c r="C11" s="38" t="s">
        <v>348</v>
      </c>
      <c r="D11" s="38">
        <v>2018</v>
      </c>
      <c r="E11" s="38" t="s">
        <v>349</v>
      </c>
      <c r="G11" s="41" t="s">
        <v>350</v>
      </c>
    </row>
    <row r="12" spans="1:8" x14ac:dyDescent="0.3">
      <c r="A12" s="39" t="s">
        <v>355</v>
      </c>
      <c r="B12" s="38" t="s">
        <v>351</v>
      </c>
      <c r="C12" s="38" t="s">
        <v>352</v>
      </c>
      <c r="D12" s="38">
        <v>2020</v>
      </c>
      <c r="E12" s="38" t="s">
        <v>353</v>
      </c>
      <c r="G12" s="41" t="s">
        <v>354</v>
      </c>
    </row>
    <row r="13" spans="1:8" x14ac:dyDescent="0.3">
      <c r="A13" s="39" t="s">
        <v>356</v>
      </c>
      <c r="B13" s="39" t="s">
        <v>357</v>
      </c>
      <c r="C13" s="38" t="s">
        <v>331</v>
      </c>
      <c r="D13" s="38">
        <v>2021</v>
      </c>
      <c r="E13" s="38" t="s">
        <v>295</v>
      </c>
      <c r="G13" s="41" t="s">
        <v>358</v>
      </c>
    </row>
    <row r="14" spans="1:8" ht="28.8" x14ac:dyDescent="0.3">
      <c r="A14" s="39" t="s">
        <v>459</v>
      </c>
      <c r="B14" s="70" t="s">
        <v>460</v>
      </c>
      <c r="C14" s="38" t="s">
        <v>461</v>
      </c>
      <c r="D14" s="38">
        <v>2022</v>
      </c>
      <c r="E14" s="38" t="s">
        <v>304</v>
      </c>
      <c r="G14" s="41" t="s">
        <v>462</v>
      </c>
    </row>
    <row r="15" spans="1:8" ht="43.2" x14ac:dyDescent="0.3">
      <c r="A15" s="39" t="s">
        <v>463</v>
      </c>
      <c r="B15" s="40" t="s">
        <v>464</v>
      </c>
      <c r="C15" s="38" t="s">
        <v>465</v>
      </c>
      <c r="D15" s="38">
        <v>2019</v>
      </c>
      <c r="E15" s="38" t="s">
        <v>304</v>
      </c>
      <c r="G15" s="71" t="s">
        <v>507</v>
      </c>
    </row>
    <row r="16" spans="1:8" ht="43.2" x14ac:dyDescent="0.3">
      <c r="A16" s="39" t="s">
        <v>466</v>
      </c>
      <c r="B16" s="39" t="s">
        <v>467</v>
      </c>
      <c r="C16" s="38" t="s">
        <v>468</v>
      </c>
      <c r="D16" s="38">
        <v>2014</v>
      </c>
      <c r="E16" s="38" t="s">
        <v>295</v>
      </c>
      <c r="F16" s="38" t="s">
        <v>469</v>
      </c>
      <c r="G16" s="41" t="s">
        <v>470</v>
      </c>
    </row>
    <row r="17" spans="1:7" x14ac:dyDescent="0.3">
      <c r="A17" s="39" t="s">
        <v>473</v>
      </c>
      <c r="B17" s="38" t="s">
        <v>474</v>
      </c>
      <c r="C17" s="38" t="s">
        <v>475</v>
      </c>
      <c r="D17" s="38">
        <v>2023</v>
      </c>
      <c r="E17" s="38" t="s">
        <v>295</v>
      </c>
      <c r="G17" s="41" t="s">
        <v>471</v>
      </c>
    </row>
    <row r="18" spans="1:7" x14ac:dyDescent="0.3">
      <c r="G18" s="41"/>
    </row>
    <row r="19" spans="1:7" x14ac:dyDescent="0.3">
      <c r="G19" s="41"/>
    </row>
    <row r="20" spans="1:7" x14ac:dyDescent="0.3">
      <c r="G20" s="41"/>
    </row>
    <row r="21" spans="1:7" x14ac:dyDescent="0.3">
      <c r="B21" s="13"/>
      <c r="G21" s="41"/>
    </row>
    <row r="22" spans="1:7" x14ac:dyDescent="0.3">
      <c r="B22" s="40"/>
      <c r="G22" s="41"/>
    </row>
    <row r="23" spans="1:7" x14ac:dyDescent="0.3">
      <c r="G23" s="41"/>
    </row>
    <row r="24" spans="1:7" x14ac:dyDescent="0.3">
      <c r="G24" s="41"/>
    </row>
    <row r="25" spans="1:7" x14ac:dyDescent="0.3">
      <c r="G25" s="41"/>
    </row>
    <row r="26" spans="1:7" x14ac:dyDescent="0.3">
      <c r="G26" s="41"/>
    </row>
    <row r="27" spans="1:7" x14ac:dyDescent="0.3">
      <c r="G27" s="41"/>
    </row>
    <row r="28" spans="1:7" x14ac:dyDescent="0.3">
      <c r="G28" s="41"/>
    </row>
    <row r="29" spans="1:7" x14ac:dyDescent="0.3">
      <c r="G29" s="41"/>
    </row>
    <row r="30" spans="1:7" x14ac:dyDescent="0.3">
      <c r="G30" s="41"/>
    </row>
    <row r="31" spans="1:7" x14ac:dyDescent="0.3">
      <c r="G31" s="41"/>
    </row>
    <row r="32" spans="1:7" x14ac:dyDescent="0.3">
      <c r="G32" s="41"/>
    </row>
    <row r="33" spans="3:7" x14ac:dyDescent="0.3">
      <c r="G33" s="41"/>
    </row>
    <row r="34" spans="3:7" x14ac:dyDescent="0.3">
      <c r="G34" s="41"/>
    </row>
    <row r="35" spans="3:7" x14ac:dyDescent="0.3">
      <c r="G35" s="41"/>
    </row>
    <row r="36" spans="3:7" x14ac:dyDescent="0.3">
      <c r="G36" s="41"/>
    </row>
    <row r="37" spans="3:7" x14ac:dyDescent="0.3">
      <c r="G37" s="41"/>
    </row>
    <row r="38" spans="3:7" x14ac:dyDescent="0.3">
      <c r="G38" s="41"/>
    </row>
    <row r="39" spans="3:7" x14ac:dyDescent="0.3">
      <c r="G39" s="41"/>
    </row>
    <row r="40" spans="3:7" x14ac:dyDescent="0.3">
      <c r="G40" s="41"/>
    </row>
    <row r="41" spans="3:7" x14ac:dyDescent="0.3">
      <c r="G41" s="41"/>
    </row>
    <row r="43" spans="3:7" x14ac:dyDescent="0.3">
      <c r="G43" s="41"/>
    </row>
    <row r="44" spans="3:7" x14ac:dyDescent="0.3">
      <c r="G44" s="41"/>
    </row>
    <row r="45" spans="3:7" x14ac:dyDescent="0.3">
      <c r="G45" s="41"/>
    </row>
    <row r="46" spans="3:7" x14ac:dyDescent="0.3">
      <c r="G46" s="41"/>
    </row>
    <row r="47" spans="3:7" x14ac:dyDescent="0.3">
      <c r="C47" s="13"/>
      <c r="G47" s="41"/>
    </row>
    <row r="48" spans="3:7" x14ac:dyDescent="0.3">
      <c r="G48" s="41"/>
    </row>
    <row r="49" spans="7:7" x14ac:dyDescent="0.3">
      <c r="G49" s="41"/>
    </row>
    <row r="50" spans="7:7" x14ac:dyDescent="0.3">
      <c r="G50" s="41"/>
    </row>
    <row r="51" spans="7:7" x14ac:dyDescent="0.3">
      <c r="G51" s="41"/>
    </row>
    <row r="52" spans="7:7" x14ac:dyDescent="0.3">
      <c r="G52" s="41"/>
    </row>
    <row r="53" spans="7:7" x14ac:dyDescent="0.3">
      <c r="G53" s="41"/>
    </row>
    <row r="54" spans="7:7" x14ac:dyDescent="0.3">
      <c r="G54" s="41"/>
    </row>
    <row r="55" spans="7:7" x14ac:dyDescent="0.3">
      <c r="G55" s="41"/>
    </row>
    <row r="56" spans="7:7" x14ac:dyDescent="0.3">
      <c r="G56" s="41"/>
    </row>
    <row r="57" spans="7:7" x14ac:dyDescent="0.3">
      <c r="G57" s="41"/>
    </row>
    <row r="58" spans="7:7" x14ac:dyDescent="0.3">
      <c r="G58" s="41"/>
    </row>
    <row r="59" spans="7:7" x14ac:dyDescent="0.3">
      <c r="G59" s="41"/>
    </row>
    <row r="60" spans="7:7" x14ac:dyDescent="0.3">
      <c r="G60" s="41"/>
    </row>
    <row r="61" spans="7:7" x14ac:dyDescent="0.3">
      <c r="G61" s="41"/>
    </row>
    <row r="62" spans="7:7" x14ac:dyDescent="0.3">
      <c r="G62" s="41"/>
    </row>
    <row r="63" spans="7:7" x14ac:dyDescent="0.3">
      <c r="G63" s="41"/>
    </row>
    <row r="64" spans="7:7" x14ac:dyDescent="0.3">
      <c r="G64" s="41"/>
    </row>
    <row r="65" spans="7:7" x14ac:dyDescent="0.3">
      <c r="G65" s="41"/>
    </row>
    <row r="66" spans="7:7" x14ac:dyDescent="0.3">
      <c r="G66" s="41"/>
    </row>
    <row r="67" spans="7:7" x14ac:dyDescent="0.3">
      <c r="G67" s="41"/>
    </row>
    <row r="68" spans="7:7" x14ac:dyDescent="0.3">
      <c r="G68" s="41"/>
    </row>
    <row r="69" spans="7:7" x14ac:dyDescent="0.3">
      <c r="G69" s="41"/>
    </row>
    <row r="70" spans="7:7" x14ac:dyDescent="0.3">
      <c r="G70" s="41"/>
    </row>
    <row r="71" spans="7:7" x14ac:dyDescent="0.3">
      <c r="G71" s="41"/>
    </row>
    <row r="72" spans="7:7" x14ac:dyDescent="0.3">
      <c r="G72" s="41"/>
    </row>
    <row r="73" spans="7:7" x14ac:dyDescent="0.3">
      <c r="G73" s="41"/>
    </row>
    <row r="74" spans="7:7" x14ac:dyDescent="0.3">
      <c r="G74" s="41"/>
    </row>
    <row r="75" spans="7:7" x14ac:dyDescent="0.3">
      <c r="G75" s="41"/>
    </row>
    <row r="76" spans="7:7" x14ac:dyDescent="0.3">
      <c r="G76" s="41"/>
    </row>
    <row r="77" spans="7:7" x14ac:dyDescent="0.3">
      <c r="G77" s="41"/>
    </row>
    <row r="78" spans="7:7" x14ac:dyDescent="0.3">
      <c r="G78" s="41"/>
    </row>
    <row r="79" spans="7:7" x14ac:dyDescent="0.3">
      <c r="G79" s="41"/>
    </row>
    <row r="80" spans="7:7" x14ac:dyDescent="0.3">
      <c r="G80" s="41"/>
    </row>
    <row r="81" spans="7:7" x14ac:dyDescent="0.3">
      <c r="G81" s="41"/>
    </row>
    <row r="82" spans="7:7" x14ac:dyDescent="0.3">
      <c r="G82" s="41"/>
    </row>
    <row r="83" spans="7:7" x14ac:dyDescent="0.3">
      <c r="G83" s="41"/>
    </row>
    <row r="84" spans="7:7" x14ac:dyDescent="0.3">
      <c r="G84" s="41"/>
    </row>
    <row r="85" spans="7:7" x14ac:dyDescent="0.3">
      <c r="G85" s="41"/>
    </row>
    <row r="86" spans="7:7" x14ac:dyDescent="0.3">
      <c r="G86" s="41"/>
    </row>
    <row r="87" spans="7:7" x14ac:dyDescent="0.3">
      <c r="G87" s="41"/>
    </row>
    <row r="88" spans="7:7" x14ac:dyDescent="0.3">
      <c r="G88" s="41"/>
    </row>
    <row r="89" spans="7:7" x14ac:dyDescent="0.3">
      <c r="G89" s="41"/>
    </row>
    <row r="90" spans="7:7" x14ac:dyDescent="0.3">
      <c r="G90" s="41"/>
    </row>
    <row r="91" spans="7:7" x14ac:dyDescent="0.3">
      <c r="G91" s="41"/>
    </row>
    <row r="92" spans="7:7" x14ac:dyDescent="0.3">
      <c r="G92" s="41"/>
    </row>
    <row r="93" spans="7:7" x14ac:dyDescent="0.3">
      <c r="G93" s="41"/>
    </row>
    <row r="94" spans="7:7" x14ac:dyDescent="0.3">
      <c r="G94" s="41"/>
    </row>
    <row r="95" spans="7:7" x14ac:dyDescent="0.3">
      <c r="G95" s="41"/>
    </row>
    <row r="96" spans="7:7" x14ac:dyDescent="0.3">
      <c r="G96" s="41"/>
    </row>
    <row r="97" spans="2:7" x14ac:dyDescent="0.3">
      <c r="G97" s="41"/>
    </row>
    <row r="98" spans="2:7" x14ac:dyDescent="0.3">
      <c r="G98" s="41"/>
    </row>
    <row r="99" spans="2:7" x14ac:dyDescent="0.3">
      <c r="G99" s="41"/>
    </row>
    <row r="100" spans="2:7" x14ac:dyDescent="0.3">
      <c r="G100" s="41"/>
    </row>
    <row r="101" spans="2:7" x14ac:dyDescent="0.3">
      <c r="G101" s="41"/>
    </row>
    <row r="102" spans="2:7" x14ac:dyDescent="0.3">
      <c r="G102" s="41"/>
    </row>
    <row r="103" spans="2:7" x14ac:dyDescent="0.3">
      <c r="G103" s="41"/>
    </row>
    <row r="104" spans="2:7" x14ac:dyDescent="0.3">
      <c r="G104" s="41"/>
    </row>
    <row r="105" spans="2:7" x14ac:dyDescent="0.3">
      <c r="B105" s="50"/>
      <c r="G105" s="41"/>
    </row>
    <row r="106" spans="2:7" x14ac:dyDescent="0.3">
      <c r="G106" s="41"/>
    </row>
    <row r="107" spans="2:7" x14ac:dyDescent="0.3">
      <c r="G107" s="41"/>
    </row>
    <row r="108" spans="2:7" x14ac:dyDescent="0.3">
      <c r="G108" s="41"/>
    </row>
    <row r="109" spans="2:7" x14ac:dyDescent="0.3">
      <c r="G109" s="41"/>
    </row>
    <row r="110" spans="2:7" x14ac:dyDescent="0.3">
      <c r="G110" s="41"/>
    </row>
    <row r="111" spans="2:7" x14ac:dyDescent="0.3">
      <c r="G111" s="41"/>
    </row>
    <row r="114" spans="2:7" x14ac:dyDescent="0.3">
      <c r="G114" s="41" t="s">
        <v>194</v>
      </c>
    </row>
    <row r="117" spans="2:7" x14ac:dyDescent="0.3">
      <c r="G117" s="41" t="s">
        <v>195</v>
      </c>
    </row>
    <row r="118" spans="2:7" x14ac:dyDescent="0.3">
      <c r="B118" s="13"/>
      <c r="C118" s="13"/>
      <c r="G118" s="48" t="s">
        <v>196</v>
      </c>
    </row>
    <row r="120" spans="2:7" x14ac:dyDescent="0.3">
      <c r="G120" s="41" t="s">
        <v>197</v>
      </c>
    </row>
    <row r="124" spans="2:7" x14ac:dyDescent="0.3">
      <c r="G124" s="41" t="s">
        <v>198</v>
      </c>
    </row>
    <row r="126" spans="2:7" x14ac:dyDescent="0.3">
      <c r="G126" s="41" t="s">
        <v>199</v>
      </c>
    </row>
    <row r="127" spans="2:7" x14ac:dyDescent="0.3">
      <c r="G127" s="41" t="s">
        <v>200</v>
      </c>
    </row>
    <row r="128" spans="2:7" x14ac:dyDescent="0.3">
      <c r="G128" s="41" t="s">
        <v>201</v>
      </c>
    </row>
    <row r="129" spans="2:7" x14ac:dyDescent="0.3">
      <c r="G129" s="41" t="s">
        <v>202</v>
      </c>
    </row>
    <row r="130" spans="2:7" x14ac:dyDescent="0.3">
      <c r="G130" s="41" t="s">
        <v>203</v>
      </c>
    </row>
    <row r="131" spans="2:7" x14ac:dyDescent="0.3">
      <c r="B131" s="39"/>
      <c r="G131" s="41" t="s">
        <v>204</v>
      </c>
    </row>
    <row r="132" spans="2:7" x14ac:dyDescent="0.3">
      <c r="G132" s="41" t="s">
        <v>193</v>
      </c>
    </row>
    <row r="133" spans="2:7" x14ac:dyDescent="0.3">
      <c r="G133" s="41" t="s">
        <v>205</v>
      </c>
    </row>
    <row r="134" spans="2:7" x14ac:dyDescent="0.3">
      <c r="G134" s="41" t="s">
        <v>213</v>
      </c>
    </row>
    <row r="135" spans="2:7" x14ac:dyDescent="0.3">
      <c r="G135" s="41" t="s">
        <v>206</v>
      </c>
    </row>
    <row r="136" spans="2:7" x14ac:dyDescent="0.3">
      <c r="G136" s="41" t="s">
        <v>207</v>
      </c>
    </row>
    <row r="137" spans="2:7" x14ac:dyDescent="0.3">
      <c r="G137" s="41" t="s">
        <v>211</v>
      </c>
    </row>
    <row r="138" spans="2:7" x14ac:dyDescent="0.3">
      <c r="G138" s="41" t="s">
        <v>214</v>
      </c>
    </row>
    <row r="139" spans="2:7" x14ac:dyDescent="0.3">
      <c r="B139" s="13"/>
      <c r="G139" s="41" t="s">
        <v>215</v>
      </c>
    </row>
  </sheetData>
  <hyperlinks>
    <hyperlink ref="G114" r:id="rId1" xr:uid="{941A9CE8-62D1-4045-8401-E482EFAA9B01}"/>
    <hyperlink ref="G117" r:id="rId2" xr:uid="{92153DC2-3837-4DF0-96AC-4917611656DE}"/>
    <hyperlink ref="G118" r:id="rId3" tooltip="Persistent link using digital object identifier" xr:uid="{3750B9E2-2914-4FA5-8521-B55C211559FE}"/>
    <hyperlink ref="G124" r:id="rId4" xr:uid="{8B7A2B8C-A3C7-46F4-ACD9-ADE96F003224}"/>
    <hyperlink ref="G126" r:id="rId5" xr:uid="{333B5B5E-4CF3-471D-AA12-BB75652D9B8F}"/>
    <hyperlink ref="G127" r:id="rId6" xr:uid="{4043FF83-C166-4A45-8CE8-BC2B04ACCDFD}"/>
    <hyperlink ref="G120" r:id="rId7" xr:uid="{7F05CC4A-2499-4E6D-89BE-CB00D3866546}"/>
    <hyperlink ref="G128" r:id="rId8" xr:uid="{0E33B96F-EBA8-4D70-976B-5940B9AE5F29}"/>
    <hyperlink ref="G129" r:id="rId9" xr:uid="{BA6B4A3E-6971-4FBB-AA87-5243140FCFF2}"/>
    <hyperlink ref="G130" r:id="rId10" xr:uid="{C31BD694-B885-44E1-8427-A856DE167CA8}"/>
    <hyperlink ref="G131" r:id="rId11" xr:uid="{0DAFF558-95D6-4B26-BD78-AFC687F8E2BD}"/>
    <hyperlink ref="G132" r:id="rId12" xr:uid="{279AFA4D-61EB-40FA-A483-1217C4DACDB1}"/>
    <hyperlink ref="G133" r:id="rId13" xr:uid="{09A1099C-A0CF-4621-BF41-C356836E47AE}"/>
    <hyperlink ref="G135" r:id="rId14" xr:uid="{8456F575-BE6A-4D05-97B4-316EA579ADDD}"/>
    <hyperlink ref="G136" r:id="rId15" xr:uid="{5074AB86-251D-4215-9285-5C087609B488}"/>
    <hyperlink ref="G137" r:id="rId16" xr:uid="{1CF8FB64-6FD7-4527-BD78-FD84A98EC3D3}"/>
    <hyperlink ref="G139" r:id="rId17" xr:uid="{B7F86D34-B7A6-4778-BDF8-4CAC7C1AD951}"/>
    <hyperlink ref="G4" r:id="rId18" xr:uid="{F4EBF170-C48C-4E34-ADFA-BEDEC4D1C207}"/>
    <hyperlink ref="G5" r:id="rId19" xr:uid="{6ADDF5C1-44D2-49B5-AC1A-A0FBD92350FD}"/>
    <hyperlink ref="G6" r:id="rId20" xr:uid="{C6A64B31-92AD-45B0-BA21-DFCDB2BE0979}"/>
    <hyperlink ref="G7" r:id="rId21" xr:uid="{35DA8237-CF91-434B-B6A8-ED2A1E9BBC19}"/>
    <hyperlink ref="G8" r:id="rId22" xr:uid="{BF89911F-EFE3-4598-AA94-74A4FB57736F}"/>
    <hyperlink ref="G11" r:id="rId23" xr:uid="{66A6A64F-EA92-47F7-A6E1-2ABBBC7A9B9F}"/>
    <hyperlink ref="G12" r:id="rId24" xr:uid="{7BA9439C-B926-440A-9120-FCAB19CB5136}"/>
    <hyperlink ref="G10" r:id="rId25" xr:uid="{95A53AE5-0F35-48AA-ABC6-F5099B06F989}"/>
    <hyperlink ref="G15" r:id="rId26" xr:uid="{462CBAC3-6AE4-4E00-A341-0705B733BF63}"/>
    <hyperlink ref="G14" r:id="rId27" xr:uid="{B011012B-72AC-4ACB-A515-CCD250128C16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2023-10-27T10:28:14Z</dcterms:modified>
</cp:coreProperties>
</file>