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"/>
    </mc:Choice>
  </mc:AlternateContent>
  <xr:revisionPtr revIDLastSave="664" documentId="11_771123313D73B9902831E8382AA9633676DF8A77" xr6:coauthVersionLast="47" xr6:coauthVersionMax="47" xr10:uidLastSave="{59F828BB-82A6-4B00-8842-048F7DE90309}"/>
  <bookViews>
    <workbookView xWindow="-110" yWindow="-110" windowWidth="19420" windowHeight="11020" xr2:uid="{00000000-000D-0000-FFFF-FFFF00000000}"/>
  </bookViews>
  <sheets>
    <sheet name="Sheet1" sheetId="1" r:id="rId1"/>
    <sheet name="SOEC" sheetId="2" r:id="rId2"/>
    <sheet name="AEC" sheetId="3" r:id="rId3"/>
    <sheet name="PEMEC" sheetId="4" r:id="rId4"/>
    <sheet name="SMR" sheetId="5" r:id="rId5"/>
    <sheet name="SMR CC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G12" i="6"/>
  <c r="G11" i="6"/>
  <c r="H3" i="3"/>
  <c r="H4" i="3" s="1"/>
  <c r="I3" i="2"/>
  <c r="I4" i="2" s="1"/>
  <c r="H3" i="5"/>
  <c r="H4" i="5" s="1"/>
  <c r="J58" i="1"/>
  <c r="J59" i="1" s="1"/>
  <c r="G3" i="2"/>
  <c r="F3" i="2"/>
  <c r="E3" i="2"/>
  <c r="D3" i="2"/>
  <c r="I19" i="2"/>
  <c r="I17" i="2"/>
  <c r="S1" i="1"/>
  <c r="D2" i="2" s="1"/>
  <c r="F6" i="4"/>
  <c r="E6" i="4"/>
  <c r="D6" i="4"/>
  <c r="F4" i="4"/>
  <c r="E4" i="4"/>
  <c r="D4" i="4"/>
  <c r="F5" i="2"/>
  <c r="E5" i="2"/>
  <c r="D5" i="2"/>
  <c r="F2" i="2" l="1"/>
  <c r="G2" i="2"/>
  <c r="E2" i="2"/>
  <c r="F6" i="3"/>
  <c r="E6" i="3"/>
  <c r="D6" i="3"/>
  <c r="F4" i="3"/>
  <c r="E4" i="3"/>
  <c r="D4" i="3"/>
  <c r="G49" i="1"/>
  <c r="P1" i="1" l="1"/>
  <c r="L11" i="1"/>
  <c r="L9" i="1" s="1"/>
  <c r="L20" i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K32" i="1"/>
  <c r="K39" i="1" s="1"/>
  <c r="K40" i="1" s="1"/>
  <c r="E5" i="1"/>
  <c r="F5" i="1"/>
  <c r="G5" i="1"/>
  <c r="E7" i="1"/>
  <c r="G47" i="1" s="1"/>
  <c r="F7" i="1"/>
  <c r="G7" i="1"/>
  <c r="K41" i="1"/>
  <c r="K38" i="1"/>
  <c r="L38" i="1" s="1"/>
  <c r="M37" i="1"/>
  <c r="M35" i="1" s="1"/>
  <c r="K36" i="1"/>
  <c r="L35" i="1"/>
  <c r="M24" i="1"/>
  <c r="M22" i="1" s="1"/>
  <c r="M28" i="1" s="1"/>
  <c r="K28" i="1"/>
  <c r="K25" i="1"/>
  <c r="L25" i="1" s="1"/>
  <c r="K23" i="1"/>
  <c r="L22" i="1"/>
  <c r="L28" i="1" s="1"/>
  <c r="K15" i="1"/>
  <c r="K10" i="1"/>
  <c r="K12" i="1"/>
  <c r="M11" i="1" l="1"/>
  <c r="N11" i="1" s="1"/>
  <c r="O11" i="1" s="1"/>
  <c r="L12" i="1"/>
  <c r="L33" i="1"/>
  <c r="M33" i="1" s="1"/>
  <c r="N33" i="1" s="1"/>
  <c r="K19" i="1"/>
  <c r="U32" i="1" s="1"/>
  <c r="AE32" i="1" s="1"/>
  <c r="L34" i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L8" i="1"/>
  <c r="AB7" i="1"/>
  <c r="Q7" i="1"/>
  <c r="L7" i="1"/>
  <c r="P7" i="1"/>
  <c r="AH7" i="1"/>
  <c r="O7" i="1"/>
  <c r="AC7" i="1"/>
  <c r="AA7" i="1"/>
  <c r="N7" i="1"/>
  <c r="K6" i="1"/>
  <c r="M7" i="1"/>
  <c r="Z7" i="1"/>
  <c r="N37" i="1"/>
  <c r="N35" i="1" s="1"/>
  <c r="N41" i="1" s="1"/>
  <c r="X7" i="1"/>
  <c r="U7" i="1"/>
  <c r="W7" i="1"/>
  <c r="L10" i="1"/>
  <c r="T7" i="1"/>
  <c r="V7" i="1"/>
  <c r="AG7" i="1"/>
  <c r="Y7" i="1"/>
  <c r="L15" i="1"/>
  <c r="S7" i="1"/>
  <c r="AF7" i="1"/>
  <c r="L21" i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J26" i="1" s="1"/>
  <c r="AJ27" i="1" s="1"/>
  <c r="N24" i="1"/>
  <c r="R7" i="1"/>
  <c r="AE7" i="1"/>
  <c r="L41" i="1"/>
  <c r="AD7" i="1"/>
  <c r="M25" i="1"/>
  <c r="L36" i="1"/>
  <c r="M36" i="1" s="1"/>
  <c r="M41" i="1"/>
  <c r="M38" i="1"/>
  <c r="L23" i="1"/>
  <c r="M23" i="1" s="1"/>
  <c r="N25" i="1" l="1"/>
  <c r="N9" i="1"/>
  <c r="M12" i="1"/>
  <c r="M9" i="1"/>
  <c r="P11" i="1"/>
  <c r="O9" i="1"/>
  <c r="K26" i="1"/>
  <c r="K27" i="1" s="1"/>
  <c r="L39" i="1"/>
  <c r="L40" i="1" s="1"/>
  <c r="M39" i="1"/>
  <c r="M40" i="1" s="1"/>
  <c r="L26" i="1"/>
  <c r="L27" i="1" s="1"/>
  <c r="U26" i="1"/>
  <c r="U27" i="1" s="1"/>
  <c r="N38" i="1"/>
  <c r="M26" i="1"/>
  <c r="M27" i="1" s="1"/>
  <c r="O37" i="1"/>
  <c r="O38" i="1" s="1"/>
  <c r="N36" i="1"/>
  <c r="K13" i="1"/>
  <c r="K14" i="1" s="1"/>
  <c r="Y26" i="1"/>
  <c r="Y27" i="1" s="1"/>
  <c r="AF26" i="1"/>
  <c r="AF27" i="1" s="1"/>
  <c r="S26" i="1"/>
  <c r="S27" i="1" s="1"/>
  <c r="AG26" i="1"/>
  <c r="AG27" i="1" s="1"/>
  <c r="P26" i="1"/>
  <c r="P27" i="1" s="1"/>
  <c r="O26" i="1"/>
  <c r="O27" i="1" s="1"/>
  <c r="AA26" i="1"/>
  <c r="AA27" i="1" s="1"/>
  <c r="AH26" i="1"/>
  <c r="AH27" i="1" s="1"/>
  <c r="Z26" i="1"/>
  <c r="Z27" i="1" s="1"/>
  <c r="V26" i="1"/>
  <c r="V27" i="1" s="1"/>
  <c r="AE26" i="1"/>
  <c r="AE27" i="1" s="1"/>
  <c r="T26" i="1"/>
  <c r="T27" i="1" s="1"/>
  <c r="AD26" i="1"/>
  <c r="AD27" i="1" s="1"/>
  <c r="Q26" i="1"/>
  <c r="Q27" i="1" s="1"/>
  <c r="X26" i="1"/>
  <c r="X27" i="1" s="1"/>
  <c r="N26" i="1"/>
  <c r="N27" i="1" s="1"/>
  <c r="AB26" i="1"/>
  <c r="AB27" i="1" s="1"/>
  <c r="N22" i="1"/>
  <c r="N28" i="1" s="1"/>
  <c r="O24" i="1"/>
  <c r="AC26" i="1"/>
  <c r="AC27" i="1" s="1"/>
  <c r="R26" i="1"/>
  <c r="R27" i="1" s="1"/>
  <c r="O33" i="1"/>
  <c r="N39" i="1"/>
  <c r="N40" i="1" s="1"/>
  <c r="O35" i="1"/>
  <c r="AI26" i="1"/>
  <c r="AI27" i="1" s="1"/>
  <c r="P37" i="1" l="1"/>
  <c r="Q37" i="1" s="1"/>
  <c r="N12" i="1"/>
  <c r="M8" i="1"/>
  <c r="M15" i="1"/>
  <c r="M10" i="1"/>
  <c r="N10" i="1" s="1"/>
  <c r="O10" i="1" s="1"/>
  <c r="N15" i="1"/>
  <c r="N8" i="1"/>
  <c r="O15" i="1"/>
  <c r="O8" i="1"/>
  <c r="Q11" i="1"/>
  <c r="P9" i="1"/>
  <c r="O22" i="1"/>
  <c r="O28" i="1" s="1"/>
  <c r="P24" i="1"/>
  <c r="N23" i="1"/>
  <c r="O23" i="1" s="1"/>
  <c r="O25" i="1"/>
  <c r="P25" i="1" s="1"/>
  <c r="O41" i="1"/>
  <c r="P38" i="1"/>
  <c r="P33" i="1"/>
  <c r="O39" i="1"/>
  <c r="O40" i="1" s="1"/>
  <c r="O36" i="1"/>
  <c r="W26" i="1"/>
  <c r="W27" i="1" s="1"/>
  <c r="P35" i="1" l="1"/>
  <c r="O12" i="1"/>
  <c r="P12" i="1" s="1"/>
  <c r="Q12" i="1" s="1"/>
  <c r="P10" i="1"/>
  <c r="P8" i="1"/>
  <c r="P15" i="1"/>
  <c r="R11" i="1"/>
  <c r="Q9" i="1"/>
  <c r="Q25" i="1"/>
  <c r="P36" i="1"/>
  <c r="P22" i="1"/>
  <c r="P28" i="1" s="1"/>
  <c r="Q24" i="1"/>
  <c r="Q33" i="1"/>
  <c r="P39" i="1"/>
  <c r="P40" i="1" s="1"/>
  <c r="P41" i="1"/>
  <c r="Q38" i="1"/>
  <c r="R37" i="1"/>
  <c r="Q35" i="1"/>
  <c r="Q36" i="1"/>
  <c r="R12" i="1" l="1"/>
  <c r="Q15" i="1"/>
  <c r="Q8" i="1"/>
  <c r="Q10" i="1"/>
  <c r="R9" i="1"/>
  <c r="S11" i="1"/>
  <c r="P23" i="1"/>
  <c r="Q22" i="1"/>
  <c r="Q28" i="1" s="1"/>
  <c r="R24" i="1"/>
  <c r="R38" i="1"/>
  <c r="S37" i="1"/>
  <c r="R35" i="1"/>
  <c r="R36" i="1"/>
  <c r="Q41" i="1"/>
  <c r="Q39" i="1"/>
  <c r="Q40" i="1" s="1"/>
  <c r="R33" i="1"/>
  <c r="R10" i="1" l="1"/>
  <c r="S12" i="1"/>
  <c r="R8" i="1"/>
  <c r="R15" i="1"/>
  <c r="S9" i="1"/>
  <c r="T11" i="1"/>
  <c r="R22" i="1"/>
  <c r="R28" i="1" s="1"/>
  <c r="S24" i="1"/>
  <c r="Q23" i="1"/>
  <c r="R23" i="1" s="1"/>
  <c r="R25" i="1"/>
  <c r="S33" i="1"/>
  <c r="R41" i="1"/>
  <c r="R39" i="1"/>
  <c r="R40" i="1" s="1"/>
  <c r="S38" i="1"/>
  <c r="T37" i="1"/>
  <c r="S35" i="1"/>
  <c r="S25" i="1" l="1"/>
  <c r="T12" i="1"/>
  <c r="T9" i="1"/>
  <c r="U11" i="1"/>
  <c r="S15" i="1"/>
  <c r="S8" i="1"/>
  <c r="S10" i="1"/>
  <c r="S22" i="1"/>
  <c r="S28" i="1" s="1"/>
  <c r="T24" i="1"/>
  <c r="T33" i="1"/>
  <c r="S41" i="1"/>
  <c r="S39" i="1"/>
  <c r="S40" i="1" s="1"/>
  <c r="U37" i="1"/>
  <c r="T35" i="1"/>
  <c r="T38" i="1"/>
  <c r="S36" i="1"/>
  <c r="T10" i="1" l="1"/>
  <c r="U12" i="1"/>
  <c r="V11" i="1"/>
  <c r="U9" i="1"/>
  <c r="T8" i="1"/>
  <c r="T15" i="1"/>
  <c r="T36" i="1"/>
  <c r="T22" i="1"/>
  <c r="T28" i="1" s="1"/>
  <c r="U24" i="1"/>
  <c r="T25" i="1"/>
  <c r="S23" i="1"/>
  <c r="U33" i="1"/>
  <c r="T41" i="1"/>
  <c r="T39" i="1"/>
  <c r="T40" i="1" s="1"/>
  <c r="U35" i="1"/>
  <c r="U38" i="1"/>
  <c r="V37" i="1"/>
  <c r="T23" i="1" l="1"/>
  <c r="U25" i="1"/>
  <c r="V12" i="1"/>
  <c r="U8" i="1"/>
  <c r="U15" i="1"/>
  <c r="W11" i="1"/>
  <c r="V9" i="1"/>
  <c r="U10" i="1"/>
  <c r="U22" i="1"/>
  <c r="U28" i="1" s="1"/>
  <c r="V24" i="1"/>
  <c r="V35" i="1"/>
  <c r="V38" i="1"/>
  <c r="W37" i="1"/>
  <c r="U41" i="1"/>
  <c r="V33" i="1"/>
  <c r="U39" i="1"/>
  <c r="U40" i="1" s="1"/>
  <c r="U36" i="1"/>
  <c r="V25" i="1" l="1"/>
  <c r="W12" i="1"/>
  <c r="V10" i="1"/>
  <c r="V15" i="1"/>
  <c r="V8" i="1"/>
  <c r="X11" i="1"/>
  <c r="W9" i="1"/>
  <c r="V36" i="1"/>
  <c r="V22" i="1"/>
  <c r="V28" i="1" s="1"/>
  <c r="W24" i="1"/>
  <c r="U23" i="1"/>
  <c r="W33" i="1"/>
  <c r="W35" i="1"/>
  <c r="X37" i="1"/>
  <c r="W38" i="1"/>
  <c r="V39" i="1"/>
  <c r="V40" i="1" s="1"/>
  <c r="V41" i="1"/>
  <c r="V23" i="1" l="1"/>
  <c r="X12" i="1"/>
  <c r="W8" i="1"/>
  <c r="W15" i="1"/>
  <c r="X9" i="1"/>
  <c r="Y11" i="1"/>
  <c r="W10" i="1"/>
  <c r="X24" i="1"/>
  <c r="W22" i="1"/>
  <c r="W25" i="1"/>
  <c r="W39" i="1"/>
  <c r="W40" i="1" s="1"/>
  <c r="W41" i="1"/>
  <c r="X33" i="1"/>
  <c r="X38" i="1"/>
  <c r="Y37" i="1"/>
  <c r="X35" i="1"/>
  <c r="W36" i="1"/>
  <c r="X36" i="1" s="1"/>
  <c r="Y12" i="1" l="1"/>
  <c r="X10" i="1"/>
  <c r="Z11" i="1"/>
  <c r="Y9" i="1"/>
  <c r="X8" i="1"/>
  <c r="X15" i="1"/>
  <c r="W23" i="1"/>
  <c r="W28" i="1"/>
  <c r="X22" i="1"/>
  <c r="X28" i="1" s="1"/>
  <c r="Y24" i="1"/>
  <c r="X25" i="1"/>
  <c r="Y25" i="1" s="1"/>
  <c r="X39" i="1"/>
  <c r="X40" i="1" s="1"/>
  <c r="X41" i="1"/>
  <c r="Z37" i="1"/>
  <c r="Y35" i="1"/>
  <c r="Y36" i="1" s="1"/>
  <c r="Y38" i="1"/>
  <c r="Y33" i="1"/>
  <c r="Y10" i="1" l="1"/>
  <c r="Z12" i="1"/>
  <c r="Y8" i="1"/>
  <c r="Y15" i="1"/>
  <c r="Z9" i="1"/>
  <c r="AA11" i="1"/>
  <c r="AA12" i="1" s="1"/>
  <c r="X23" i="1"/>
  <c r="Y22" i="1"/>
  <c r="Y28" i="1" s="1"/>
  <c r="Z24" i="1"/>
  <c r="Z25" i="1" s="1"/>
  <c r="Z38" i="1"/>
  <c r="Z33" i="1"/>
  <c r="AA37" i="1"/>
  <c r="Z35" i="1"/>
  <c r="Y39" i="1"/>
  <c r="Y40" i="1" s="1"/>
  <c r="Y41" i="1"/>
  <c r="AA38" i="1" l="1"/>
  <c r="Z15" i="1"/>
  <c r="Z8" i="1"/>
  <c r="Z10" i="1"/>
  <c r="AA9" i="1"/>
  <c r="AB11" i="1"/>
  <c r="AB12" i="1" s="1"/>
  <c r="Y23" i="1"/>
  <c r="Z22" i="1"/>
  <c r="Z28" i="1" s="1"/>
  <c r="AA24" i="1"/>
  <c r="Z41" i="1"/>
  <c r="Z39" i="1"/>
  <c r="Z40" i="1" s="1"/>
  <c r="AB37" i="1"/>
  <c r="AA35" i="1"/>
  <c r="AA33" i="1"/>
  <c r="Z36" i="1"/>
  <c r="AB38" i="1" l="1"/>
  <c r="AC38" i="1" s="1"/>
  <c r="AA8" i="1"/>
  <c r="AA15" i="1"/>
  <c r="AB9" i="1"/>
  <c r="AC11" i="1"/>
  <c r="AC12" i="1" s="1"/>
  <c r="AA10" i="1"/>
  <c r="AA36" i="1"/>
  <c r="Z23" i="1"/>
  <c r="AA22" i="1"/>
  <c r="AA28" i="1" s="1"/>
  <c r="AB24" i="1"/>
  <c r="AA25" i="1"/>
  <c r="AB33" i="1"/>
  <c r="AA41" i="1"/>
  <c r="AA39" i="1"/>
  <c r="AA40" i="1" s="1"/>
  <c r="AC37" i="1"/>
  <c r="AB35" i="1"/>
  <c r="AB10" i="1" l="1"/>
  <c r="AD11" i="1"/>
  <c r="AD12" i="1" s="1"/>
  <c r="AC9" i="1"/>
  <c r="AB15" i="1"/>
  <c r="AB8" i="1"/>
  <c r="AA23" i="1"/>
  <c r="AB36" i="1"/>
  <c r="AB25" i="1"/>
  <c r="AB22" i="1"/>
  <c r="AB28" i="1" s="1"/>
  <c r="AC24" i="1"/>
  <c r="AB41" i="1"/>
  <c r="AB39" i="1"/>
  <c r="AB40" i="1" s="1"/>
  <c r="AC35" i="1"/>
  <c r="AD37" i="1"/>
  <c r="AD38" i="1" s="1"/>
  <c r="AC33" i="1"/>
  <c r="AC10" i="1" l="1"/>
  <c r="AC15" i="1"/>
  <c r="AC8" i="1"/>
  <c r="AE11" i="1"/>
  <c r="AE12" i="1" s="1"/>
  <c r="AD9" i="1"/>
  <c r="AC22" i="1"/>
  <c r="AC28" i="1" s="1"/>
  <c r="AD24" i="1"/>
  <c r="AB23" i="1"/>
  <c r="AC23" i="1" s="1"/>
  <c r="AC25" i="1"/>
  <c r="AD33" i="1"/>
  <c r="AC41" i="1"/>
  <c r="AC39" i="1"/>
  <c r="AC40" i="1" s="1"/>
  <c r="AD35" i="1"/>
  <c r="AE37" i="1"/>
  <c r="AE38" i="1" s="1"/>
  <c r="AC36" i="1"/>
  <c r="AD25" i="1" l="1"/>
  <c r="AE25" i="1" s="1"/>
  <c r="AF11" i="1"/>
  <c r="AF12" i="1" s="1"/>
  <c r="AE9" i="1"/>
  <c r="AD15" i="1"/>
  <c r="AD8" i="1"/>
  <c r="AD10" i="1"/>
  <c r="AD22" i="1"/>
  <c r="AD28" i="1" s="1"/>
  <c r="AE24" i="1"/>
  <c r="AD36" i="1"/>
  <c r="AD41" i="1"/>
  <c r="AE35" i="1"/>
  <c r="AF37" i="1"/>
  <c r="AE33" i="1"/>
  <c r="AD39" i="1"/>
  <c r="AD40" i="1" s="1"/>
  <c r="AE36" i="1" l="1"/>
  <c r="AE10" i="1"/>
  <c r="AE8" i="1"/>
  <c r="AE15" i="1"/>
  <c r="AG11" i="1"/>
  <c r="AG12" i="1" s="1"/>
  <c r="AF9" i="1"/>
  <c r="AD23" i="1"/>
  <c r="AE22" i="1"/>
  <c r="AE28" i="1" s="1"/>
  <c r="AF24" i="1"/>
  <c r="AF25" i="1" s="1"/>
  <c r="AF33" i="1"/>
  <c r="AG37" i="1"/>
  <c r="AF35" i="1"/>
  <c r="AE39" i="1"/>
  <c r="AE40" i="1" s="1"/>
  <c r="AE41" i="1"/>
  <c r="AF38" i="1"/>
  <c r="AF36" i="1" l="1"/>
  <c r="AF15" i="1"/>
  <c r="AF8" i="1"/>
  <c r="AH11" i="1"/>
  <c r="AH9" i="1" s="1"/>
  <c r="AG9" i="1"/>
  <c r="AF10" i="1"/>
  <c r="AF22" i="1"/>
  <c r="AF28" i="1" s="1"/>
  <c r="AG24" i="1"/>
  <c r="AG38" i="1"/>
  <c r="AG25" i="1"/>
  <c r="AE23" i="1"/>
  <c r="AF41" i="1"/>
  <c r="AH37" i="1"/>
  <c r="AG35" i="1"/>
  <c r="AG33" i="1"/>
  <c r="AF39" i="1"/>
  <c r="AF40" i="1" s="1"/>
  <c r="AH38" i="1" l="1"/>
  <c r="AH12" i="1"/>
  <c r="AG8" i="1"/>
  <c r="AG15" i="1"/>
  <c r="AG10" i="1"/>
  <c r="AH10" i="1" s="1"/>
  <c r="AH8" i="1"/>
  <c r="AH15" i="1"/>
  <c r="AF23" i="1"/>
  <c r="AG22" i="1"/>
  <c r="AG28" i="1" s="1"/>
  <c r="AH24" i="1"/>
  <c r="AH33" i="1"/>
  <c r="AG41" i="1"/>
  <c r="AG39" i="1"/>
  <c r="AG40" i="1" s="1"/>
  <c r="AI37" i="1"/>
  <c r="AH35" i="1"/>
  <c r="AG36" i="1"/>
  <c r="AI38" i="1" l="1"/>
  <c r="AH36" i="1"/>
  <c r="AH22" i="1"/>
  <c r="AH28" i="1" s="1"/>
  <c r="AI24" i="1"/>
  <c r="AH25" i="1"/>
  <c r="AG23" i="1"/>
  <c r="AH23" i="1" s="1"/>
  <c r="AH41" i="1"/>
  <c r="AJ37" i="1"/>
  <c r="AJ35" i="1" s="1"/>
  <c r="AI35" i="1"/>
  <c r="AI33" i="1"/>
  <c r="AH39" i="1"/>
  <c r="AH40" i="1" s="1"/>
  <c r="AI25" i="1" l="1"/>
  <c r="AJ24" i="1"/>
  <c r="AJ22" i="1" s="1"/>
  <c r="AJ28" i="1" s="1"/>
  <c r="AI22" i="1"/>
  <c r="AI28" i="1" s="1"/>
  <c r="AJ33" i="1"/>
  <c r="AJ39" i="1" s="1"/>
  <c r="AJ40" i="1" s="1"/>
  <c r="AI39" i="1"/>
  <c r="AI40" i="1" s="1"/>
  <c r="AI41" i="1"/>
  <c r="AJ41" i="1"/>
  <c r="AJ38" i="1"/>
  <c r="AI36" i="1"/>
  <c r="AJ36" i="1" s="1"/>
  <c r="AJ25" i="1" l="1"/>
  <c r="K29" i="1"/>
  <c r="AI23" i="1"/>
  <c r="AJ23" i="1" s="1"/>
  <c r="K42" i="1"/>
  <c r="L6" i="1" l="1"/>
  <c r="L13" i="1" l="1"/>
  <c r="L14" i="1" s="1"/>
  <c r="M6" i="1"/>
  <c r="M13" i="1" s="1"/>
  <c r="M14" i="1" s="1"/>
  <c r="N6" i="1" l="1"/>
  <c r="O6" i="1" s="1"/>
  <c r="N13" i="1" l="1"/>
  <c r="N14" i="1" s="1"/>
  <c r="O13" i="1"/>
  <c r="O14" i="1" s="1"/>
  <c r="P6" i="1"/>
  <c r="Q6" i="1" l="1"/>
  <c r="P13" i="1"/>
  <c r="P14" i="1" s="1"/>
  <c r="Q13" i="1" l="1"/>
  <c r="Q14" i="1" s="1"/>
  <c r="R6" i="1"/>
  <c r="S6" i="1" l="1"/>
  <c r="R13" i="1"/>
  <c r="R14" i="1" s="1"/>
  <c r="T6" i="1" l="1"/>
  <c r="S13" i="1"/>
  <c r="S14" i="1" s="1"/>
  <c r="U6" i="1" l="1"/>
  <c r="T13" i="1"/>
  <c r="T14" i="1" s="1"/>
  <c r="V6" i="1" l="1"/>
  <c r="U13" i="1"/>
  <c r="U14" i="1" s="1"/>
  <c r="W6" i="1" l="1"/>
  <c r="V13" i="1"/>
  <c r="V14" i="1" s="1"/>
  <c r="X6" i="1" l="1"/>
  <c r="W13" i="1"/>
  <c r="W14" i="1" s="1"/>
  <c r="Y6" i="1" l="1"/>
  <c r="X13" i="1"/>
  <c r="X14" i="1" s="1"/>
  <c r="Z6" i="1" l="1"/>
  <c r="Y13" i="1"/>
  <c r="Y14" i="1" s="1"/>
  <c r="AA6" i="1" l="1"/>
  <c r="Z13" i="1"/>
  <c r="Z14" i="1" s="1"/>
  <c r="AB6" i="1" l="1"/>
  <c r="AA13" i="1"/>
  <c r="AA14" i="1" s="1"/>
  <c r="AC6" i="1" l="1"/>
  <c r="AB13" i="1"/>
  <c r="AB14" i="1" s="1"/>
  <c r="AD6" i="1" l="1"/>
  <c r="AC13" i="1"/>
  <c r="AC14" i="1" s="1"/>
  <c r="AE6" i="1" l="1"/>
  <c r="AD13" i="1"/>
  <c r="AD14" i="1" s="1"/>
  <c r="AF6" i="1" l="1"/>
  <c r="AE13" i="1"/>
  <c r="AE14" i="1" s="1"/>
  <c r="AG6" i="1" l="1"/>
  <c r="AF13" i="1"/>
  <c r="AF14" i="1" s="1"/>
  <c r="AH6" i="1" l="1"/>
  <c r="AH13" i="1" s="1"/>
  <c r="AH14" i="1" s="1"/>
  <c r="AG13" i="1"/>
  <c r="AG14" i="1" s="1"/>
  <c r="K16" i="1" l="1"/>
  <c r="K46" i="1" s="1"/>
</calcChain>
</file>

<file path=xl/sharedStrings.xml><?xml version="1.0" encoding="utf-8"?>
<sst xmlns="http://schemas.openxmlformats.org/spreadsheetml/2006/main" count="285" uniqueCount="59">
  <si>
    <t>Technology</t>
  </si>
  <si>
    <t>Parameter</t>
  </si>
  <si>
    <t>Units</t>
  </si>
  <si>
    <t>Water electrolysis</t>
  </si>
  <si>
    <t>SMR</t>
  </si>
  <si>
    <t>SMR CCS</t>
  </si>
  <si>
    <t>Coal gas.</t>
  </si>
  <si>
    <t>Coal gas. CCS</t>
  </si>
  <si>
    <t>CAPEX</t>
  </si>
  <si>
    <t>Efficiency (LHV)</t>
  </si>
  <si>
    <t>OPEX</t>
  </si>
  <si>
    <t>Lifetime</t>
  </si>
  <si>
    <t>%</t>
  </si>
  <si>
    <t>Emission factor</t>
  </si>
  <si>
    <t>kgCO2/kgH2</t>
  </si>
  <si>
    <t>years</t>
  </si>
  <si>
    <t>% of CAPEX/yr</t>
  </si>
  <si>
    <t>USD/kW_e</t>
  </si>
  <si>
    <t>USD/kW_H2</t>
  </si>
  <si>
    <t>LCOH</t>
  </si>
  <si>
    <t>$/kgH2</t>
  </si>
  <si>
    <t>Investment rate</t>
  </si>
  <si>
    <t>Year</t>
  </si>
  <si>
    <t>Electricity cost</t>
  </si>
  <si>
    <t>Natural gas cost</t>
  </si>
  <si>
    <t>$/MWh</t>
  </si>
  <si>
    <t>Carbon tax</t>
  </si>
  <si>
    <t>$/kg</t>
  </si>
  <si>
    <t>Var. Cost</t>
  </si>
  <si>
    <t>LHV H2</t>
  </si>
  <si>
    <t>MJ/kg</t>
  </si>
  <si>
    <t>Production [kg]</t>
  </si>
  <si>
    <t>Stack hours</t>
  </si>
  <si>
    <t>Sum stack hours</t>
  </si>
  <si>
    <t>Total cost</t>
  </si>
  <si>
    <t>Cum. Production [kg]</t>
  </si>
  <si>
    <t>Annualized costs</t>
  </si>
  <si>
    <t>Annualized production</t>
  </si>
  <si>
    <t>LCOH [$/kg]</t>
  </si>
  <si>
    <t>Water electrolysis 2021</t>
  </si>
  <si>
    <t>SMR 2021</t>
  </si>
  <si>
    <t>CHOSEN SCENARIO (drag column copying down)</t>
  </si>
  <si>
    <t>€/MWh</t>
  </si>
  <si>
    <t>kg CO2/MWh gas</t>
  </si>
  <si>
    <t>SOEC</t>
  </si>
  <si>
    <t>AEC</t>
  </si>
  <si>
    <t>LHV H2:</t>
  </si>
  <si>
    <t>€2015/kW_H2</t>
  </si>
  <si>
    <t>MJ/KWh</t>
  </si>
  <si>
    <t>kW to kg/h</t>
  </si>
  <si>
    <t>3,6 MJ/h</t>
  </si>
  <si>
    <t>112,194 Btu</t>
  </si>
  <si>
    <t>MJ</t>
  </si>
  <si>
    <t>kg H2</t>
  </si>
  <si>
    <t>g/mmBTU</t>
  </si>
  <si>
    <t>kg/GJ</t>
  </si>
  <si>
    <t>kg/kgH2</t>
  </si>
  <si>
    <t>https://atb.nrel.gov/transportation/2020/hydrogen</t>
  </si>
  <si>
    <t>CO2e Emissions (Well to Tank)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</si>
</sst>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222222"/>
      <name val="Arial"/>
      <family val="2"/>
    </font>
    <font>
      <b/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topLeftCell="A26" zoomScale="69" zoomScaleNormal="100" workbookViewId="0">
      <selection activeCell="J30" sqref="J30:L42"/>
    </sheetView>
  </sheetViews>
  <sheetFormatPr defaultRowHeight="14.5" x14ac:dyDescent="0.35"/>
  <cols>
    <col min="1" max="1" width="16.7265625" bestFit="1" customWidth="1"/>
    <col min="2" max="2" width="15" bestFit="1" customWidth="1"/>
    <col min="3" max="3" width="13.54296875" bestFit="1" customWidth="1"/>
    <col min="4" max="4" width="12" style="4" bestFit="1" customWidth="1"/>
    <col min="5" max="6" width="12" bestFit="1" customWidth="1"/>
    <col min="7" max="8" width="12" customWidth="1"/>
    <col min="10" max="10" width="21.453125" customWidth="1"/>
    <col min="11" max="11" width="15" customWidth="1"/>
    <col min="12" max="12" width="15.1796875" customWidth="1"/>
    <col min="13" max="13" width="12.1796875" bestFit="1" customWidth="1"/>
    <col min="14" max="23" width="10.54296875" bestFit="1" customWidth="1"/>
    <col min="24" max="25" width="11.54296875" bestFit="1" customWidth="1"/>
    <col min="26" max="26" width="12.1796875" bestFit="1" customWidth="1"/>
    <col min="27" max="36" width="11.54296875" bestFit="1" customWidth="1"/>
  </cols>
  <sheetData>
    <row r="1" spans="1:36" x14ac:dyDescent="0.35">
      <c r="D1" s="4" t="s">
        <v>41</v>
      </c>
      <c r="H1" s="1"/>
      <c r="J1" s="1" t="s">
        <v>21</v>
      </c>
      <c r="K1" s="1" t="s">
        <v>23</v>
      </c>
      <c r="L1" s="1" t="s">
        <v>24</v>
      </c>
      <c r="M1" s="1" t="s">
        <v>26</v>
      </c>
      <c r="N1" s="1" t="s">
        <v>29</v>
      </c>
      <c r="P1" s="1">
        <f>8.9*0.1*3600000/120 / 10^6 * 33.33</f>
        <v>0.88991100000000012</v>
      </c>
      <c r="R1" t="s">
        <v>46</v>
      </c>
      <c r="S1">
        <f>120/3.6</f>
        <v>33.333333333333336</v>
      </c>
    </row>
    <row r="2" spans="1:36" x14ac:dyDescent="0.35">
      <c r="A2" s="1" t="s">
        <v>0</v>
      </c>
      <c r="B2" s="1" t="s">
        <v>1</v>
      </c>
      <c r="C2" s="1" t="s">
        <v>2</v>
      </c>
      <c r="D2" s="3">
        <f>F2</f>
        <v>2030</v>
      </c>
      <c r="E2" s="1">
        <v>2021</v>
      </c>
      <c r="F2" s="1">
        <v>2030</v>
      </c>
      <c r="G2" s="1">
        <v>2050</v>
      </c>
      <c r="J2">
        <v>30</v>
      </c>
      <c r="K2">
        <v>25</v>
      </c>
      <c r="L2">
        <v>10</v>
      </c>
      <c r="M2">
        <v>0.3</v>
      </c>
      <c r="N2">
        <v>120</v>
      </c>
      <c r="O2">
        <v>201.96</v>
      </c>
    </row>
    <row r="3" spans="1:36" x14ac:dyDescent="0.35">
      <c r="A3" t="s">
        <v>3</v>
      </c>
      <c r="B3" t="s">
        <v>8</v>
      </c>
      <c r="C3" t="s">
        <v>17</v>
      </c>
      <c r="D3" s="3">
        <f t="shared" ref="D3:D37" si="0">F3</f>
        <v>700</v>
      </c>
      <c r="E3">
        <v>900</v>
      </c>
      <c r="F3">
        <v>700</v>
      </c>
      <c r="G3">
        <v>450</v>
      </c>
      <c r="J3" t="s">
        <v>12</v>
      </c>
      <c r="K3" t="s">
        <v>25</v>
      </c>
      <c r="L3" t="s">
        <v>25</v>
      </c>
      <c r="M3" t="s">
        <v>27</v>
      </c>
      <c r="N3" t="s">
        <v>30</v>
      </c>
      <c r="O3" t="s">
        <v>43</v>
      </c>
    </row>
    <row r="4" spans="1:36" x14ac:dyDescent="0.35">
      <c r="A4" t="s">
        <v>3</v>
      </c>
      <c r="B4" t="s">
        <v>9</v>
      </c>
      <c r="C4" t="s">
        <v>12</v>
      </c>
      <c r="D4" s="3">
        <f t="shared" si="0"/>
        <v>69</v>
      </c>
      <c r="E4">
        <v>64</v>
      </c>
      <c r="F4">
        <v>69</v>
      </c>
      <c r="G4">
        <v>74</v>
      </c>
      <c r="H4" s="2"/>
      <c r="J4" s="1" t="s">
        <v>39</v>
      </c>
    </row>
    <row r="5" spans="1:36" x14ac:dyDescent="0.35">
      <c r="A5" t="s">
        <v>3</v>
      </c>
      <c r="B5" t="s">
        <v>8</v>
      </c>
      <c r="C5" t="s">
        <v>18</v>
      </c>
      <c r="D5" s="3">
        <f t="shared" si="0"/>
        <v>1014.4927536231885</v>
      </c>
      <c r="E5" s="2">
        <f>E3/(E4/100)</f>
        <v>1406.25</v>
      </c>
      <c r="F5" s="2">
        <f t="shared" ref="F5:G5" si="1">F3/(F4/100)</f>
        <v>1014.4927536231885</v>
      </c>
      <c r="G5" s="2">
        <f t="shared" si="1"/>
        <v>608.10810810810813</v>
      </c>
      <c r="J5" t="s">
        <v>22</v>
      </c>
      <c r="K5">
        <v>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</row>
    <row r="6" spans="1:36" x14ac:dyDescent="0.35">
      <c r="A6" t="s">
        <v>3</v>
      </c>
      <c r="B6" t="s">
        <v>10</v>
      </c>
      <c r="C6" t="s">
        <v>16</v>
      </c>
      <c r="D6" s="3">
        <f t="shared" si="0"/>
        <v>1.5</v>
      </c>
      <c r="E6">
        <v>1.5</v>
      </c>
      <c r="F6">
        <v>1.5</v>
      </c>
      <c r="G6">
        <v>1.5</v>
      </c>
      <c r="H6" s="2"/>
      <c r="J6" t="s">
        <v>8</v>
      </c>
      <c r="K6" s="2">
        <f>D5</f>
        <v>1014.4927536231885</v>
      </c>
      <c r="L6">
        <f>IF(L12&gt;95000,$K$6,0)</f>
        <v>0</v>
      </c>
      <c r="M6">
        <f>IF(M12&gt;2*95000,$K$6,IF(SUM($L6:L6)&gt;1,0,IF(M12&gt;95000,$K$6,0)))</f>
        <v>0</v>
      </c>
      <c r="N6">
        <f>IF(N12&gt;2*95000,$K$6,IF(SUM($L6:M6)&gt;1,0,IF(N12&gt;95000,$K$6,0)))</f>
        <v>0</v>
      </c>
      <c r="O6">
        <f>IF(O12&gt;2*95000,$K$6,IF(SUM($L6:N6)&gt;1,0,IF(O12&gt;95000,$K$6,0)))</f>
        <v>0</v>
      </c>
      <c r="P6">
        <f>IF(P12&gt;2*95000,$K$6,IF(SUM($L6:O6)&gt;1,0,IF(P12&gt;95000,$K$6,0)))</f>
        <v>0</v>
      </c>
      <c r="Q6">
        <f>IF(Q12&gt;2*95000,$K$6,IF(SUM($L6:P6)&gt;1,0,IF(Q12&gt;95000,$K$6,0)))</f>
        <v>0</v>
      </c>
      <c r="R6">
        <f>IF(R12&gt;2*95000,$K$6,IF(SUM($L6:Q6)&gt;1,0,IF(R12&gt;95000,$K$6,0)))</f>
        <v>0</v>
      </c>
      <c r="S6">
        <f>IF(S12&gt;2*95000,$K$6,IF(SUM($L6:R6)&gt;1,0,IF(S12&gt;95000,$K$6,0)))</f>
        <v>0</v>
      </c>
      <c r="T6">
        <f>IF(T12&gt;2*95000,$K$6,IF(SUM($L6:S6)&gt;1,0,IF(T12&gt;95000,$K$6,0)))</f>
        <v>0</v>
      </c>
      <c r="U6">
        <f>IF(U12&gt;2*95000,$K$6,IF(SUM($L6:T6)&gt;1,0,IF(U12&gt;95000,$K$6,0)))</f>
        <v>0</v>
      </c>
      <c r="V6">
        <f>IF(V12&gt;2*95000,$K$6,IF(SUM($L6:U6)&gt;1,0,IF(V12&gt;95000,$K$6,0)))</f>
        <v>0</v>
      </c>
      <c r="W6">
        <f>IF(W12&gt;2*95000,$K$6,IF(SUM($L6:V6)&gt;1,0,IF(W12&gt;95000,$K$6,0)))</f>
        <v>0</v>
      </c>
      <c r="X6">
        <f>IF(X12&gt;2*95000,$K$6,IF(SUM($L6:W6)&gt;1,0,IF(X12&gt;95000,$K$6,0)))</f>
        <v>0</v>
      </c>
      <c r="Y6">
        <f>IF(Y12&gt;2*95000,$K$6,IF(SUM($L6:X6)&gt;1,0,IF(Y12&gt;95000,$K$6,0)))</f>
        <v>0</v>
      </c>
      <c r="Z6">
        <f>IF(Z12&gt;2*95000,$K$6,IF(SUM($L6:Y6)&gt;1,0,IF(Z12&gt;95000,$K$6,0)))</f>
        <v>0</v>
      </c>
      <c r="AA6">
        <f>IF(AA12&gt;2*95000,$K$6,IF(SUM($L6:Z6)&gt;1,0,IF(AA12&gt;95000,$K$6,0)))</f>
        <v>0</v>
      </c>
      <c r="AB6">
        <f>IF(AB12&gt;2*95000,$K$6,IF(SUM($L6:AA6)&gt;1,0,IF(AB12&gt;95000,$K$6,0)))</f>
        <v>0</v>
      </c>
      <c r="AC6">
        <f>IF(AC12&gt;2*95000,$K$6,IF(SUM($L6:AB6)&gt;1,0,IF(AC12&gt;95000,$K$6,0)))</f>
        <v>0</v>
      </c>
      <c r="AD6">
        <f>IF(AD12&gt;2*95000,$K$6,IF(SUM($L6:AC6)&gt;1,0,IF(AD12&gt;95000,$K$6,0)))</f>
        <v>0</v>
      </c>
      <c r="AE6">
        <f>IF(AE12&gt;2*95000,$K$6,IF(SUM($L6:AD6)&gt;1,0,IF(AE12&gt;95000,$K$6,0)))</f>
        <v>0</v>
      </c>
      <c r="AF6">
        <f>IF(AF12&gt;2*95000,$K$6,IF(SUM($L6:AE6)&gt;1,0,IF(AF12&gt;95000,$K$6,0)))</f>
        <v>0</v>
      </c>
      <c r="AG6">
        <f>IF(AG12&gt;2*95000,$K$6,IF(SUM($L6:AF6)&gt;1,0,IF(AG12&gt;95000,$K$6,0)))</f>
        <v>0</v>
      </c>
      <c r="AH6">
        <f>IF(AH12&gt;2*95000,$K$6,IF(SUM($L6:AG6)&gt;1,0,IF(AH12&gt;95000,$K$6,0)))</f>
        <v>0</v>
      </c>
    </row>
    <row r="7" spans="1:36" x14ac:dyDescent="0.35">
      <c r="A7" t="s">
        <v>3</v>
      </c>
      <c r="B7" t="s">
        <v>11</v>
      </c>
      <c r="C7" t="s">
        <v>15</v>
      </c>
      <c r="D7" s="3">
        <f t="shared" si="0"/>
        <v>10.844748858447488</v>
      </c>
      <c r="E7" s="2">
        <f>95000/8760</f>
        <v>10.844748858447488</v>
      </c>
      <c r="F7" s="2">
        <f t="shared" ref="F7" si="2">95000/8760</f>
        <v>10.844748858447488</v>
      </c>
      <c r="G7" s="2">
        <f>100000/8760</f>
        <v>11.415525114155251</v>
      </c>
      <c r="J7" t="s">
        <v>10</v>
      </c>
      <c r="K7">
        <v>0</v>
      </c>
      <c r="L7" s="5">
        <f t="shared" ref="L7:AH7" si="3">$D$5*$D$6/100</f>
        <v>15.217391304347828</v>
      </c>
      <c r="M7" s="5">
        <f t="shared" si="3"/>
        <v>15.217391304347828</v>
      </c>
      <c r="N7" s="5">
        <f t="shared" si="3"/>
        <v>15.217391304347828</v>
      </c>
      <c r="O7" s="5">
        <f t="shared" si="3"/>
        <v>15.217391304347828</v>
      </c>
      <c r="P7" s="5">
        <f t="shared" si="3"/>
        <v>15.217391304347828</v>
      </c>
      <c r="Q7" s="5">
        <f t="shared" si="3"/>
        <v>15.217391304347828</v>
      </c>
      <c r="R7" s="5">
        <f t="shared" si="3"/>
        <v>15.217391304347828</v>
      </c>
      <c r="S7" s="5">
        <f t="shared" si="3"/>
        <v>15.217391304347828</v>
      </c>
      <c r="T7" s="5">
        <f t="shared" si="3"/>
        <v>15.217391304347828</v>
      </c>
      <c r="U7" s="5">
        <f t="shared" si="3"/>
        <v>15.217391304347828</v>
      </c>
      <c r="V7" s="5">
        <f t="shared" si="3"/>
        <v>15.217391304347828</v>
      </c>
      <c r="W7" s="5">
        <f t="shared" si="3"/>
        <v>15.217391304347828</v>
      </c>
      <c r="X7" s="5">
        <f t="shared" si="3"/>
        <v>15.217391304347828</v>
      </c>
      <c r="Y7" s="5">
        <f t="shared" si="3"/>
        <v>15.217391304347828</v>
      </c>
      <c r="Z7" s="5">
        <f t="shared" si="3"/>
        <v>15.217391304347828</v>
      </c>
      <c r="AA7" s="5">
        <f t="shared" si="3"/>
        <v>15.217391304347828</v>
      </c>
      <c r="AB7" s="5">
        <f t="shared" si="3"/>
        <v>15.217391304347828</v>
      </c>
      <c r="AC7" s="5">
        <f t="shared" si="3"/>
        <v>15.217391304347828</v>
      </c>
      <c r="AD7" s="5">
        <f t="shared" si="3"/>
        <v>15.217391304347828</v>
      </c>
      <c r="AE7" s="5">
        <f t="shared" si="3"/>
        <v>15.217391304347828</v>
      </c>
      <c r="AF7" s="5">
        <f t="shared" si="3"/>
        <v>15.217391304347828</v>
      </c>
      <c r="AG7" s="5">
        <f t="shared" si="3"/>
        <v>15.217391304347828</v>
      </c>
      <c r="AH7" s="5">
        <f t="shared" si="3"/>
        <v>15.217391304347828</v>
      </c>
      <c r="AI7" s="5"/>
      <c r="AJ7" s="5"/>
    </row>
    <row r="8" spans="1:36" x14ac:dyDescent="0.35">
      <c r="A8" t="s">
        <v>3</v>
      </c>
      <c r="B8" t="s">
        <v>13</v>
      </c>
      <c r="C8" t="s">
        <v>14</v>
      </c>
      <c r="D8" s="3">
        <f t="shared" si="0"/>
        <v>0</v>
      </c>
      <c r="E8">
        <v>0</v>
      </c>
      <c r="F8">
        <v>0</v>
      </c>
      <c r="G8">
        <v>0</v>
      </c>
      <c r="J8" t="s">
        <v>28</v>
      </c>
      <c r="K8">
        <v>0</v>
      </c>
      <c r="L8" s="5">
        <f t="shared" ref="L8:AH8" si="4">L9*$N$2/3600/($D$4/100)*$K$2</f>
        <v>147.33181248881729</v>
      </c>
      <c r="M8" s="5">
        <f t="shared" si="4"/>
        <v>147.33181248881729</v>
      </c>
      <c r="N8" s="5">
        <f t="shared" si="4"/>
        <v>147.33181248881729</v>
      </c>
      <c r="O8" s="5">
        <f t="shared" si="4"/>
        <v>147.33181248881729</v>
      </c>
      <c r="P8" s="5">
        <f t="shared" si="4"/>
        <v>147.33181248881729</v>
      </c>
      <c r="Q8" s="5">
        <f t="shared" si="4"/>
        <v>147.33181248881729</v>
      </c>
      <c r="R8" s="5">
        <f t="shared" si="4"/>
        <v>147.33181248881729</v>
      </c>
      <c r="S8" s="5">
        <f t="shared" si="4"/>
        <v>147.33181248881729</v>
      </c>
      <c r="T8" s="5">
        <f t="shared" si="4"/>
        <v>147.33181248881729</v>
      </c>
      <c r="U8" s="5">
        <f t="shared" si="4"/>
        <v>147.33181248881729</v>
      </c>
      <c r="V8" s="5">
        <f t="shared" si="4"/>
        <v>147.33181248881729</v>
      </c>
      <c r="W8" s="5">
        <f t="shared" si="4"/>
        <v>147.33181248881729</v>
      </c>
      <c r="X8" s="5">
        <f t="shared" si="4"/>
        <v>147.33181248881729</v>
      </c>
      <c r="Y8" s="5">
        <f t="shared" si="4"/>
        <v>147.33181248881729</v>
      </c>
      <c r="Z8" s="5">
        <f t="shared" si="4"/>
        <v>147.33181248881729</v>
      </c>
      <c r="AA8" s="5">
        <f t="shared" si="4"/>
        <v>147.33181248881729</v>
      </c>
      <c r="AB8" s="5">
        <f t="shared" si="4"/>
        <v>147.33181248881729</v>
      </c>
      <c r="AC8" s="5">
        <f t="shared" si="4"/>
        <v>147.33181248881729</v>
      </c>
      <c r="AD8" s="5">
        <f t="shared" si="4"/>
        <v>147.33181248881729</v>
      </c>
      <c r="AE8" s="5">
        <f t="shared" si="4"/>
        <v>147.33181248881729</v>
      </c>
      <c r="AF8" s="5">
        <f t="shared" si="4"/>
        <v>147.33181248881729</v>
      </c>
      <c r="AG8" s="5">
        <f t="shared" si="4"/>
        <v>147.33181248881729</v>
      </c>
      <c r="AH8" s="5">
        <f t="shared" si="4"/>
        <v>147.33181248881729</v>
      </c>
      <c r="AI8" s="5"/>
      <c r="AJ8" s="5"/>
    </row>
    <row r="9" spans="1:36" x14ac:dyDescent="0.35">
      <c r="A9" t="s">
        <v>3</v>
      </c>
      <c r="B9" t="s">
        <v>19</v>
      </c>
      <c r="C9" t="s">
        <v>20</v>
      </c>
      <c r="D9" s="3">
        <f t="shared" si="0"/>
        <v>0</v>
      </c>
      <c r="E9">
        <v>0</v>
      </c>
      <c r="F9">
        <v>0</v>
      </c>
      <c r="G9">
        <v>0</v>
      </c>
      <c r="J9" t="s">
        <v>31</v>
      </c>
      <c r="K9">
        <v>0</v>
      </c>
      <c r="L9" s="5">
        <f t="shared" ref="L9:AH9" si="5">L11/1000*3600/$N$2</f>
        <v>121.99074074074072</v>
      </c>
      <c r="M9" s="5">
        <f t="shared" si="5"/>
        <v>121.99074074074072</v>
      </c>
      <c r="N9" s="5">
        <f t="shared" si="5"/>
        <v>121.99074074074072</v>
      </c>
      <c r="O9" s="5">
        <f t="shared" si="5"/>
        <v>121.99074074074072</v>
      </c>
      <c r="P9" s="5">
        <f t="shared" si="5"/>
        <v>121.99074074074072</v>
      </c>
      <c r="Q9" s="5">
        <f t="shared" si="5"/>
        <v>121.99074074074072</v>
      </c>
      <c r="R9" s="5">
        <f t="shared" si="5"/>
        <v>121.99074074074072</v>
      </c>
      <c r="S9" s="5">
        <f t="shared" si="5"/>
        <v>121.99074074074072</v>
      </c>
      <c r="T9" s="5">
        <f t="shared" si="5"/>
        <v>121.99074074074072</v>
      </c>
      <c r="U9" s="5">
        <f t="shared" si="5"/>
        <v>121.99074074074072</v>
      </c>
      <c r="V9" s="5">
        <f t="shared" si="5"/>
        <v>121.99074074074072</v>
      </c>
      <c r="W9" s="5">
        <f t="shared" si="5"/>
        <v>121.99074074074072</v>
      </c>
      <c r="X9" s="5">
        <f t="shared" si="5"/>
        <v>121.99074074074072</v>
      </c>
      <c r="Y9" s="5">
        <f t="shared" si="5"/>
        <v>121.99074074074072</v>
      </c>
      <c r="Z9" s="5">
        <f t="shared" si="5"/>
        <v>121.99074074074072</v>
      </c>
      <c r="AA9" s="5">
        <f t="shared" si="5"/>
        <v>121.99074074074072</v>
      </c>
      <c r="AB9" s="5">
        <f t="shared" si="5"/>
        <v>121.99074074074072</v>
      </c>
      <c r="AC9" s="5">
        <f t="shared" si="5"/>
        <v>121.99074074074072</v>
      </c>
      <c r="AD9" s="5">
        <f t="shared" si="5"/>
        <v>121.99074074074072</v>
      </c>
      <c r="AE9" s="5">
        <f t="shared" si="5"/>
        <v>121.99074074074072</v>
      </c>
      <c r="AF9" s="5">
        <f t="shared" si="5"/>
        <v>121.99074074074072</v>
      </c>
      <c r="AG9" s="5">
        <f t="shared" si="5"/>
        <v>121.99074074074072</v>
      </c>
      <c r="AH9" s="5">
        <f t="shared" si="5"/>
        <v>121.99074074074072</v>
      </c>
      <c r="AI9" s="5"/>
      <c r="AJ9" s="5"/>
    </row>
    <row r="10" spans="1:36" x14ac:dyDescent="0.35">
      <c r="D10" s="3">
        <f t="shared" si="0"/>
        <v>0</v>
      </c>
      <c r="J10" t="s">
        <v>35</v>
      </c>
      <c r="K10">
        <f>K9</f>
        <v>0</v>
      </c>
      <c r="L10" s="5">
        <f>K10+L9</f>
        <v>121.99074074074072</v>
      </c>
      <c r="M10" s="5">
        <f t="shared" ref="M10:AH10" si="6">L10+M9</f>
        <v>243.98148148148144</v>
      </c>
      <c r="N10" s="5">
        <f t="shared" si="6"/>
        <v>365.97222222222217</v>
      </c>
      <c r="O10" s="5">
        <f t="shared" si="6"/>
        <v>487.96296296296288</v>
      </c>
      <c r="P10" s="5">
        <f t="shared" si="6"/>
        <v>609.95370370370358</v>
      </c>
      <c r="Q10" s="5">
        <f t="shared" si="6"/>
        <v>731.94444444444434</v>
      </c>
      <c r="R10" s="5">
        <f t="shared" si="6"/>
        <v>853.93518518518511</v>
      </c>
      <c r="S10" s="5">
        <f t="shared" si="6"/>
        <v>975.92592592592587</v>
      </c>
      <c r="T10" s="5">
        <f t="shared" si="6"/>
        <v>1097.9166666666665</v>
      </c>
      <c r="U10" s="5">
        <f t="shared" si="6"/>
        <v>1219.9074074074072</v>
      </c>
      <c r="V10" s="5">
        <f t="shared" si="6"/>
        <v>1341.8981481481478</v>
      </c>
      <c r="W10" s="5">
        <f t="shared" si="6"/>
        <v>1463.8888888888885</v>
      </c>
      <c r="X10" s="5">
        <f t="shared" si="6"/>
        <v>1585.8796296296291</v>
      </c>
      <c r="Y10" s="5">
        <f t="shared" si="6"/>
        <v>1707.8703703703698</v>
      </c>
      <c r="Z10" s="5">
        <f t="shared" si="6"/>
        <v>1829.8611111111104</v>
      </c>
      <c r="AA10" s="5">
        <f t="shared" si="6"/>
        <v>1951.8518518518511</v>
      </c>
      <c r="AB10" s="5">
        <f t="shared" si="6"/>
        <v>2073.8425925925917</v>
      </c>
      <c r="AC10" s="5">
        <f t="shared" si="6"/>
        <v>2195.8333333333326</v>
      </c>
      <c r="AD10" s="5">
        <f t="shared" si="6"/>
        <v>2317.8240740740735</v>
      </c>
      <c r="AE10" s="5">
        <f t="shared" si="6"/>
        <v>2439.8148148148143</v>
      </c>
      <c r="AF10" s="5">
        <f t="shared" si="6"/>
        <v>2561.8055555555552</v>
      </c>
      <c r="AG10" s="5">
        <f t="shared" si="6"/>
        <v>2683.7962962962961</v>
      </c>
      <c r="AH10" s="5">
        <f t="shared" si="6"/>
        <v>2805.787037037037</v>
      </c>
      <c r="AI10" s="5"/>
      <c r="AJ10" s="5"/>
    </row>
    <row r="11" spans="1:36" x14ac:dyDescent="0.35">
      <c r="A11" t="s">
        <v>4</v>
      </c>
      <c r="B11" t="s">
        <v>8</v>
      </c>
      <c r="C11" t="s">
        <v>18</v>
      </c>
      <c r="D11" s="3">
        <f t="shared" si="0"/>
        <v>910</v>
      </c>
      <c r="E11">
        <v>910</v>
      </c>
      <c r="F11">
        <v>910</v>
      </c>
      <c r="G11">
        <v>910</v>
      </c>
      <c r="J11" t="s">
        <v>32</v>
      </c>
      <c r="K11">
        <v>0</v>
      </c>
      <c r="L11" s="5">
        <f>8500*(1-((90-K2)/90)^(2))</f>
        <v>4066.358024691358</v>
      </c>
      <c r="M11" s="5">
        <f>L11</f>
        <v>4066.358024691358</v>
      </c>
      <c r="N11" s="5">
        <f t="shared" ref="N11:AH11" si="7">M11</f>
        <v>4066.358024691358</v>
      </c>
      <c r="O11" s="5">
        <f t="shared" si="7"/>
        <v>4066.358024691358</v>
      </c>
      <c r="P11" s="5">
        <f t="shared" si="7"/>
        <v>4066.358024691358</v>
      </c>
      <c r="Q11" s="5">
        <f t="shared" si="7"/>
        <v>4066.358024691358</v>
      </c>
      <c r="R11" s="5">
        <f t="shared" si="7"/>
        <v>4066.358024691358</v>
      </c>
      <c r="S11" s="5">
        <f t="shared" si="7"/>
        <v>4066.358024691358</v>
      </c>
      <c r="T11" s="5">
        <f t="shared" si="7"/>
        <v>4066.358024691358</v>
      </c>
      <c r="U11" s="5">
        <f t="shared" si="7"/>
        <v>4066.358024691358</v>
      </c>
      <c r="V11" s="5">
        <f t="shared" si="7"/>
        <v>4066.358024691358</v>
      </c>
      <c r="W11" s="5">
        <f t="shared" si="7"/>
        <v>4066.358024691358</v>
      </c>
      <c r="X11" s="5">
        <f t="shared" si="7"/>
        <v>4066.358024691358</v>
      </c>
      <c r="Y11" s="5">
        <f t="shared" si="7"/>
        <v>4066.358024691358</v>
      </c>
      <c r="Z11" s="5">
        <f t="shared" si="7"/>
        <v>4066.358024691358</v>
      </c>
      <c r="AA11" s="5">
        <f t="shared" si="7"/>
        <v>4066.358024691358</v>
      </c>
      <c r="AB11" s="5">
        <f t="shared" si="7"/>
        <v>4066.358024691358</v>
      </c>
      <c r="AC11" s="5">
        <f t="shared" si="7"/>
        <v>4066.358024691358</v>
      </c>
      <c r="AD11" s="5">
        <f t="shared" si="7"/>
        <v>4066.358024691358</v>
      </c>
      <c r="AE11" s="5">
        <f t="shared" si="7"/>
        <v>4066.358024691358</v>
      </c>
      <c r="AF11" s="5">
        <f t="shared" si="7"/>
        <v>4066.358024691358</v>
      </c>
      <c r="AG11" s="5">
        <f t="shared" si="7"/>
        <v>4066.358024691358</v>
      </c>
      <c r="AH11" s="5">
        <f t="shared" si="7"/>
        <v>4066.358024691358</v>
      </c>
      <c r="AI11" s="5"/>
      <c r="AJ11" s="5"/>
    </row>
    <row r="12" spans="1:36" x14ac:dyDescent="0.35">
      <c r="A12" t="s">
        <v>4</v>
      </c>
      <c r="B12" t="s">
        <v>9</v>
      </c>
      <c r="C12" t="s">
        <v>12</v>
      </c>
      <c r="D12" s="3">
        <f t="shared" si="0"/>
        <v>76</v>
      </c>
      <c r="E12">
        <v>76</v>
      </c>
      <c r="F12">
        <v>76</v>
      </c>
      <c r="G12">
        <v>76</v>
      </c>
      <c r="J12" t="s">
        <v>33</v>
      </c>
      <c r="K12">
        <f>K11</f>
        <v>0</v>
      </c>
      <c r="L12" s="5">
        <f>L11+K12</f>
        <v>4066.358024691358</v>
      </c>
      <c r="M12" s="5">
        <f t="shared" ref="M12:AH12" si="8">M11+L12</f>
        <v>8132.7160493827159</v>
      </c>
      <c r="N12" s="5">
        <f t="shared" si="8"/>
        <v>12199.074074074073</v>
      </c>
      <c r="O12" s="5">
        <f t="shared" si="8"/>
        <v>16265.432098765432</v>
      </c>
      <c r="P12" s="5">
        <f t="shared" si="8"/>
        <v>20331.790123456791</v>
      </c>
      <c r="Q12" s="5">
        <f t="shared" si="8"/>
        <v>24398.14814814815</v>
      </c>
      <c r="R12" s="5">
        <f t="shared" si="8"/>
        <v>28464.506172839509</v>
      </c>
      <c r="S12" s="5">
        <f t="shared" si="8"/>
        <v>32530.864197530867</v>
      </c>
      <c r="T12" s="5">
        <f t="shared" si="8"/>
        <v>36597.222222222226</v>
      </c>
      <c r="U12" s="5">
        <f t="shared" si="8"/>
        <v>40663.580246913582</v>
      </c>
      <c r="V12" s="5">
        <f t="shared" si="8"/>
        <v>44729.938271604937</v>
      </c>
      <c r="W12" s="5">
        <f t="shared" si="8"/>
        <v>48796.296296296292</v>
      </c>
      <c r="X12" s="5">
        <f t="shared" si="8"/>
        <v>52862.654320987647</v>
      </c>
      <c r="Y12" s="5">
        <f t="shared" si="8"/>
        <v>56929.012345679002</v>
      </c>
      <c r="Z12" s="5">
        <f>Z11+Y12</f>
        <v>60995.370370370358</v>
      </c>
      <c r="AA12" s="5">
        <f t="shared" si="8"/>
        <v>65061.728395061713</v>
      </c>
      <c r="AB12" s="5">
        <f t="shared" si="8"/>
        <v>69128.086419753075</v>
      </c>
      <c r="AC12" s="5">
        <f t="shared" si="8"/>
        <v>73194.444444444438</v>
      </c>
      <c r="AD12" s="5">
        <f t="shared" si="8"/>
        <v>77260.8024691358</v>
      </c>
      <c r="AE12" s="5">
        <f t="shared" si="8"/>
        <v>81327.160493827163</v>
      </c>
      <c r="AF12" s="5">
        <f t="shared" si="8"/>
        <v>85393.518518518526</v>
      </c>
      <c r="AG12" s="5">
        <f t="shared" si="8"/>
        <v>89459.876543209888</v>
      </c>
      <c r="AH12" s="5">
        <f t="shared" si="8"/>
        <v>93526.234567901251</v>
      </c>
      <c r="AI12" s="5"/>
      <c r="AJ12" s="5"/>
    </row>
    <row r="13" spans="1:36" x14ac:dyDescent="0.35">
      <c r="A13" t="s">
        <v>4</v>
      </c>
      <c r="B13" t="s">
        <v>10</v>
      </c>
      <c r="C13" t="s">
        <v>16</v>
      </c>
      <c r="D13" s="3">
        <f t="shared" si="0"/>
        <v>4.7</v>
      </c>
      <c r="E13">
        <v>4.7</v>
      </c>
      <c r="F13">
        <v>4.7</v>
      </c>
      <c r="G13">
        <v>4.7</v>
      </c>
      <c r="J13" t="s">
        <v>34</v>
      </c>
      <c r="K13" s="2">
        <f t="shared" ref="K13:AH13" si="9">SUM(K6:K8)</f>
        <v>1014.4927536231885</v>
      </c>
      <c r="L13" s="5">
        <f t="shared" si="9"/>
        <v>162.54920379316513</v>
      </c>
      <c r="M13" s="5">
        <f t="shared" si="9"/>
        <v>162.54920379316513</v>
      </c>
      <c r="N13" s="5">
        <f t="shared" si="9"/>
        <v>162.54920379316513</v>
      </c>
      <c r="O13" s="5">
        <f t="shared" si="9"/>
        <v>162.54920379316513</v>
      </c>
      <c r="P13" s="5">
        <f t="shared" si="9"/>
        <v>162.54920379316513</v>
      </c>
      <c r="Q13" s="5">
        <f t="shared" si="9"/>
        <v>162.54920379316513</v>
      </c>
      <c r="R13" s="5">
        <f t="shared" si="9"/>
        <v>162.54920379316513</v>
      </c>
      <c r="S13" s="5">
        <f t="shared" si="9"/>
        <v>162.54920379316513</v>
      </c>
      <c r="T13" s="5">
        <f t="shared" si="9"/>
        <v>162.54920379316513</v>
      </c>
      <c r="U13" s="5">
        <f t="shared" si="9"/>
        <v>162.54920379316513</v>
      </c>
      <c r="V13" s="5">
        <f t="shared" si="9"/>
        <v>162.54920379316513</v>
      </c>
      <c r="W13" s="5">
        <f t="shared" si="9"/>
        <v>162.54920379316513</v>
      </c>
      <c r="X13" s="5">
        <f t="shared" si="9"/>
        <v>162.54920379316513</v>
      </c>
      <c r="Y13" s="5">
        <f t="shared" si="9"/>
        <v>162.54920379316513</v>
      </c>
      <c r="Z13" s="5">
        <f t="shared" si="9"/>
        <v>162.54920379316513</v>
      </c>
      <c r="AA13" s="5">
        <f t="shared" si="9"/>
        <v>162.54920379316513</v>
      </c>
      <c r="AB13" s="5">
        <f t="shared" si="9"/>
        <v>162.54920379316513</v>
      </c>
      <c r="AC13" s="5">
        <f t="shared" si="9"/>
        <v>162.54920379316513</v>
      </c>
      <c r="AD13" s="5">
        <f t="shared" si="9"/>
        <v>162.54920379316513</v>
      </c>
      <c r="AE13" s="5">
        <f t="shared" si="9"/>
        <v>162.54920379316513</v>
      </c>
      <c r="AF13" s="5">
        <f t="shared" si="9"/>
        <v>162.54920379316513</v>
      </c>
      <c r="AG13" s="5">
        <f t="shared" si="9"/>
        <v>162.54920379316513</v>
      </c>
      <c r="AH13" s="5">
        <f t="shared" si="9"/>
        <v>162.54920379316513</v>
      </c>
      <c r="AI13" s="5"/>
      <c r="AJ13" s="5"/>
    </row>
    <row r="14" spans="1:36" x14ac:dyDescent="0.35">
      <c r="A14" t="s">
        <v>4</v>
      </c>
      <c r="B14" t="s">
        <v>11</v>
      </c>
      <c r="C14" t="s">
        <v>15</v>
      </c>
      <c r="D14" s="3">
        <f t="shared" si="0"/>
        <v>25</v>
      </c>
      <c r="E14">
        <v>25</v>
      </c>
      <c r="F14">
        <v>25</v>
      </c>
      <c r="G14">
        <v>25</v>
      </c>
      <c r="J14" t="s">
        <v>36</v>
      </c>
      <c r="K14">
        <f>K13/(1+$J$2/100)^K5</f>
        <v>1014.4927536231885</v>
      </c>
      <c r="L14" s="5">
        <f t="shared" ref="L14:AH14" si="10">L13/(1+$J$2/100)^L5</f>
        <v>125.03784907166548</v>
      </c>
      <c r="M14" s="5">
        <f t="shared" si="10"/>
        <v>96.182960824358062</v>
      </c>
      <c r="N14" s="5">
        <f t="shared" si="10"/>
        <v>73.986892941813878</v>
      </c>
      <c r="O14" s="5">
        <f t="shared" si="10"/>
        <v>56.912994570626061</v>
      </c>
      <c r="P14" s="5">
        <f t="shared" si="10"/>
        <v>43.779226592789279</v>
      </c>
      <c r="Q14" s="5">
        <f t="shared" si="10"/>
        <v>33.67632814829944</v>
      </c>
      <c r="R14" s="5">
        <f t="shared" si="10"/>
        <v>25.904867806384182</v>
      </c>
      <c r="S14" s="5">
        <f t="shared" si="10"/>
        <v>19.926821389526296</v>
      </c>
      <c r="T14" s="5">
        <f t="shared" si="10"/>
        <v>15.328324145789459</v>
      </c>
      <c r="U14" s="5">
        <f t="shared" si="10"/>
        <v>11.791018573684198</v>
      </c>
      <c r="V14" s="5">
        <f t="shared" si="10"/>
        <v>9.0700142874493821</v>
      </c>
      <c r="W14" s="5">
        <f t="shared" si="10"/>
        <v>6.9769340672687559</v>
      </c>
      <c r="X14" s="5">
        <f t="shared" si="10"/>
        <v>5.3668723594375036</v>
      </c>
      <c r="Y14" s="5">
        <f t="shared" si="10"/>
        <v>4.1283633534134641</v>
      </c>
      <c r="Z14" s="5">
        <f t="shared" si="10"/>
        <v>3.1756641180103569</v>
      </c>
      <c r="AA14" s="5">
        <f t="shared" si="10"/>
        <v>2.4428185523156594</v>
      </c>
      <c r="AB14" s="5">
        <f t="shared" si="10"/>
        <v>1.8790911940889687</v>
      </c>
      <c r="AC14" s="5">
        <f t="shared" si="10"/>
        <v>1.4454547646838218</v>
      </c>
      <c r="AD14" s="5">
        <f t="shared" si="10"/>
        <v>1.1118882805260166</v>
      </c>
      <c r="AE14" s="5">
        <f t="shared" si="10"/>
        <v>0.85529867732770526</v>
      </c>
      <c r="AF14" s="5">
        <f t="shared" si="10"/>
        <v>0.6579220594828501</v>
      </c>
      <c r="AG14" s="5">
        <f t="shared" si="10"/>
        <v>0.50609389190988474</v>
      </c>
      <c r="AH14" s="5">
        <f t="shared" si="10"/>
        <v>0.38930299377683431</v>
      </c>
      <c r="AI14" s="5"/>
      <c r="AJ14" s="5"/>
    </row>
    <row r="15" spans="1:36" x14ac:dyDescent="0.35">
      <c r="A15" t="s">
        <v>4</v>
      </c>
      <c r="B15" t="s">
        <v>13</v>
      </c>
      <c r="C15" t="s">
        <v>14</v>
      </c>
      <c r="D15" s="3">
        <f t="shared" si="0"/>
        <v>8.9</v>
      </c>
      <c r="E15">
        <v>8.9</v>
      </c>
      <c r="F15">
        <v>8.9</v>
      </c>
      <c r="G15">
        <v>8.9</v>
      </c>
      <c r="J15" t="s">
        <v>37</v>
      </c>
      <c r="K15">
        <f>K9/(1+$J$2/100)^K5</f>
        <v>0</v>
      </c>
      <c r="L15" s="5">
        <f t="shared" ref="L15:AH15" si="11">L9/(1+$J$2/100)^L5</f>
        <v>93.839031339031322</v>
      </c>
      <c r="M15" s="5">
        <f t="shared" si="11"/>
        <v>72.183870260793313</v>
      </c>
      <c r="N15" s="5">
        <f t="shared" si="11"/>
        <v>55.526054046764081</v>
      </c>
      <c r="O15" s="5">
        <f t="shared" si="11"/>
        <v>42.712349266741604</v>
      </c>
      <c r="P15" s="5">
        <f t="shared" si="11"/>
        <v>32.855653282108925</v>
      </c>
      <c r="Q15" s="5">
        <f t="shared" si="11"/>
        <v>25.273579447776093</v>
      </c>
      <c r="R15" s="5">
        <f t="shared" si="11"/>
        <v>19.441214959827761</v>
      </c>
      <c r="S15" s="5">
        <f t="shared" si="11"/>
        <v>14.954780738329049</v>
      </c>
      <c r="T15" s="5">
        <f t="shared" si="11"/>
        <v>11.503677491022346</v>
      </c>
      <c r="U15" s="5">
        <f t="shared" si="11"/>
        <v>8.8489826854018041</v>
      </c>
      <c r="V15" s="5">
        <f t="shared" si="11"/>
        <v>6.8069097580013871</v>
      </c>
      <c r="W15" s="5">
        <f t="shared" si="11"/>
        <v>5.2360844292318358</v>
      </c>
      <c r="X15" s="5">
        <f t="shared" si="11"/>
        <v>4.0277572532552579</v>
      </c>
      <c r="Y15" s="5">
        <f t="shared" si="11"/>
        <v>3.0982748101963522</v>
      </c>
      <c r="Z15" s="5">
        <f t="shared" si="11"/>
        <v>2.3832883155356552</v>
      </c>
      <c r="AA15" s="5">
        <f t="shared" si="11"/>
        <v>1.8332987042581965</v>
      </c>
      <c r="AB15" s="5">
        <f t="shared" si="11"/>
        <v>1.4102297725063051</v>
      </c>
      <c r="AC15" s="5">
        <f t="shared" si="11"/>
        <v>1.0847921326971575</v>
      </c>
      <c r="AD15" s="5">
        <f t="shared" si="11"/>
        <v>0.83445548669012104</v>
      </c>
      <c r="AE15" s="5">
        <f t="shared" si="11"/>
        <v>0.64188883591547785</v>
      </c>
      <c r="AF15" s="5">
        <f t="shared" si="11"/>
        <v>0.49376064301190598</v>
      </c>
      <c r="AG15" s="5">
        <f t="shared" si="11"/>
        <v>0.37981587923992766</v>
      </c>
      <c r="AH15" s="5">
        <f t="shared" si="11"/>
        <v>0.2921660609537905</v>
      </c>
      <c r="AI15" s="5"/>
      <c r="AJ15" s="5"/>
    </row>
    <row r="16" spans="1:36" x14ac:dyDescent="0.35">
      <c r="A16" t="s">
        <v>4</v>
      </c>
      <c r="B16" t="s">
        <v>19</v>
      </c>
      <c r="C16" t="s">
        <v>20</v>
      </c>
      <c r="D16" s="3">
        <f t="shared" si="0"/>
        <v>0</v>
      </c>
      <c r="J16" t="s">
        <v>38</v>
      </c>
      <c r="K16">
        <f>SUM(K14:AH14)/SUM(K15:AH15)</f>
        <v>3.8333047705268477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35">
      <c r="D17" s="3">
        <f t="shared" si="0"/>
        <v>0</v>
      </c>
      <c r="J17" s="1" t="s">
        <v>40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35">
      <c r="A18" t="s">
        <v>5</v>
      </c>
      <c r="B18" t="s">
        <v>8</v>
      </c>
      <c r="C18" t="s">
        <v>18</v>
      </c>
      <c r="D18" s="3">
        <f t="shared" si="0"/>
        <v>1360</v>
      </c>
      <c r="E18">
        <v>1680</v>
      </c>
      <c r="F18">
        <v>1360</v>
      </c>
      <c r="G18">
        <v>1280</v>
      </c>
      <c r="J18" t="s">
        <v>22</v>
      </c>
      <c r="K18">
        <v>0</v>
      </c>
      <c r="L18" s="5">
        <v>1</v>
      </c>
      <c r="M18" s="5">
        <v>2</v>
      </c>
      <c r="N18" s="5">
        <v>3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  <c r="U18" s="5">
        <v>10</v>
      </c>
      <c r="V18" s="5">
        <v>11</v>
      </c>
      <c r="W18" s="5">
        <v>12</v>
      </c>
      <c r="X18" s="5">
        <v>13</v>
      </c>
      <c r="Y18" s="5">
        <v>14</v>
      </c>
      <c r="Z18" s="5">
        <v>15</v>
      </c>
      <c r="AA18" s="5">
        <v>16</v>
      </c>
      <c r="AB18" s="5">
        <v>17</v>
      </c>
      <c r="AC18" s="5">
        <v>18</v>
      </c>
      <c r="AD18" s="5">
        <v>19</v>
      </c>
      <c r="AE18" s="5">
        <v>20</v>
      </c>
      <c r="AF18" s="5">
        <v>21</v>
      </c>
      <c r="AG18" s="5">
        <v>22</v>
      </c>
      <c r="AH18" s="5">
        <v>23</v>
      </c>
      <c r="AI18" s="5">
        <v>24</v>
      </c>
      <c r="AJ18" s="5">
        <v>25</v>
      </c>
    </row>
    <row r="19" spans="1:36" x14ac:dyDescent="0.35">
      <c r="A19" t="s">
        <v>5</v>
      </c>
      <c r="B19" t="s">
        <v>9</v>
      </c>
      <c r="C19" t="s">
        <v>12</v>
      </c>
      <c r="D19" s="3">
        <f t="shared" si="0"/>
        <v>69</v>
      </c>
      <c r="E19">
        <v>69</v>
      </c>
      <c r="F19">
        <v>69</v>
      </c>
      <c r="G19">
        <v>69</v>
      </c>
      <c r="J19" t="s">
        <v>8</v>
      </c>
      <c r="K19" s="2">
        <f>D11</f>
        <v>910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</row>
    <row r="20" spans="1:36" x14ac:dyDescent="0.35">
      <c r="A20" t="s">
        <v>5</v>
      </c>
      <c r="B20" t="s">
        <v>10</v>
      </c>
      <c r="C20" t="s">
        <v>16</v>
      </c>
      <c r="D20" s="3">
        <f t="shared" si="0"/>
        <v>3</v>
      </c>
      <c r="E20">
        <v>3</v>
      </c>
      <c r="F20">
        <v>3</v>
      </c>
      <c r="G20">
        <v>3</v>
      </c>
      <c r="J20" t="s">
        <v>10</v>
      </c>
      <c r="K20">
        <v>0</v>
      </c>
      <c r="L20" s="5">
        <f>$D$11*$D$13/100</f>
        <v>42.77</v>
      </c>
      <c r="M20" s="5">
        <f>L20</f>
        <v>42.77</v>
      </c>
      <c r="N20" s="5">
        <f t="shared" ref="N20:AJ20" si="12">M20</f>
        <v>42.77</v>
      </c>
      <c r="O20" s="5">
        <f t="shared" si="12"/>
        <v>42.77</v>
      </c>
      <c r="P20" s="5">
        <f t="shared" si="12"/>
        <v>42.77</v>
      </c>
      <c r="Q20" s="5">
        <f t="shared" si="12"/>
        <v>42.77</v>
      </c>
      <c r="R20" s="5">
        <f t="shared" si="12"/>
        <v>42.77</v>
      </c>
      <c r="S20" s="5">
        <f t="shared" si="12"/>
        <v>42.77</v>
      </c>
      <c r="T20" s="5">
        <f t="shared" si="12"/>
        <v>42.77</v>
      </c>
      <c r="U20" s="5">
        <f t="shared" si="12"/>
        <v>42.77</v>
      </c>
      <c r="V20" s="5">
        <f t="shared" si="12"/>
        <v>42.77</v>
      </c>
      <c r="W20" s="5">
        <f t="shared" si="12"/>
        <v>42.77</v>
      </c>
      <c r="X20" s="5">
        <f t="shared" si="12"/>
        <v>42.77</v>
      </c>
      <c r="Y20" s="5">
        <f t="shared" si="12"/>
        <v>42.77</v>
      </c>
      <c r="Z20" s="5">
        <f t="shared" si="12"/>
        <v>42.77</v>
      </c>
      <c r="AA20" s="5">
        <f t="shared" si="12"/>
        <v>42.77</v>
      </c>
      <c r="AB20" s="5">
        <f t="shared" si="12"/>
        <v>42.77</v>
      </c>
      <c r="AC20" s="5">
        <f t="shared" si="12"/>
        <v>42.77</v>
      </c>
      <c r="AD20" s="5">
        <f t="shared" si="12"/>
        <v>42.77</v>
      </c>
      <c r="AE20" s="5">
        <f t="shared" si="12"/>
        <v>42.77</v>
      </c>
      <c r="AF20" s="5">
        <f t="shared" si="12"/>
        <v>42.77</v>
      </c>
      <c r="AG20" s="5">
        <f t="shared" si="12"/>
        <v>42.77</v>
      </c>
      <c r="AH20" s="5">
        <f t="shared" si="12"/>
        <v>42.77</v>
      </c>
      <c r="AI20" s="5">
        <f t="shared" si="12"/>
        <v>42.77</v>
      </c>
      <c r="AJ20" s="5">
        <f t="shared" si="12"/>
        <v>42.77</v>
      </c>
    </row>
    <row r="21" spans="1:36" x14ac:dyDescent="0.35">
      <c r="A21" t="s">
        <v>5</v>
      </c>
      <c r="B21" t="s">
        <v>11</v>
      </c>
      <c r="C21" t="s">
        <v>15</v>
      </c>
      <c r="D21" s="3">
        <f t="shared" si="0"/>
        <v>25</v>
      </c>
      <c r="E21">
        <v>25</v>
      </c>
      <c r="F21">
        <v>25</v>
      </c>
      <c r="G21">
        <v>25</v>
      </c>
      <c r="J21" t="s">
        <v>28</v>
      </c>
      <c r="K21">
        <v>0</v>
      </c>
      <c r="L21" s="5">
        <f>L22*($N$2/3600/($D$12/100)*$L$2+$M$2*$D$15)</f>
        <v>746.06315789473683</v>
      </c>
      <c r="M21" s="5">
        <f>L21</f>
        <v>746.06315789473683</v>
      </c>
      <c r="N21" s="5">
        <f t="shared" ref="N21:AJ21" si="13">M21</f>
        <v>746.06315789473683</v>
      </c>
      <c r="O21" s="5">
        <f t="shared" si="13"/>
        <v>746.06315789473683</v>
      </c>
      <c r="P21" s="5">
        <f t="shared" si="13"/>
        <v>746.06315789473683</v>
      </c>
      <c r="Q21" s="5">
        <f t="shared" si="13"/>
        <v>746.06315789473683</v>
      </c>
      <c r="R21" s="5">
        <f t="shared" si="13"/>
        <v>746.06315789473683</v>
      </c>
      <c r="S21" s="5">
        <f t="shared" si="13"/>
        <v>746.06315789473683</v>
      </c>
      <c r="T21" s="5">
        <f t="shared" si="13"/>
        <v>746.06315789473683</v>
      </c>
      <c r="U21" s="5">
        <f t="shared" si="13"/>
        <v>746.06315789473683</v>
      </c>
      <c r="V21" s="5">
        <f t="shared" si="13"/>
        <v>746.06315789473683</v>
      </c>
      <c r="W21" s="5">
        <f t="shared" si="13"/>
        <v>746.06315789473683</v>
      </c>
      <c r="X21" s="5">
        <f t="shared" si="13"/>
        <v>746.06315789473683</v>
      </c>
      <c r="Y21" s="5">
        <f t="shared" si="13"/>
        <v>746.06315789473683</v>
      </c>
      <c r="Z21" s="5">
        <f t="shared" si="13"/>
        <v>746.06315789473683</v>
      </c>
      <c r="AA21" s="5">
        <f t="shared" si="13"/>
        <v>746.06315789473683</v>
      </c>
      <c r="AB21" s="5">
        <f t="shared" si="13"/>
        <v>746.06315789473683</v>
      </c>
      <c r="AC21" s="5">
        <f t="shared" si="13"/>
        <v>746.06315789473683</v>
      </c>
      <c r="AD21" s="5">
        <f t="shared" si="13"/>
        <v>746.06315789473683</v>
      </c>
      <c r="AE21" s="5">
        <f t="shared" si="13"/>
        <v>746.06315789473683</v>
      </c>
      <c r="AF21" s="5">
        <f t="shared" si="13"/>
        <v>746.06315789473683</v>
      </c>
      <c r="AG21" s="5">
        <f t="shared" si="13"/>
        <v>746.06315789473683</v>
      </c>
      <c r="AH21" s="5">
        <f t="shared" si="13"/>
        <v>746.06315789473683</v>
      </c>
      <c r="AI21" s="5">
        <f t="shared" si="13"/>
        <v>746.06315789473683</v>
      </c>
      <c r="AJ21" s="5">
        <f t="shared" si="13"/>
        <v>746.06315789473683</v>
      </c>
    </row>
    <row r="22" spans="1:36" x14ac:dyDescent="0.35">
      <c r="A22" t="s">
        <v>5</v>
      </c>
      <c r="B22" t="s">
        <v>13</v>
      </c>
      <c r="C22" t="s">
        <v>14</v>
      </c>
      <c r="D22" s="3">
        <f t="shared" si="0"/>
        <v>1</v>
      </c>
      <c r="E22">
        <v>1</v>
      </c>
      <c r="F22">
        <v>1</v>
      </c>
      <c r="G22">
        <v>1</v>
      </c>
      <c r="J22" t="s">
        <v>31</v>
      </c>
      <c r="K22">
        <v>0</v>
      </c>
      <c r="L22" s="5">
        <f t="shared" ref="L22:AH22" si="14">L24/1000*3600/$N$2</f>
        <v>240</v>
      </c>
      <c r="M22" s="5">
        <f t="shared" si="14"/>
        <v>240</v>
      </c>
      <c r="N22" s="5">
        <f t="shared" si="14"/>
        <v>240</v>
      </c>
      <c r="O22" s="5">
        <f t="shared" si="14"/>
        <v>240</v>
      </c>
      <c r="P22" s="5">
        <f t="shared" si="14"/>
        <v>240</v>
      </c>
      <c r="Q22" s="5">
        <f t="shared" si="14"/>
        <v>240</v>
      </c>
      <c r="R22" s="5">
        <f t="shared" si="14"/>
        <v>240</v>
      </c>
      <c r="S22" s="5">
        <f t="shared" si="14"/>
        <v>240</v>
      </c>
      <c r="T22" s="5">
        <f t="shared" si="14"/>
        <v>240</v>
      </c>
      <c r="U22" s="5">
        <f t="shared" si="14"/>
        <v>240</v>
      </c>
      <c r="V22" s="5">
        <f t="shared" si="14"/>
        <v>240</v>
      </c>
      <c r="W22" s="5">
        <f t="shared" si="14"/>
        <v>240</v>
      </c>
      <c r="X22" s="5">
        <f t="shared" si="14"/>
        <v>240</v>
      </c>
      <c r="Y22" s="5">
        <f t="shared" si="14"/>
        <v>240</v>
      </c>
      <c r="Z22" s="5">
        <f t="shared" si="14"/>
        <v>240</v>
      </c>
      <c r="AA22" s="5">
        <f t="shared" si="14"/>
        <v>240</v>
      </c>
      <c r="AB22" s="5">
        <f t="shared" si="14"/>
        <v>240</v>
      </c>
      <c r="AC22" s="5">
        <f t="shared" si="14"/>
        <v>240</v>
      </c>
      <c r="AD22" s="5">
        <f t="shared" si="14"/>
        <v>240</v>
      </c>
      <c r="AE22" s="5">
        <f t="shared" si="14"/>
        <v>240</v>
      </c>
      <c r="AF22" s="5">
        <f t="shared" si="14"/>
        <v>240</v>
      </c>
      <c r="AG22" s="5">
        <f t="shared" si="14"/>
        <v>240</v>
      </c>
      <c r="AH22" s="5">
        <f t="shared" si="14"/>
        <v>240</v>
      </c>
      <c r="AI22" s="5">
        <f t="shared" ref="AI22:AJ22" si="15">AI24/1000*3600/$N$2</f>
        <v>240</v>
      </c>
      <c r="AJ22" s="5">
        <f t="shared" si="15"/>
        <v>240</v>
      </c>
    </row>
    <row r="23" spans="1:36" x14ac:dyDescent="0.35">
      <c r="A23" t="s">
        <v>5</v>
      </c>
      <c r="B23" t="s">
        <v>19</v>
      </c>
      <c r="C23" t="s">
        <v>20</v>
      </c>
      <c r="D23" s="3">
        <f t="shared" si="0"/>
        <v>0</v>
      </c>
      <c r="J23" t="s">
        <v>35</v>
      </c>
      <c r="K23">
        <f>K22</f>
        <v>0</v>
      </c>
      <c r="L23" s="5">
        <f>K23+L22</f>
        <v>240</v>
      </c>
      <c r="M23" s="5">
        <f t="shared" ref="M23" si="16">L23+M22</f>
        <v>480</v>
      </c>
      <c r="N23" s="5">
        <f t="shared" ref="N23" si="17">M23+N22</f>
        <v>720</v>
      </c>
      <c r="O23" s="5">
        <f t="shared" ref="O23" si="18">N23+O22</f>
        <v>960</v>
      </c>
      <c r="P23" s="5">
        <f t="shared" ref="P23" si="19">O23+P22</f>
        <v>1200</v>
      </c>
      <c r="Q23" s="5">
        <f t="shared" ref="Q23" si="20">P23+Q22</f>
        <v>1440</v>
      </c>
      <c r="R23" s="5">
        <f t="shared" ref="R23" si="21">Q23+R22</f>
        <v>1680</v>
      </c>
      <c r="S23" s="5">
        <f t="shared" ref="S23" si="22">R23+S22</f>
        <v>1920</v>
      </c>
      <c r="T23" s="5">
        <f t="shared" ref="T23" si="23">S23+T22</f>
        <v>2160</v>
      </c>
      <c r="U23" s="5">
        <f t="shared" ref="U23" si="24">T23+U22</f>
        <v>2400</v>
      </c>
      <c r="V23" s="5">
        <f t="shared" ref="V23" si="25">U23+V22</f>
        <v>2640</v>
      </c>
      <c r="W23" s="5">
        <f t="shared" ref="W23" si="26">V23+W22</f>
        <v>2880</v>
      </c>
      <c r="X23" s="5">
        <f t="shared" ref="X23" si="27">W23+X22</f>
        <v>3120</v>
      </c>
      <c r="Y23" s="5">
        <f t="shared" ref="Y23" si="28">X23+Y22</f>
        <v>3360</v>
      </c>
      <c r="Z23" s="5">
        <f t="shared" ref="Z23" si="29">Y23+Z22</f>
        <v>3600</v>
      </c>
      <c r="AA23" s="5">
        <f t="shared" ref="AA23" si="30">Z23+AA22</f>
        <v>3840</v>
      </c>
      <c r="AB23" s="5">
        <f t="shared" ref="AB23" si="31">AA23+AB22</f>
        <v>4080</v>
      </c>
      <c r="AC23" s="5">
        <f t="shared" ref="AC23" si="32">AB23+AC22</f>
        <v>4320</v>
      </c>
      <c r="AD23" s="5">
        <f t="shared" ref="AD23" si="33">AC23+AD22</f>
        <v>4560</v>
      </c>
      <c r="AE23" s="5">
        <f t="shared" ref="AE23" si="34">AD23+AE22</f>
        <v>4800</v>
      </c>
      <c r="AF23" s="5">
        <f t="shared" ref="AF23" si="35">AE23+AF22</f>
        <v>5040</v>
      </c>
      <c r="AG23" s="5">
        <f t="shared" ref="AG23" si="36">AF23+AG22</f>
        <v>5280</v>
      </c>
      <c r="AH23" s="5">
        <f t="shared" ref="AH23" si="37">AG23+AH22</f>
        <v>5520</v>
      </c>
      <c r="AI23" s="5">
        <f t="shared" ref="AI23" si="38">AH23+AI22</f>
        <v>5760</v>
      </c>
      <c r="AJ23" s="5">
        <f t="shared" ref="AJ23" si="39">AI23+AJ22</f>
        <v>6000</v>
      </c>
    </row>
    <row r="24" spans="1:36" x14ac:dyDescent="0.35">
      <c r="D24" s="3">
        <f t="shared" si="0"/>
        <v>0</v>
      </c>
      <c r="J24" t="s">
        <v>32</v>
      </c>
      <c r="K24">
        <v>0</v>
      </c>
      <c r="L24" s="5">
        <v>8000</v>
      </c>
      <c r="M24" s="5">
        <f t="shared" ref="M24:AH24" si="40">L24</f>
        <v>8000</v>
      </c>
      <c r="N24" s="5">
        <f t="shared" si="40"/>
        <v>8000</v>
      </c>
      <c r="O24" s="5">
        <f t="shared" si="40"/>
        <v>8000</v>
      </c>
      <c r="P24" s="5">
        <f t="shared" si="40"/>
        <v>8000</v>
      </c>
      <c r="Q24" s="5">
        <f t="shared" si="40"/>
        <v>8000</v>
      </c>
      <c r="R24" s="5">
        <f t="shared" si="40"/>
        <v>8000</v>
      </c>
      <c r="S24" s="5">
        <f t="shared" si="40"/>
        <v>8000</v>
      </c>
      <c r="T24" s="5">
        <f t="shared" si="40"/>
        <v>8000</v>
      </c>
      <c r="U24" s="5">
        <f t="shared" si="40"/>
        <v>8000</v>
      </c>
      <c r="V24" s="5">
        <f t="shared" si="40"/>
        <v>8000</v>
      </c>
      <c r="W24" s="5">
        <f t="shared" si="40"/>
        <v>8000</v>
      </c>
      <c r="X24" s="5">
        <f t="shared" si="40"/>
        <v>8000</v>
      </c>
      <c r="Y24" s="5">
        <f t="shared" si="40"/>
        <v>8000</v>
      </c>
      <c r="Z24" s="5">
        <f t="shared" si="40"/>
        <v>8000</v>
      </c>
      <c r="AA24" s="5">
        <f t="shared" si="40"/>
        <v>8000</v>
      </c>
      <c r="AB24" s="5">
        <f t="shared" si="40"/>
        <v>8000</v>
      </c>
      <c r="AC24" s="5">
        <f t="shared" si="40"/>
        <v>8000</v>
      </c>
      <c r="AD24" s="5">
        <f t="shared" si="40"/>
        <v>8000</v>
      </c>
      <c r="AE24" s="5">
        <f t="shared" si="40"/>
        <v>8000</v>
      </c>
      <c r="AF24" s="5">
        <f t="shared" si="40"/>
        <v>8000</v>
      </c>
      <c r="AG24" s="5">
        <f t="shared" si="40"/>
        <v>8000</v>
      </c>
      <c r="AH24" s="5">
        <f t="shared" si="40"/>
        <v>8000</v>
      </c>
      <c r="AI24" s="5">
        <f t="shared" ref="AI24:AJ24" si="41">AH24</f>
        <v>8000</v>
      </c>
      <c r="AJ24" s="5">
        <f t="shared" si="41"/>
        <v>8000</v>
      </c>
    </row>
    <row r="25" spans="1:36" x14ac:dyDescent="0.35">
      <c r="A25" t="s">
        <v>6</v>
      </c>
      <c r="B25" t="s">
        <v>8</v>
      </c>
      <c r="C25" t="s">
        <v>18</v>
      </c>
      <c r="D25" s="3">
        <f t="shared" si="0"/>
        <v>2670</v>
      </c>
      <c r="E25">
        <v>2670</v>
      </c>
      <c r="F25">
        <v>2670</v>
      </c>
      <c r="G25">
        <v>2670</v>
      </c>
      <c r="J25" t="s">
        <v>33</v>
      </c>
      <c r="K25">
        <f>K24</f>
        <v>0</v>
      </c>
      <c r="L25" s="5">
        <f>L24+K25</f>
        <v>8000</v>
      </c>
      <c r="M25" s="5">
        <f t="shared" ref="M25" si="42">M24+L25</f>
        <v>16000</v>
      </c>
      <c r="N25" s="5">
        <f t="shared" ref="N25" si="43">N24+M25</f>
        <v>24000</v>
      </c>
      <c r="O25" s="5">
        <f t="shared" ref="O25" si="44">O24+N25</f>
        <v>32000</v>
      </c>
      <c r="P25" s="5">
        <f t="shared" ref="P25" si="45">P24+O25</f>
        <v>40000</v>
      </c>
      <c r="Q25" s="5">
        <f t="shared" ref="Q25" si="46">Q24+P25</f>
        <v>48000</v>
      </c>
      <c r="R25" s="5">
        <f t="shared" ref="R25" si="47">R24+Q25</f>
        <v>56000</v>
      </c>
      <c r="S25" s="5">
        <f t="shared" ref="S25" si="48">S24+R25</f>
        <v>64000</v>
      </c>
      <c r="T25" s="5">
        <f t="shared" ref="T25" si="49">T24+S25</f>
        <v>72000</v>
      </c>
      <c r="U25" s="5">
        <f t="shared" ref="U25" si="50">U24+T25</f>
        <v>80000</v>
      </c>
      <c r="V25" s="5">
        <f t="shared" ref="V25" si="51">V24+U25</f>
        <v>88000</v>
      </c>
      <c r="W25" s="5">
        <f t="shared" ref="W25:X25" si="52">W24+V25</f>
        <v>96000</v>
      </c>
      <c r="X25" s="5">
        <f t="shared" si="52"/>
        <v>104000</v>
      </c>
      <c r="Y25" s="5">
        <f t="shared" ref="Y25:AH25" si="53">X25+Y24</f>
        <v>112000</v>
      </c>
      <c r="Z25" s="5">
        <f t="shared" si="53"/>
        <v>120000</v>
      </c>
      <c r="AA25" s="5">
        <f t="shared" si="53"/>
        <v>128000</v>
      </c>
      <c r="AB25" s="5">
        <f t="shared" si="53"/>
        <v>136000</v>
      </c>
      <c r="AC25" s="5">
        <f t="shared" si="53"/>
        <v>144000</v>
      </c>
      <c r="AD25" s="5">
        <f t="shared" si="53"/>
        <v>152000</v>
      </c>
      <c r="AE25" s="5">
        <f t="shared" si="53"/>
        <v>160000</v>
      </c>
      <c r="AF25" s="5">
        <f t="shared" si="53"/>
        <v>168000</v>
      </c>
      <c r="AG25" s="5">
        <f t="shared" si="53"/>
        <v>176000</v>
      </c>
      <c r="AH25" s="5">
        <f t="shared" si="53"/>
        <v>184000</v>
      </c>
      <c r="AI25" s="5">
        <f t="shared" ref="AI25:AJ25" si="54">AH25+AI24</f>
        <v>192000</v>
      </c>
      <c r="AJ25" s="5">
        <f t="shared" si="54"/>
        <v>200000</v>
      </c>
    </row>
    <row r="26" spans="1:36" x14ac:dyDescent="0.35">
      <c r="A26" t="s">
        <v>6</v>
      </c>
      <c r="B26" t="s">
        <v>9</v>
      </c>
      <c r="C26" t="s">
        <v>12</v>
      </c>
      <c r="D26" s="3">
        <f t="shared" si="0"/>
        <v>60</v>
      </c>
      <c r="E26">
        <v>60</v>
      </c>
      <c r="F26">
        <v>60</v>
      </c>
      <c r="G26">
        <v>60</v>
      </c>
      <c r="J26" t="s">
        <v>34</v>
      </c>
      <c r="K26" s="2">
        <f t="shared" ref="K26:AH26" si="55">SUM(K19:K21)</f>
        <v>910</v>
      </c>
      <c r="L26" s="5">
        <f t="shared" si="55"/>
        <v>788.83315789473681</v>
      </c>
      <c r="M26" s="5">
        <f t="shared" si="55"/>
        <v>788.83315789473681</v>
      </c>
      <c r="N26" s="5">
        <f t="shared" si="55"/>
        <v>788.83315789473681</v>
      </c>
      <c r="O26" s="5">
        <f t="shared" si="55"/>
        <v>788.83315789473681</v>
      </c>
      <c r="P26" s="5">
        <f t="shared" si="55"/>
        <v>788.83315789473681</v>
      </c>
      <c r="Q26" s="5">
        <f t="shared" si="55"/>
        <v>788.83315789473681</v>
      </c>
      <c r="R26" s="5">
        <f t="shared" si="55"/>
        <v>788.83315789473681</v>
      </c>
      <c r="S26" s="5">
        <f t="shared" si="55"/>
        <v>788.83315789473681</v>
      </c>
      <c r="T26" s="5">
        <f t="shared" si="55"/>
        <v>788.83315789473681</v>
      </c>
      <c r="U26" s="5">
        <f t="shared" si="55"/>
        <v>788.83315789473681</v>
      </c>
      <c r="V26" s="5">
        <f t="shared" si="55"/>
        <v>788.83315789473681</v>
      </c>
      <c r="W26" s="5">
        <f t="shared" si="55"/>
        <v>788.83315789473681</v>
      </c>
      <c r="X26" s="5">
        <f t="shared" si="55"/>
        <v>788.83315789473681</v>
      </c>
      <c r="Y26" s="5">
        <f t="shared" si="55"/>
        <v>788.83315789473681</v>
      </c>
      <c r="Z26" s="5">
        <f t="shared" si="55"/>
        <v>788.83315789473681</v>
      </c>
      <c r="AA26" s="5">
        <f t="shared" si="55"/>
        <v>788.83315789473681</v>
      </c>
      <c r="AB26" s="5">
        <f t="shared" si="55"/>
        <v>788.83315789473681</v>
      </c>
      <c r="AC26" s="5">
        <f t="shared" si="55"/>
        <v>788.83315789473681</v>
      </c>
      <c r="AD26" s="5">
        <f t="shared" si="55"/>
        <v>788.83315789473681</v>
      </c>
      <c r="AE26" s="5">
        <f t="shared" si="55"/>
        <v>788.83315789473681</v>
      </c>
      <c r="AF26" s="5">
        <f t="shared" si="55"/>
        <v>788.83315789473681</v>
      </c>
      <c r="AG26" s="5">
        <f t="shared" si="55"/>
        <v>788.83315789473681</v>
      </c>
      <c r="AH26" s="5">
        <f t="shared" si="55"/>
        <v>788.83315789473681</v>
      </c>
      <c r="AI26" s="5">
        <f t="shared" ref="AI26:AJ26" si="56">SUM(AI19:AI21)</f>
        <v>788.83315789473681</v>
      </c>
      <c r="AJ26" s="5">
        <f t="shared" si="56"/>
        <v>788.83315789473681</v>
      </c>
    </row>
    <row r="27" spans="1:36" x14ac:dyDescent="0.35">
      <c r="A27" t="s">
        <v>6</v>
      </c>
      <c r="B27" t="s">
        <v>10</v>
      </c>
      <c r="C27" t="s">
        <v>16</v>
      </c>
      <c r="D27" s="3">
        <f t="shared" si="0"/>
        <v>5</v>
      </c>
      <c r="E27">
        <v>5</v>
      </c>
      <c r="F27">
        <v>5</v>
      </c>
      <c r="G27">
        <v>5</v>
      </c>
      <c r="J27" t="s">
        <v>36</v>
      </c>
      <c r="K27">
        <f>K26/(1+$J$2/100)^K18</f>
        <v>910</v>
      </c>
      <c r="L27" s="5">
        <f t="shared" ref="L27" si="57">L26/(1+$J$2/100)^L18</f>
        <v>606.79473684210518</v>
      </c>
      <c r="M27" s="5">
        <f t="shared" ref="M27" si="58">M26/(1+$J$2/100)^M18</f>
        <v>466.76518218623477</v>
      </c>
      <c r="N27" s="5">
        <f t="shared" ref="N27" si="59">N26/(1+$J$2/100)^N18</f>
        <v>359.05014014325747</v>
      </c>
      <c r="O27" s="5">
        <f t="shared" ref="O27" si="60">O26/(1+$J$2/100)^O18</f>
        <v>276.19241549481342</v>
      </c>
      <c r="P27" s="5">
        <f t="shared" ref="P27" si="61">P26/(1+$J$2/100)^P18</f>
        <v>212.45570422677955</v>
      </c>
      <c r="Q27" s="5">
        <f t="shared" ref="Q27" si="62">Q26/(1+$J$2/100)^Q18</f>
        <v>163.42746478983042</v>
      </c>
      <c r="R27" s="5">
        <f t="shared" ref="R27" si="63">R26/(1+$J$2/100)^R18</f>
        <v>125.71343445371569</v>
      </c>
      <c r="S27" s="5">
        <f t="shared" ref="S27" si="64">S26/(1+$J$2/100)^S18</f>
        <v>96.702641887473618</v>
      </c>
      <c r="T27" s="5">
        <f t="shared" ref="T27" si="65">T26/(1+$J$2/100)^T18</f>
        <v>74.386647605748934</v>
      </c>
      <c r="U27" s="5">
        <f t="shared" ref="U27" si="66">U26/(1+$J$2/100)^U18</f>
        <v>57.220498158268413</v>
      </c>
      <c r="V27" s="5">
        <f t="shared" ref="V27" si="67">V26/(1+$J$2/100)^V18</f>
        <v>44.015767814052616</v>
      </c>
      <c r="W27" s="5">
        <f t="shared" ref="W27" si="68">W26/(1+$J$2/100)^W18</f>
        <v>33.858282933886628</v>
      </c>
      <c r="X27" s="5">
        <f t="shared" ref="X27" si="69">X26/(1+$J$2/100)^X18</f>
        <v>26.044833026066634</v>
      </c>
      <c r="Y27" s="5">
        <f t="shared" ref="Y27" si="70">Y26/(1+$J$2/100)^Y18</f>
        <v>20.034486943128179</v>
      </c>
      <c r="Z27" s="5">
        <f t="shared" ref="Z27" si="71">Z26/(1+$J$2/100)^Z18</f>
        <v>15.411143802406292</v>
      </c>
      <c r="AA27" s="5">
        <f t="shared" ref="AA27" si="72">AA26/(1+$J$2/100)^AA18</f>
        <v>11.854726001850993</v>
      </c>
      <c r="AB27" s="5">
        <f t="shared" ref="AB27" si="73">AB26/(1+$J$2/100)^AB18</f>
        <v>9.1190200014238414</v>
      </c>
      <c r="AC27" s="5">
        <f t="shared" ref="AC27" si="74">AC26/(1+$J$2/100)^AC18</f>
        <v>7.0146307703260309</v>
      </c>
      <c r="AD27" s="5">
        <f t="shared" ref="AD27" si="75">AD26/(1+$J$2/100)^AD18</f>
        <v>5.3958698233277147</v>
      </c>
      <c r="AE27" s="5">
        <f t="shared" ref="AE27" si="76">AE26/(1+$J$2/100)^AE18</f>
        <v>4.1506690948674736</v>
      </c>
      <c r="AF27" s="5">
        <f t="shared" ref="AF27" si="77">AF26/(1+$J$2/100)^AF18</f>
        <v>3.1928223806672875</v>
      </c>
      <c r="AG27" s="5">
        <f t="shared" ref="AG27" si="78">AG26/(1+$J$2/100)^AG18</f>
        <v>2.456017215897913</v>
      </c>
      <c r="AH27" s="5">
        <f t="shared" ref="AH27" si="79">AH26/(1+$J$2/100)^AH18</f>
        <v>1.8892440122291638</v>
      </c>
      <c r="AI27" s="5">
        <f t="shared" ref="AI27" si="80">AI26/(1+$J$2/100)^AI18</f>
        <v>1.4532646247916645</v>
      </c>
      <c r="AJ27" s="5">
        <f t="shared" ref="AJ27" si="81">AJ26/(1+$J$2/100)^AJ18</f>
        <v>1.1178958652243574</v>
      </c>
    </row>
    <row r="28" spans="1:36" x14ac:dyDescent="0.35">
      <c r="A28" t="s">
        <v>6</v>
      </c>
      <c r="B28" t="s">
        <v>11</v>
      </c>
      <c r="C28" t="s">
        <v>15</v>
      </c>
      <c r="D28" s="3">
        <f t="shared" si="0"/>
        <v>25</v>
      </c>
      <c r="E28">
        <v>25</v>
      </c>
      <c r="F28">
        <v>25</v>
      </c>
      <c r="G28">
        <v>25</v>
      </c>
      <c r="J28" t="s">
        <v>37</v>
      </c>
      <c r="K28">
        <f>K22/(1+$J$2/100)^K18</f>
        <v>0</v>
      </c>
      <c r="L28" s="5">
        <f t="shared" ref="L28:AH28" si="82">L22/(1+$J$2/100)^L18</f>
        <v>184.61538461538461</v>
      </c>
      <c r="M28" s="5">
        <f t="shared" si="82"/>
        <v>142.0118343195266</v>
      </c>
      <c r="N28" s="5">
        <f t="shared" si="82"/>
        <v>109.239872553482</v>
      </c>
      <c r="O28" s="5">
        <f t="shared" si="82"/>
        <v>84.030671194986155</v>
      </c>
      <c r="P28" s="5">
        <f t="shared" si="82"/>
        <v>64.638977842297038</v>
      </c>
      <c r="Q28" s="5">
        <f t="shared" si="82"/>
        <v>49.722290647920794</v>
      </c>
      <c r="R28" s="5">
        <f t="shared" si="82"/>
        <v>38.247915883015992</v>
      </c>
      <c r="S28" s="5">
        <f t="shared" si="82"/>
        <v>29.421473756166151</v>
      </c>
      <c r="T28" s="5">
        <f t="shared" si="82"/>
        <v>22.631902889358578</v>
      </c>
      <c r="U28" s="5">
        <f t="shared" si="82"/>
        <v>17.409156068737367</v>
      </c>
      <c r="V28" s="5">
        <f t="shared" si="82"/>
        <v>13.391658514413358</v>
      </c>
      <c r="W28" s="5">
        <f t="shared" si="82"/>
        <v>10.301275780317967</v>
      </c>
      <c r="X28" s="5">
        <f t="shared" si="82"/>
        <v>7.9240582925522816</v>
      </c>
      <c r="Y28" s="5">
        <f t="shared" si="82"/>
        <v>6.0954294558094473</v>
      </c>
      <c r="Z28" s="5">
        <f t="shared" si="82"/>
        <v>4.6887918890841895</v>
      </c>
      <c r="AA28" s="5">
        <f t="shared" si="82"/>
        <v>3.6067629916032229</v>
      </c>
      <c r="AB28" s="5">
        <f t="shared" si="82"/>
        <v>2.7744330704640179</v>
      </c>
      <c r="AC28" s="5">
        <f t="shared" si="82"/>
        <v>2.1341792849723209</v>
      </c>
      <c r="AD28" s="5">
        <f t="shared" si="82"/>
        <v>1.6416763730556312</v>
      </c>
      <c r="AE28" s="5">
        <f t="shared" si="82"/>
        <v>1.2628279792735626</v>
      </c>
      <c r="AF28" s="5">
        <f t="shared" si="82"/>
        <v>0.97140613790274044</v>
      </c>
      <c r="AG28" s="5">
        <f t="shared" si="82"/>
        <v>0.74723549069441575</v>
      </c>
      <c r="AH28" s="5">
        <f t="shared" si="82"/>
        <v>0.57479653130339659</v>
      </c>
      <c r="AI28" s="5">
        <f t="shared" ref="AI28:AJ28" si="83">AI22/(1+$J$2/100)^AI18</f>
        <v>0.44215117792568975</v>
      </c>
      <c r="AJ28" s="5">
        <f t="shared" si="83"/>
        <v>0.340116290712069</v>
      </c>
    </row>
    <row r="29" spans="1:36" x14ac:dyDescent="0.35">
      <c r="A29" t="s">
        <v>6</v>
      </c>
      <c r="B29" t="s">
        <v>13</v>
      </c>
      <c r="C29" t="s">
        <v>14</v>
      </c>
      <c r="D29" s="3">
        <f t="shared" si="0"/>
        <v>20.2</v>
      </c>
      <c r="E29">
        <v>20.2</v>
      </c>
      <c r="F29">
        <v>20.2</v>
      </c>
      <c r="G29">
        <v>20.2</v>
      </c>
      <c r="J29" t="s">
        <v>38</v>
      </c>
      <c r="K29">
        <f>SUM(K27:AJ27)/SUM(K28:AJ28)</f>
        <v>4.4259191217674987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35">
      <c r="A30" t="s">
        <v>6</v>
      </c>
      <c r="B30" t="s">
        <v>19</v>
      </c>
      <c r="C30" t="s">
        <v>20</v>
      </c>
      <c r="D30" s="3">
        <f t="shared" si="0"/>
        <v>0</v>
      </c>
      <c r="J30" s="1" t="s">
        <v>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35">
      <c r="D31" s="3">
        <f t="shared" si="0"/>
        <v>0</v>
      </c>
      <c r="J31" t="s">
        <v>22</v>
      </c>
      <c r="K31">
        <v>0</v>
      </c>
      <c r="L31" s="5">
        <v>1</v>
      </c>
      <c r="M31" s="5">
        <v>2</v>
      </c>
      <c r="N31" s="5">
        <v>3</v>
      </c>
      <c r="O31" s="5">
        <v>4</v>
      </c>
      <c r="P31" s="5">
        <v>5</v>
      </c>
      <c r="Q31" s="5">
        <v>6</v>
      </c>
      <c r="R31" s="5">
        <v>7</v>
      </c>
      <c r="S31" s="5">
        <v>8</v>
      </c>
      <c r="T31" s="5">
        <v>9</v>
      </c>
      <c r="U31" s="5">
        <v>10</v>
      </c>
      <c r="V31" s="5">
        <v>11</v>
      </c>
      <c r="W31" s="5">
        <v>12</v>
      </c>
      <c r="X31" s="5">
        <v>13</v>
      </c>
      <c r="Y31" s="5">
        <v>14</v>
      </c>
      <c r="Z31" s="5">
        <v>15</v>
      </c>
      <c r="AA31" s="5">
        <v>16</v>
      </c>
      <c r="AB31" s="5">
        <v>17</v>
      </c>
      <c r="AC31" s="5">
        <v>18</v>
      </c>
      <c r="AD31" s="5">
        <v>19</v>
      </c>
      <c r="AE31" s="5">
        <v>20</v>
      </c>
      <c r="AF31" s="5">
        <v>21</v>
      </c>
      <c r="AG31" s="5">
        <v>22</v>
      </c>
      <c r="AH31" s="5">
        <v>23</v>
      </c>
      <c r="AI31" s="5">
        <v>24</v>
      </c>
      <c r="AJ31" s="5">
        <v>25</v>
      </c>
    </row>
    <row r="32" spans="1:36" x14ac:dyDescent="0.35">
      <c r="A32" t="s">
        <v>7</v>
      </c>
      <c r="B32" t="s">
        <v>8</v>
      </c>
      <c r="C32" t="s">
        <v>18</v>
      </c>
      <c r="D32" s="3">
        <f t="shared" si="0"/>
        <v>2780</v>
      </c>
      <c r="E32">
        <v>2780</v>
      </c>
      <c r="F32">
        <v>2780</v>
      </c>
      <c r="G32">
        <v>2780</v>
      </c>
      <c r="J32" t="s">
        <v>8</v>
      </c>
      <c r="K32" s="2">
        <f>D18</f>
        <v>1360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f>K32-K19</f>
        <v>450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f>U32</f>
        <v>450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</row>
    <row r="33" spans="1:36" x14ac:dyDescent="0.35">
      <c r="A33" t="s">
        <v>7</v>
      </c>
      <c r="B33" t="s">
        <v>9</v>
      </c>
      <c r="C33" t="s">
        <v>12</v>
      </c>
      <c r="D33" s="3">
        <f t="shared" si="0"/>
        <v>58</v>
      </c>
      <c r="E33">
        <v>58</v>
      </c>
      <c r="F33">
        <v>58</v>
      </c>
      <c r="G33">
        <v>58</v>
      </c>
      <c r="J33" t="s">
        <v>10</v>
      </c>
      <c r="K33">
        <v>0</v>
      </c>
      <c r="L33" s="5">
        <f>$D$18*$D$20/100</f>
        <v>40.799999999999997</v>
      </c>
      <c r="M33" s="5">
        <f>L33</f>
        <v>40.799999999999997</v>
      </c>
      <c r="N33" s="5">
        <f t="shared" ref="N33:AJ33" si="84">M33</f>
        <v>40.799999999999997</v>
      </c>
      <c r="O33" s="5">
        <f t="shared" si="84"/>
        <v>40.799999999999997</v>
      </c>
      <c r="P33" s="5">
        <f t="shared" si="84"/>
        <v>40.799999999999997</v>
      </c>
      <c r="Q33" s="5">
        <f t="shared" si="84"/>
        <v>40.799999999999997</v>
      </c>
      <c r="R33" s="5">
        <f t="shared" si="84"/>
        <v>40.799999999999997</v>
      </c>
      <c r="S33" s="5">
        <f t="shared" si="84"/>
        <v>40.799999999999997</v>
      </c>
      <c r="T33" s="5">
        <f t="shared" si="84"/>
        <v>40.799999999999997</v>
      </c>
      <c r="U33" s="5">
        <f t="shared" si="84"/>
        <v>40.799999999999997</v>
      </c>
      <c r="V33" s="5">
        <f t="shared" si="84"/>
        <v>40.799999999999997</v>
      </c>
      <c r="W33" s="5">
        <f t="shared" si="84"/>
        <v>40.799999999999997</v>
      </c>
      <c r="X33" s="5">
        <f t="shared" si="84"/>
        <v>40.799999999999997</v>
      </c>
      <c r="Y33" s="5">
        <f t="shared" si="84"/>
        <v>40.799999999999997</v>
      </c>
      <c r="Z33" s="5">
        <f t="shared" si="84"/>
        <v>40.799999999999997</v>
      </c>
      <c r="AA33" s="5">
        <f t="shared" si="84"/>
        <v>40.799999999999997</v>
      </c>
      <c r="AB33" s="5">
        <f t="shared" si="84"/>
        <v>40.799999999999997</v>
      </c>
      <c r="AC33" s="5">
        <f t="shared" si="84"/>
        <v>40.799999999999997</v>
      </c>
      <c r="AD33" s="5">
        <f t="shared" si="84"/>
        <v>40.799999999999997</v>
      </c>
      <c r="AE33" s="5">
        <f t="shared" si="84"/>
        <v>40.799999999999997</v>
      </c>
      <c r="AF33" s="5">
        <f t="shared" si="84"/>
        <v>40.799999999999997</v>
      </c>
      <c r="AG33" s="5">
        <f t="shared" si="84"/>
        <v>40.799999999999997</v>
      </c>
      <c r="AH33" s="5">
        <f t="shared" si="84"/>
        <v>40.799999999999997</v>
      </c>
      <c r="AI33" s="5">
        <f t="shared" si="84"/>
        <v>40.799999999999997</v>
      </c>
      <c r="AJ33" s="5">
        <f t="shared" si="84"/>
        <v>40.799999999999997</v>
      </c>
    </row>
    <row r="34" spans="1:36" x14ac:dyDescent="0.35">
      <c r="A34" t="s">
        <v>7</v>
      </c>
      <c r="B34" t="s">
        <v>10</v>
      </c>
      <c r="C34" t="s">
        <v>16</v>
      </c>
      <c r="D34" s="3">
        <f t="shared" si="0"/>
        <v>5</v>
      </c>
      <c r="E34">
        <v>5</v>
      </c>
      <c r="F34">
        <v>5</v>
      </c>
      <c r="G34">
        <v>5</v>
      </c>
      <c r="J34" t="s">
        <v>28</v>
      </c>
      <c r="K34">
        <v>0</v>
      </c>
      <c r="L34" s="5">
        <f>L35*($N$2/3600/($D$19/100)*$L$2+$M$2*$D$22)</f>
        <v>187.94202898550725</v>
      </c>
      <c r="M34" s="5">
        <f>L34</f>
        <v>187.94202898550725</v>
      </c>
      <c r="N34" s="5">
        <f t="shared" ref="N34:AJ34" si="85">M34</f>
        <v>187.94202898550725</v>
      </c>
      <c r="O34" s="5">
        <f t="shared" si="85"/>
        <v>187.94202898550725</v>
      </c>
      <c r="P34" s="5">
        <f t="shared" si="85"/>
        <v>187.94202898550725</v>
      </c>
      <c r="Q34" s="5">
        <f t="shared" si="85"/>
        <v>187.94202898550725</v>
      </c>
      <c r="R34" s="5">
        <f t="shared" si="85"/>
        <v>187.94202898550725</v>
      </c>
      <c r="S34" s="5">
        <f t="shared" si="85"/>
        <v>187.94202898550725</v>
      </c>
      <c r="T34" s="5">
        <f t="shared" si="85"/>
        <v>187.94202898550725</v>
      </c>
      <c r="U34" s="5">
        <f t="shared" si="85"/>
        <v>187.94202898550725</v>
      </c>
      <c r="V34" s="5">
        <f t="shared" si="85"/>
        <v>187.94202898550725</v>
      </c>
      <c r="W34" s="5">
        <f t="shared" si="85"/>
        <v>187.94202898550725</v>
      </c>
      <c r="X34" s="5">
        <f t="shared" si="85"/>
        <v>187.94202898550725</v>
      </c>
      <c r="Y34" s="5">
        <f t="shared" si="85"/>
        <v>187.94202898550725</v>
      </c>
      <c r="Z34" s="5">
        <f t="shared" si="85"/>
        <v>187.94202898550725</v>
      </c>
      <c r="AA34" s="5">
        <f t="shared" si="85"/>
        <v>187.94202898550725</v>
      </c>
      <c r="AB34" s="5">
        <f t="shared" si="85"/>
        <v>187.94202898550725</v>
      </c>
      <c r="AC34" s="5">
        <f t="shared" si="85"/>
        <v>187.94202898550725</v>
      </c>
      <c r="AD34" s="5">
        <f t="shared" si="85"/>
        <v>187.94202898550725</v>
      </c>
      <c r="AE34" s="5">
        <f t="shared" si="85"/>
        <v>187.94202898550725</v>
      </c>
      <c r="AF34" s="5">
        <f t="shared" si="85"/>
        <v>187.94202898550725</v>
      </c>
      <c r="AG34" s="5">
        <f t="shared" si="85"/>
        <v>187.94202898550725</v>
      </c>
      <c r="AH34" s="5">
        <f t="shared" si="85"/>
        <v>187.94202898550725</v>
      </c>
      <c r="AI34" s="5">
        <f t="shared" si="85"/>
        <v>187.94202898550725</v>
      </c>
      <c r="AJ34" s="5">
        <f t="shared" si="85"/>
        <v>187.94202898550725</v>
      </c>
    </row>
    <row r="35" spans="1:36" x14ac:dyDescent="0.35">
      <c r="A35" t="s">
        <v>7</v>
      </c>
      <c r="B35" t="s">
        <v>11</v>
      </c>
      <c r="C35" t="s">
        <v>15</v>
      </c>
      <c r="D35" s="3">
        <f t="shared" si="0"/>
        <v>25</v>
      </c>
      <c r="E35">
        <v>25</v>
      </c>
      <c r="F35">
        <v>25</v>
      </c>
      <c r="G35">
        <v>25</v>
      </c>
      <c r="J35" t="s">
        <v>31</v>
      </c>
      <c r="K35">
        <v>0</v>
      </c>
      <c r="L35" s="5">
        <f t="shared" ref="L35:AH35" si="86">L37/1000*3600/$N$2</f>
        <v>240</v>
      </c>
      <c r="M35" s="5">
        <f t="shared" si="86"/>
        <v>240</v>
      </c>
      <c r="N35" s="5">
        <f t="shared" si="86"/>
        <v>240</v>
      </c>
      <c r="O35" s="5">
        <f t="shared" si="86"/>
        <v>240</v>
      </c>
      <c r="P35" s="5">
        <f t="shared" si="86"/>
        <v>240</v>
      </c>
      <c r="Q35" s="5">
        <f t="shared" si="86"/>
        <v>240</v>
      </c>
      <c r="R35" s="5">
        <f t="shared" si="86"/>
        <v>240</v>
      </c>
      <c r="S35" s="5">
        <f t="shared" si="86"/>
        <v>240</v>
      </c>
      <c r="T35" s="5">
        <f t="shared" si="86"/>
        <v>240</v>
      </c>
      <c r="U35" s="5">
        <f t="shared" si="86"/>
        <v>240</v>
      </c>
      <c r="V35" s="5">
        <f t="shared" si="86"/>
        <v>240</v>
      </c>
      <c r="W35" s="5">
        <f t="shared" si="86"/>
        <v>240</v>
      </c>
      <c r="X35" s="5">
        <f t="shared" si="86"/>
        <v>240</v>
      </c>
      <c r="Y35" s="5">
        <f t="shared" si="86"/>
        <v>240</v>
      </c>
      <c r="Z35" s="5">
        <f t="shared" si="86"/>
        <v>240</v>
      </c>
      <c r="AA35" s="5">
        <f t="shared" si="86"/>
        <v>240</v>
      </c>
      <c r="AB35" s="5">
        <f t="shared" si="86"/>
        <v>240</v>
      </c>
      <c r="AC35" s="5">
        <f t="shared" si="86"/>
        <v>240</v>
      </c>
      <c r="AD35" s="5">
        <f t="shared" si="86"/>
        <v>240</v>
      </c>
      <c r="AE35" s="5">
        <f t="shared" si="86"/>
        <v>240</v>
      </c>
      <c r="AF35" s="5">
        <f t="shared" si="86"/>
        <v>240</v>
      </c>
      <c r="AG35" s="5">
        <f t="shared" si="86"/>
        <v>240</v>
      </c>
      <c r="AH35" s="5">
        <f t="shared" si="86"/>
        <v>240</v>
      </c>
      <c r="AI35" s="5">
        <f t="shared" ref="AI35:AJ35" si="87">AI37/1000*3600/$N$2</f>
        <v>240</v>
      </c>
      <c r="AJ35" s="5">
        <f t="shared" si="87"/>
        <v>240</v>
      </c>
    </row>
    <row r="36" spans="1:36" x14ac:dyDescent="0.35">
      <c r="A36" t="s">
        <v>7</v>
      </c>
      <c r="B36" t="s">
        <v>13</v>
      </c>
      <c r="C36" t="s">
        <v>14</v>
      </c>
      <c r="D36" s="3">
        <f t="shared" si="0"/>
        <v>1</v>
      </c>
      <c r="E36">
        <v>1</v>
      </c>
      <c r="F36">
        <v>1</v>
      </c>
      <c r="G36">
        <v>1</v>
      </c>
      <c r="J36" t="s">
        <v>35</v>
      </c>
      <c r="K36">
        <f>K35</f>
        <v>0</v>
      </c>
      <c r="L36" s="5">
        <f>K36+L35</f>
        <v>240</v>
      </c>
      <c r="M36" s="5">
        <f t="shared" ref="M36" si="88">L36+M35</f>
        <v>480</v>
      </c>
      <c r="N36" s="5">
        <f t="shared" ref="N36" si="89">M36+N35</f>
        <v>720</v>
      </c>
      <c r="O36" s="5">
        <f t="shared" ref="O36" si="90">N36+O35</f>
        <v>960</v>
      </c>
      <c r="P36" s="5">
        <f t="shared" ref="P36" si="91">O36+P35</f>
        <v>1200</v>
      </c>
      <c r="Q36" s="5">
        <f t="shared" ref="Q36" si="92">P36+Q35</f>
        <v>1440</v>
      </c>
      <c r="R36" s="5">
        <f t="shared" ref="R36" si="93">Q36+R35</f>
        <v>1680</v>
      </c>
      <c r="S36" s="5">
        <f t="shared" ref="S36" si="94">R36+S35</f>
        <v>1920</v>
      </c>
      <c r="T36" s="5">
        <f t="shared" ref="T36" si="95">S36+T35</f>
        <v>2160</v>
      </c>
      <c r="U36" s="5">
        <f t="shared" ref="U36" si="96">T36+U35</f>
        <v>2400</v>
      </c>
      <c r="V36" s="5">
        <f t="shared" ref="V36" si="97">U36+V35</f>
        <v>2640</v>
      </c>
      <c r="W36" s="5">
        <f t="shared" ref="W36" si="98">V36+W35</f>
        <v>2880</v>
      </c>
      <c r="X36" s="5">
        <f t="shared" ref="X36" si="99">W36+X35</f>
        <v>3120</v>
      </c>
      <c r="Y36" s="5">
        <f t="shared" ref="Y36" si="100">X36+Y35</f>
        <v>3360</v>
      </c>
      <c r="Z36" s="5">
        <f t="shared" ref="Z36" si="101">Y36+Z35</f>
        <v>3600</v>
      </c>
      <c r="AA36" s="5">
        <f t="shared" ref="AA36" si="102">Z36+AA35</f>
        <v>3840</v>
      </c>
      <c r="AB36" s="5">
        <f t="shared" ref="AB36" si="103">AA36+AB35</f>
        <v>4080</v>
      </c>
      <c r="AC36" s="5">
        <f t="shared" ref="AC36" si="104">AB36+AC35</f>
        <v>4320</v>
      </c>
      <c r="AD36" s="5">
        <f t="shared" ref="AD36" si="105">AC36+AD35</f>
        <v>4560</v>
      </c>
      <c r="AE36" s="5">
        <f t="shared" ref="AE36" si="106">AD36+AE35</f>
        <v>4800</v>
      </c>
      <c r="AF36" s="5">
        <f t="shared" ref="AF36" si="107">AE36+AF35</f>
        <v>5040</v>
      </c>
      <c r="AG36" s="5">
        <f t="shared" ref="AG36" si="108">AF36+AG35</f>
        <v>5280</v>
      </c>
      <c r="AH36" s="5">
        <f t="shared" ref="AH36" si="109">AG36+AH35</f>
        <v>5520</v>
      </c>
      <c r="AI36" s="5">
        <f t="shared" ref="AI36" si="110">AH36+AI35</f>
        <v>5760</v>
      </c>
      <c r="AJ36" s="5">
        <f t="shared" ref="AJ36" si="111">AI36+AJ35</f>
        <v>6000</v>
      </c>
    </row>
    <row r="37" spans="1:36" x14ac:dyDescent="0.35">
      <c r="A37" t="s">
        <v>7</v>
      </c>
      <c r="B37" t="s">
        <v>19</v>
      </c>
      <c r="C37" t="s">
        <v>20</v>
      </c>
      <c r="D37" s="3">
        <f t="shared" si="0"/>
        <v>0</v>
      </c>
      <c r="J37" t="s">
        <v>32</v>
      </c>
      <c r="K37">
        <v>0</v>
      </c>
      <c r="L37" s="5">
        <v>8000</v>
      </c>
      <c r="M37" s="5">
        <f t="shared" ref="M37:AH37" si="112">L37</f>
        <v>8000</v>
      </c>
      <c r="N37" s="5">
        <f t="shared" si="112"/>
        <v>8000</v>
      </c>
      <c r="O37" s="5">
        <f t="shared" si="112"/>
        <v>8000</v>
      </c>
      <c r="P37" s="5">
        <f t="shared" si="112"/>
        <v>8000</v>
      </c>
      <c r="Q37" s="5">
        <f t="shared" si="112"/>
        <v>8000</v>
      </c>
      <c r="R37" s="5">
        <f t="shared" si="112"/>
        <v>8000</v>
      </c>
      <c r="S37" s="5">
        <f t="shared" si="112"/>
        <v>8000</v>
      </c>
      <c r="T37" s="5">
        <f t="shared" si="112"/>
        <v>8000</v>
      </c>
      <c r="U37" s="5">
        <f t="shared" si="112"/>
        <v>8000</v>
      </c>
      <c r="V37" s="5">
        <f t="shared" si="112"/>
        <v>8000</v>
      </c>
      <c r="W37" s="5">
        <f t="shared" si="112"/>
        <v>8000</v>
      </c>
      <c r="X37" s="5">
        <f t="shared" si="112"/>
        <v>8000</v>
      </c>
      <c r="Y37" s="5">
        <f t="shared" si="112"/>
        <v>8000</v>
      </c>
      <c r="Z37" s="5">
        <f t="shared" si="112"/>
        <v>8000</v>
      </c>
      <c r="AA37" s="5">
        <f t="shared" si="112"/>
        <v>8000</v>
      </c>
      <c r="AB37" s="5">
        <f t="shared" si="112"/>
        <v>8000</v>
      </c>
      <c r="AC37" s="5">
        <f t="shared" si="112"/>
        <v>8000</v>
      </c>
      <c r="AD37" s="5">
        <f t="shared" si="112"/>
        <v>8000</v>
      </c>
      <c r="AE37" s="5">
        <f t="shared" si="112"/>
        <v>8000</v>
      </c>
      <c r="AF37" s="5">
        <f t="shared" si="112"/>
        <v>8000</v>
      </c>
      <c r="AG37" s="5">
        <f t="shared" si="112"/>
        <v>8000</v>
      </c>
      <c r="AH37" s="5">
        <f t="shared" si="112"/>
        <v>8000</v>
      </c>
      <c r="AI37" s="5">
        <f t="shared" ref="AI37:AJ37" si="113">AH37</f>
        <v>8000</v>
      </c>
      <c r="AJ37" s="5">
        <f t="shared" si="113"/>
        <v>8000</v>
      </c>
    </row>
    <row r="38" spans="1:36" x14ac:dyDescent="0.35">
      <c r="J38" t="s">
        <v>33</v>
      </c>
      <c r="K38">
        <f>K37</f>
        <v>0</v>
      </c>
      <c r="L38" s="5">
        <f>L37+K38</f>
        <v>8000</v>
      </c>
      <c r="M38" s="5">
        <f t="shared" ref="M38" si="114">M37+L38</f>
        <v>16000</v>
      </c>
      <c r="N38" s="5">
        <f t="shared" ref="N38" si="115">N37+M38</f>
        <v>24000</v>
      </c>
      <c r="O38" s="5">
        <f t="shared" ref="O38" si="116">O37+N38</f>
        <v>32000</v>
      </c>
      <c r="P38" s="5">
        <f t="shared" ref="P38" si="117">P37+O38</f>
        <v>40000</v>
      </c>
      <c r="Q38" s="5">
        <f t="shared" ref="Q38" si="118">Q37+P38</f>
        <v>48000</v>
      </c>
      <c r="R38" s="5">
        <f t="shared" ref="R38" si="119">R37+Q38</f>
        <v>56000</v>
      </c>
      <c r="S38" s="5">
        <f t="shared" ref="S38" si="120">S37+R38</f>
        <v>64000</v>
      </c>
      <c r="T38" s="5">
        <f t="shared" ref="T38" si="121">T37+S38</f>
        <v>72000</v>
      </c>
      <c r="U38" s="5">
        <f t="shared" ref="U38" si="122">U37+T38</f>
        <v>80000</v>
      </c>
      <c r="V38" s="5">
        <f t="shared" ref="V38" si="123">V37+U38</f>
        <v>88000</v>
      </c>
      <c r="W38" s="5">
        <f t="shared" ref="W38" si="124">W37+V38</f>
        <v>96000</v>
      </c>
      <c r="X38" s="5">
        <f t="shared" ref="X38" si="125">X37+W38</f>
        <v>104000</v>
      </c>
      <c r="Y38" s="5">
        <f t="shared" ref="Y38:AH38" si="126">X38+Y37</f>
        <v>112000</v>
      </c>
      <c r="Z38" s="5">
        <f t="shared" si="126"/>
        <v>120000</v>
      </c>
      <c r="AA38" s="5">
        <f t="shared" si="126"/>
        <v>128000</v>
      </c>
      <c r="AB38" s="5">
        <f t="shared" si="126"/>
        <v>136000</v>
      </c>
      <c r="AC38" s="5">
        <f t="shared" si="126"/>
        <v>144000</v>
      </c>
      <c r="AD38" s="5">
        <f t="shared" si="126"/>
        <v>152000</v>
      </c>
      <c r="AE38" s="5">
        <f t="shared" si="126"/>
        <v>160000</v>
      </c>
      <c r="AF38" s="5">
        <f t="shared" si="126"/>
        <v>168000</v>
      </c>
      <c r="AG38" s="5">
        <f t="shared" si="126"/>
        <v>176000</v>
      </c>
      <c r="AH38" s="5">
        <f t="shared" si="126"/>
        <v>184000</v>
      </c>
      <c r="AI38" s="5">
        <f t="shared" ref="AI38" si="127">AH38+AI37</f>
        <v>192000</v>
      </c>
      <c r="AJ38" s="5">
        <f t="shared" ref="AJ38" si="128">AI38+AJ37</f>
        <v>200000</v>
      </c>
    </row>
    <row r="39" spans="1:36" x14ac:dyDescent="0.35">
      <c r="J39" t="s">
        <v>34</v>
      </c>
      <c r="K39" s="2">
        <f t="shared" ref="K39:AH39" si="129">SUM(K32:K34)</f>
        <v>1360</v>
      </c>
      <c r="L39" s="5">
        <f t="shared" si="129"/>
        <v>228.74202898550726</v>
      </c>
      <c r="M39" s="5">
        <f t="shared" si="129"/>
        <v>228.74202898550726</v>
      </c>
      <c r="N39" s="5">
        <f t="shared" si="129"/>
        <v>228.74202898550726</v>
      </c>
      <c r="O39" s="5">
        <f t="shared" si="129"/>
        <v>228.74202898550726</v>
      </c>
      <c r="P39" s="5">
        <f t="shared" si="129"/>
        <v>228.74202898550726</v>
      </c>
      <c r="Q39" s="5">
        <f t="shared" si="129"/>
        <v>228.74202898550726</v>
      </c>
      <c r="R39" s="5">
        <f t="shared" si="129"/>
        <v>228.74202898550726</v>
      </c>
      <c r="S39" s="5">
        <f t="shared" si="129"/>
        <v>228.74202898550726</v>
      </c>
      <c r="T39" s="5">
        <f t="shared" si="129"/>
        <v>228.74202898550726</v>
      </c>
      <c r="U39" s="5">
        <f t="shared" si="129"/>
        <v>678.7420289855072</v>
      </c>
      <c r="V39" s="5">
        <f t="shared" si="129"/>
        <v>228.74202898550726</v>
      </c>
      <c r="W39" s="5">
        <f t="shared" si="129"/>
        <v>228.74202898550726</v>
      </c>
      <c r="X39" s="5">
        <f t="shared" si="129"/>
        <v>228.74202898550726</v>
      </c>
      <c r="Y39" s="5">
        <f t="shared" si="129"/>
        <v>228.74202898550726</v>
      </c>
      <c r="Z39" s="5">
        <f t="shared" si="129"/>
        <v>228.74202898550726</v>
      </c>
      <c r="AA39" s="5">
        <f t="shared" si="129"/>
        <v>228.74202898550726</v>
      </c>
      <c r="AB39" s="5">
        <f t="shared" si="129"/>
        <v>228.74202898550726</v>
      </c>
      <c r="AC39" s="5">
        <f t="shared" si="129"/>
        <v>228.74202898550726</v>
      </c>
      <c r="AD39" s="5">
        <f t="shared" si="129"/>
        <v>228.74202898550726</v>
      </c>
      <c r="AE39" s="5">
        <f t="shared" si="129"/>
        <v>678.7420289855072</v>
      </c>
      <c r="AF39" s="5">
        <f t="shared" si="129"/>
        <v>228.74202898550726</v>
      </c>
      <c r="AG39" s="5">
        <f t="shared" si="129"/>
        <v>228.74202898550726</v>
      </c>
      <c r="AH39" s="5">
        <f t="shared" si="129"/>
        <v>228.74202898550726</v>
      </c>
      <c r="AI39" s="5">
        <f t="shared" ref="AI39:AJ39" si="130">SUM(AI32:AI34)</f>
        <v>228.74202898550726</v>
      </c>
      <c r="AJ39" s="5">
        <f t="shared" si="130"/>
        <v>228.74202898550726</v>
      </c>
    </row>
    <row r="40" spans="1:36" x14ac:dyDescent="0.35">
      <c r="J40" t="s">
        <v>36</v>
      </c>
      <c r="K40">
        <f>K39/(1+$J$2/100)^K31</f>
        <v>1360</v>
      </c>
      <c r="L40" s="5">
        <f t="shared" ref="L40" si="131">L39/(1+$J$2/100)^L31</f>
        <v>175.95540691192866</v>
      </c>
      <c r="M40" s="5">
        <f t="shared" ref="M40" si="132">M39/(1+$J$2/100)^M31</f>
        <v>135.35031300917589</v>
      </c>
      <c r="N40" s="5">
        <f t="shared" ref="N40" si="133">N39/(1+$J$2/100)^N31</f>
        <v>104.11562539167375</v>
      </c>
      <c r="O40" s="5">
        <f t="shared" ref="O40" si="134">O39/(1+$J$2/100)^O31</f>
        <v>80.088942608979806</v>
      </c>
      <c r="P40" s="5">
        <f t="shared" ref="P40" si="135">P39/(1+$J$2/100)^P31</f>
        <v>61.606878929984461</v>
      </c>
      <c r="Q40" s="5">
        <f t="shared" ref="Q40" si="136">Q39/(1+$J$2/100)^Q31</f>
        <v>47.389906869218812</v>
      </c>
      <c r="R40" s="5">
        <f t="shared" ref="R40" si="137">R39/(1+$J$2/100)^R31</f>
        <v>36.453774514783696</v>
      </c>
      <c r="S40" s="5">
        <f t="shared" ref="S40" si="138">S39/(1+$J$2/100)^S31</f>
        <v>28.041365011372079</v>
      </c>
      <c r="T40" s="5">
        <f t="shared" ref="T40" si="139">T39/(1+$J$2/100)^T31</f>
        <v>21.570280777978521</v>
      </c>
      <c r="U40" s="5">
        <f t="shared" ref="U40" si="140">U39/(1+$J$2/100)^U31</f>
        <v>49.234691304250653</v>
      </c>
      <c r="V40" s="5">
        <f t="shared" ref="V40" si="141">V39/(1+$J$2/100)^V31</f>
        <v>12.763479750283146</v>
      </c>
      <c r="W40" s="5">
        <f t="shared" ref="W40" si="142">W39/(1+$J$2/100)^W31</f>
        <v>9.8180613463716515</v>
      </c>
      <c r="X40" s="5">
        <f t="shared" ref="X40" si="143">X39/(1+$J$2/100)^X31</f>
        <v>7.5523548818243462</v>
      </c>
      <c r="Y40" s="5">
        <f t="shared" ref="Y40" si="144">Y39/(1+$J$2/100)^Y31</f>
        <v>5.809503755249497</v>
      </c>
      <c r="Z40" s="5">
        <f t="shared" ref="Z40" si="145">Z39/(1+$J$2/100)^Z31</f>
        <v>4.4688490424996123</v>
      </c>
      <c r="AA40" s="5">
        <f t="shared" ref="AA40" si="146">AA39/(1+$J$2/100)^AA31</f>
        <v>3.4375761865381635</v>
      </c>
      <c r="AB40" s="5">
        <f t="shared" ref="AB40" si="147">AB39/(1+$J$2/100)^AB31</f>
        <v>2.6442893742601261</v>
      </c>
      <c r="AC40" s="5">
        <f t="shared" ref="AC40" si="148">AC39/(1+$J$2/100)^AC31</f>
        <v>2.0340687494308658</v>
      </c>
      <c r="AD40" s="5">
        <f t="shared" ref="AD40" si="149">AD39/(1+$J$2/100)^AD31</f>
        <v>1.5646682687929734</v>
      </c>
      <c r="AE40" s="5">
        <f t="shared" ref="AE40" si="150">AE39/(1+$J$2/100)^AE31</f>
        <v>3.5713934371325249</v>
      </c>
      <c r="AF40" s="5">
        <f t="shared" ref="AF40" si="151">AF39/(1+$J$2/100)^AF31</f>
        <v>0.92583921230353472</v>
      </c>
      <c r="AG40" s="5">
        <f t="shared" ref="AG40" si="152">AG39/(1+$J$2/100)^AG31</f>
        <v>0.71218400946425742</v>
      </c>
      <c r="AH40" s="5">
        <f t="shared" ref="AH40" si="153">AH39/(1+$J$2/100)^AH31</f>
        <v>0.54783385343404412</v>
      </c>
      <c r="AI40" s="5">
        <f t="shared" ref="AI40" si="154">AI39/(1+$J$2/100)^AI31</f>
        <v>0.42141065648772624</v>
      </c>
      <c r="AJ40" s="5">
        <f t="shared" ref="AJ40" si="155">AJ39/(1+$J$2/100)^AJ31</f>
        <v>0.32416204345209709</v>
      </c>
    </row>
    <row r="41" spans="1:36" x14ac:dyDescent="0.35">
      <c r="J41" t="s">
        <v>37</v>
      </c>
      <c r="K41">
        <f>K35/(1+$J$2/100)^K31</f>
        <v>0</v>
      </c>
      <c r="L41" s="5">
        <f t="shared" ref="L41:AJ41" si="156">L35/(1+$J$2/100)^L31</f>
        <v>184.61538461538461</v>
      </c>
      <c r="M41" s="5">
        <f t="shared" si="156"/>
        <v>142.0118343195266</v>
      </c>
      <c r="N41" s="5">
        <f t="shared" si="156"/>
        <v>109.239872553482</v>
      </c>
      <c r="O41" s="5">
        <f t="shared" si="156"/>
        <v>84.030671194986155</v>
      </c>
      <c r="P41" s="5">
        <f t="shared" si="156"/>
        <v>64.638977842297038</v>
      </c>
      <c r="Q41" s="5">
        <f t="shared" si="156"/>
        <v>49.722290647920794</v>
      </c>
      <c r="R41" s="5">
        <f t="shared" si="156"/>
        <v>38.247915883015992</v>
      </c>
      <c r="S41" s="5">
        <f t="shared" si="156"/>
        <v>29.421473756166151</v>
      </c>
      <c r="T41" s="5">
        <f t="shared" si="156"/>
        <v>22.631902889358578</v>
      </c>
      <c r="U41" s="5">
        <f t="shared" si="156"/>
        <v>17.409156068737367</v>
      </c>
      <c r="V41" s="5">
        <f t="shared" si="156"/>
        <v>13.391658514413358</v>
      </c>
      <c r="W41" s="5">
        <f t="shared" si="156"/>
        <v>10.301275780317967</v>
      </c>
      <c r="X41" s="5">
        <f t="shared" si="156"/>
        <v>7.9240582925522816</v>
      </c>
      <c r="Y41" s="5">
        <f t="shared" si="156"/>
        <v>6.0954294558094473</v>
      </c>
      <c r="Z41" s="5">
        <f t="shared" si="156"/>
        <v>4.6887918890841895</v>
      </c>
      <c r="AA41" s="5">
        <f t="shared" si="156"/>
        <v>3.6067629916032229</v>
      </c>
      <c r="AB41" s="5">
        <f t="shared" si="156"/>
        <v>2.7744330704640179</v>
      </c>
      <c r="AC41" s="5">
        <f t="shared" si="156"/>
        <v>2.1341792849723209</v>
      </c>
      <c r="AD41" s="5">
        <f t="shared" si="156"/>
        <v>1.6416763730556312</v>
      </c>
      <c r="AE41" s="5">
        <f t="shared" si="156"/>
        <v>1.2628279792735626</v>
      </c>
      <c r="AF41" s="5">
        <f t="shared" si="156"/>
        <v>0.97140613790274044</v>
      </c>
      <c r="AG41" s="5">
        <f t="shared" si="156"/>
        <v>0.74723549069441575</v>
      </c>
      <c r="AH41" s="5">
        <f t="shared" si="156"/>
        <v>0.57479653130339659</v>
      </c>
      <c r="AI41" s="5">
        <f t="shared" si="156"/>
        <v>0.44215117792568975</v>
      </c>
      <c r="AJ41" s="5">
        <f t="shared" si="156"/>
        <v>0.340116290712069</v>
      </c>
    </row>
    <row r="42" spans="1:36" x14ac:dyDescent="0.35">
      <c r="J42" t="s">
        <v>38</v>
      </c>
      <c r="K42">
        <f>SUM(K40:AJ40)/SUM(K41:AJ41)</f>
        <v>2.6993289321369636</v>
      </c>
    </row>
    <row r="46" spans="1:36" x14ac:dyDescent="0.35">
      <c r="K46">
        <f>K16/120*3600</f>
        <v>114.99914311580544</v>
      </c>
    </row>
    <row r="47" spans="1:36" x14ac:dyDescent="0.35">
      <c r="G47">
        <f>D3*1000*(1/D7+D6/100)/(8760*D4/100*0.5)+K2/(D4/100)</f>
        <v>61.06391649164604</v>
      </c>
      <c r="H47" t="s">
        <v>42</v>
      </c>
    </row>
    <row r="49" spans="7:11" x14ac:dyDescent="0.35">
      <c r="G49">
        <f>D11*1000*(1/D14+D13/100)/(8760*D12/100*0.5)+(L2+M2*O2)/(D12/100)</f>
        <v>116.66229271809659</v>
      </c>
    </row>
    <row r="57" spans="7:11" ht="15.5" x14ac:dyDescent="0.35">
      <c r="J57" s="6" t="s">
        <v>51</v>
      </c>
    </row>
    <row r="58" spans="7:11" x14ac:dyDescent="0.35">
      <c r="J58">
        <f>112194*1.055/1000</f>
        <v>118.36467</v>
      </c>
      <c r="K58" t="s">
        <v>52</v>
      </c>
    </row>
    <row r="59" spans="7:11" x14ac:dyDescent="0.35">
      <c r="J59">
        <f>J58/120</f>
        <v>0.98637225000000006</v>
      </c>
      <c r="K59" t="s">
        <v>53</v>
      </c>
    </row>
  </sheetData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F9EC-31BF-4F70-AB72-58A8C2B9E334}">
  <dimension ref="A1:K19"/>
  <sheetViews>
    <sheetView workbookViewId="0">
      <selection activeCell="K2" sqref="K2"/>
    </sheetView>
  </sheetViews>
  <sheetFormatPr defaultRowHeight="14.5" x14ac:dyDescent="0.35"/>
  <cols>
    <col min="1" max="1" width="16.7265625" bestFit="1" customWidth="1"/>
    <col min="2" max="2" width="14.81640625" bestFit="1" customWidth="1"/>
    <col min="3" max="3" width="13.1796875" bestFit="1" customWidth="1"/>
    <col min="4" max="4" width="9.1796875" customWidth="1"/>
    <col min="5" max="5" width="8.7265625" customWidth="1"/>
    <col min="6" max="6" width="5.54296875" bestFit="1" customWidth="1"/>
    <col min="8" max="8" width="9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>
        <v>2025</v>
      </c>
      <c r="E1" s="1">
        <v>2030</v>
      </c>
      <c r="F1" s="1">
        <v>2040</v>
      </c>
      <c r="G1" s="1">
        <v>2050</v>
      </c>
      <c r="I1" s="7" t="s">
        <v>58</v>
      </c>
    </row>
    <row r="2" spans="1:11" x14ac:dyDescent="0.35">
      <c r="A2" t="s">
        <v>44</v>
      </c>
      <c r="B2" t="s">
        <v>9</v>
      </c>
      <c r="C2" t="s">
        <v>12</v>
      </c>
      <c r="D2">
        <f>Sheet1!$S1/44</f>
        <v>0.75757575757575768</v>
      </c>
      <c r="E2">
        <f>Sheet1!$S1/43.2</f>
        <v>0.77160493827160492</v>
      </c>
      <c r="F2">
        <f>Sheet1!$S1/41.6</f>
        <v>0.80128205128205132</v>
      </c>
      <c r="G2">
        <f>Sheet1!$S1/40</f>
        <v>0.83333333333333337</v>
      </c>
      <c r="I2">
        <v>46200</v>
      </c>
      <c r="J2" t="s">
        <v>54</v>
      </c>
      <c r="K2" t="s">
        <v>57</v>
      </c>
    </row>
    <row r="3" spans="1:11" x14ac:dyDescent="0.35">
      <c r="A3" t="s">
        <v>44</v>
      </c>
      <c r="B3" t="s">
        <v>8</v>
      </c>
      <c r="C3" t="s">
        <v>47</v>
      </c>
      <c r="D3" s="2">
        <f>105260/(120/3.6)</f>
        <v>3157.7999999999997</v>
      </c>
      <c r="E3" s="2">
        <f>40000/(120/3.6)</f>
        <v>1200</v>
      </c>
      <c r="F3" s="2">
        <f>27400/(120/3.6)</f>
        <v>821.99999999999989</v>
      </c>
      <c r="G3" s="2">
        <f>15200/(120/3.6)</f>
        <v>455.99999999999994</v>
      </c>
      <c r="I3">
        <f>I2/1000/1.055</f>
        <v>43.791469194312803</v>
      </c>
      <c r="J3" t="s">
        <v>55</v>
      </c>
    </row>
    <row r="4" spans="1:11" x14ac:dyDescent="0.35">
      <c r="A4" t="s">
        <v>44</v>
      </c>
      <c r="B4" t="s">
        <v>10</v>
      </c>
      <c r="C4" t="s">
        <v>16</v>
      </c>
      <c r="D4">
        <v>8.5500000000000007</v>
      </c>
      <c r="E4">
        <v>8.5500000000000007</v>
      </c>
      <c r="F4">
        <v>8.5500000000000007</v>
      </c>
      <c r="G4">
        <v>8.5500000000000007</v>
      </c>
      <c r="I4">
        <f>I3*0.12</f>
        <v>5.2549763033175365</v>
      </c>
      <c r="J4" t="s">
        <v>56</v>
      </c>
    </row>
    <row r="5" spans="1:11" x14ac:dyDescent="0.35">
      <c r="A5" t="s">
        <v>44</v>
      </c>
      <c r="B5" t="s">
        <v>11</v>
      </c>
      <c r="C5" t="s">
        <v>15</v>
      </c>
      <c r="D5" s="2">
        <f>95000/8760</f>
        <v>10.844748858447488</v>
      </c>
      <c r="E5" s="2">
        <f t="shared" ref="E5" si="0">95000/8760</f>
        <v>10.844748858447488</v>
      </c>
      <c r="F5" s="2">
        <f>100000/8760</f>
        <v>11.415525114155251</v>
      </c>
      <c r="G5">
        <v>12</v>
      </c>
    </row>
    <row r="6" spans="1:11" x14ac:dyDescent="0.35">
      <c r="A6" t="s">
        <v>44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</row>
    <row r="7" spans="1:11" x14ac:dyDescent="0.35">
      <c r="A7" t="s">
        <v>44</v>
      </c>
      <c r="B7" t="s">
        <v>19</v>
      </c>
      <c r="C7" t="s">
        <v>20</v>
      </c>
    </row>
    <row r="17" spans="8:9" x14ac:dyDescent="0.35">
      <c r="H17" t="s">
        <v>48</v>
      </c>
      <c r="I17">
        <f>1000/3600</f>
        <v>0.27777777777777779</v>
      </c>
    </row>
    <row r="18" spans="8:9" x14ac:dyDescent="0.35">
      <c r="H18" t="s">
        <v>49</v>
      </c>
      <c r="I18" t="s">
        <v>50</v>
      </c>
    </row>
    <row r="19" spans="8:9" x14ac:dyDescent="0.35">
      <c r="I19">
        <f>120/3.6</f>
        <v>33.333333333333336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BA8A-B206-491C-9BD5-5A47624BA7F1}">
  <dimension ref="A1:J8"/>
  <sheetViews>
    <sheetView workbookViewId="0">
      <selection activeCell="H1" sqref="H1"/>
    </sheetView>
  </sheetViews>
  <sheetFormatPr defaultRowHeight="14.5" x14ac:dyDescent="0.35"/>
  <cols>
    <col min="1" max="1" width="16.7265625" bestFit="1" customWidth="1"/>
    <col min="2" max="2" width="14.81640625" bestFit="1" customWidth="1"/>
    <col min="3" max="3" width="13.1796875" bestFit="1" customWidth="1"/>
    <col min="4" max="5" width="6.54296875" bestFit="1" customWidth="1"/>
    <col min="6" max="6" width="5.542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  <c r="H1" s="7" t="s">
        <v>58</v>
      </c>
    </row>
    <row r="2" spans="1:10" x14ac:dyDescent="0.35">
      <c r="A2" t="s">
        <v>45</v>
      </c>
      <c r="B2" t="s">
        <v>8</v>
      </c>
      <c r="C2" t="s">
        <v>17</v>
      </c>
      <c r="D2">
        <v>900</v>
      </c>
      <c r="E2">
        <v>700</v>
      </c>
      <c r="F2">
        <v>450</v>
      </c>
      <c r="H2">
        <v>17700</v>
      </c>
      <c r="I2" t="s">
        <v>54</v>
      </c>
      <c r="J2" t="s">
        <v>57</v>
      </c>
    </row>
    <row r="3" spans="1:10" x14ac:dyDescent="0.35">
      <c r="A3" t="s">
        <v>45</v>
      </c>
      <c r="B3" t="s">
        <v>9</v>
      </c>
      <c r="C3" t="s">
        <v>12</v>
      </c>
      <c r="D3">
        <v>64</v>
      </c>
      <c r="E3">
        <v>69</v>
      </c>
      <c r="F3">
        <v>74</v>
      </c>
      <c r="H3">
        <f>H2/1000/1.055</f>
        <v>16.777251184834125</v>
      </c>
      <c r="I3" t="s">
        <v>55</v>
      </c>
    </row>
    <row r="4" spans="1:10" x14ac:dyDescent="0.35">
      <c r="A4" t="s">
        <v>45</v>
      </c>
      <c r="B4" t="s">
        <v>8</v>
      </c>
      <c r="C4" t="s">
        <v>18</v>
      </c>
      <c r="D4" s="2">
        <f>D2/(D3/100)</f>
        <v>1406.25</v>
      </c>
      <c r="E4" s="2">
        <f t="shared" ref="E4:F4" si="0">E2/(E3/100)</f>
        <v>1014.4927536231885</v>
      </c>
      <c r="F4" s="2">
        <f t="shared" si="0"/>
        <v>608.10810810810813</v>
      </c>
      <c r="H4">
        <f>H3*0.12</f>
        <v>2.0132701421800947</v>
      </c>
      <c r="I4" t="s">
        <v>56</v>
      </c>
    </row>
    <row r="5" spans="1:10" x14ac:dyDescent="0.35">
      <c r="A5" t="s">
        <v>45</v>
      </c>
      <c r="B5" t="s">
        <v>10</v>
      </c>
      <c r="C5" t="s">
        <v>16</v>
      </c>
      <c r="D5">
        <v>1.5</v>
      </c>
      <c r="E5">
        <v>1.5</v>
      </c>
      <c r="F5">
        <v>1.5</v>
      </c>
    </row>
    <row r="6" spans="1:10" x14ac:dyDescent="0.35">
      <c r="A6" t="s">
        <v>45</v>
      </c>
      <c r="B6" t="s">
        <v>11</v>
      </c>
      <c r="C6" t="s">
        <v>15</v>
      </c>
      <c r="D6" s="2">
        <f>95000/8760</f>
        <v>10.844748858447488</v>
      </c>
      <c r="E6" s="2">
        <f t="shared" ref="E6" si="1">95000/8760</f>
        <v>10.844748858447488</v>
      </c>
      <c r="F6" s="2">
        <f>100000/8760</f>
        <v>11.415525114155251</v>
      </c>
    </row>
    <row r="7" spans="1:10" x14ac:dyDescent="0.35">
      <c r="A7" t="s">
        <v>45</v>
      </c>
      <c r="B7" t="s">
        <v>13</v>
      </c>
      <c r="C7" t="s">
        <v>14</v>
      </c>
      <c r="D7">
        <v>0</v>
      </c>
      <c r="E7">
        <v>0</v>
      </c>
      <c r="F7">
        <v>0</v>
      </c>
    </row>
    <row r="8" spans="1:10" x14ac:dyDescent="0.35">
      <c r="A8" t="s">
        <v>45</v>
      </c>
      <c r="B8" t="s">
        <v>19</v>
      </c>
      <c r="C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341F-BF04-4F6E-A53E-4DD9FC7097C8}">
  <dimension ref="A1:J8"/>
  <sheetViews>
    <sheetView workbookViewId="0">
      <selection activeCell="J2" sqref="J2"/>
    </sheetView>
  </sheetViews>
  <sheetFormatPr defaultRowHeight="14.5" x14ac:dyDescent="0.35"/>
  <cols>
    <col min="1" max="1" width="16.7265625" bestFit="1" customWidth="1"/>
    <col min="2" max="2" width="14.81640625" bestFit="1" customWidth="1"/>
    <col min="3" max="3" width="13.1796875" bestFit="1" customWidth="1"/>
    <col min="4" max="5" width="6.54296875" bestFit="1" customWidth="1"/>
    <col min="6" max="6" width="5.542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</row>
    <row r="2" spans="1:10" x14ac:dyDescent="0.35">
      <c r="A2" t="s">
        <v>3</v>
      </c>
      <c r="B2" t="s">
        <v>8</v>
      </c>
      <c r="C2" t="s">
        <v>17</v>
      </c>
      <c r="D2">
        <v>900</v>
      </c>
      <c r="E2">
        <v>700</v>
      </c>
      <c r="F2">
        <v>450</v>
      </c>
      <c r="J2" t="s">
        <v>57</v>
      </c>
    </row>
    <row r="3" spans="1:10" x14ac:dyDescent="0.35">
      <c r="A3" t="s">
        <v>3</v>
      </c>
      <c r="B3" t="s">
        <v>9</v>
      </c>
      <c r="C3" t="s">
        <v>12</v>
      </c>
      <c r="D3">
        <v>64</v>
      </c>
      <c r="E3">
        <v>69</v>
      </c>
      <c r="F3">
        <v>74</v>
      </c>
    </row>
    <row r="4" spans="1:10" x14ac:dyDescent="0.35">
      <c r="A4" t="s">
        <v>3</v>
      </c>
      <c r="B4" t="s">
        <v>8</v>
      </c>
      <c r="C4" t="s">
        <v>18</v>
      </c>
      <c r="D4" s="2">
        <f>D2/(D3/100)</f>
        <v>1406.25</v>
      </c>
      <c r="E4" s="2">
        <f t="shared" ref="E4:F4" si="0">E2/(E3/100)</f>
        <v>1014.4927536231885</v>
      </c>
      <c r="F4" s="2">
        <f t="shared" si="0"/>
        <v>608.10810810810813</v>
      </c>
    </row>
    <row r="5" spans="1:10" x14ac:dyDescent="0.35">
      <c r="A5" t="s">
        <v>3</v>
      </c>
      <c r="B5" t="s">
        <v>10</v>
      </c>
      <c r="C5" t="s">
        <v>16</v>
      </c>
      <c r="D5">
        <v>1.5</v>
      </c>
      <c r="E5">
        <v>1.5</v>
      </c>
      <c r="F5">
        <v>1.5</v>
      </c>
    </row>
    <row r="6" spans="1:10" x14ac:dyDescent="0.35">
      <c r="A6" t="s">
        <v>3</v>
      </c>
      <c r="B6" t="s">
        <v>11</v>
      </c>
      <c r="C6" t="s">
        <v>15</v>
      </c>
      <c r="D6" s="2">
        <f>95000/8760</f>
        <v>10.844748858447488</v>
      </c>
      <c r="E6" s="2">
        <f t="shared" ref="E6" si="1">95000/8760</f>
        <v>10.844748858447488</v>
      </c>
      <c r="F6" s="2">
        <f>100000/8760</f>
        <v>11.415525114155251</v>
      </c>
    </row>
    <row r="7" spans="1:10" x14ac:dyDescent="0.35">
      <c r="A7" t="s">
        <v>3</v>
      </c>
      <c r="B7" t="s">
        <v>13</v>
      </c>
      <c r="C7" t="s">
        <v>14</v>
      </c>
      <c r="D7">
        <v>0</v>
      </c>
      <c r="E7">
        <v>0</v>
      </c>
      <c r="F7">
        <v>0</v>
      </c>
    </row>
    <row r="8" spans="1:10" x14ac:dyDescent="0.35">
      <c r="A8" t="s">
        <v>3</v>
      </c>
      <c r="B8" t="s">
        <v>19</v>
      </c>
      <c r="C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E432-06D4-40C0-8F65-EE036A554527}">
  <dimension ref="A1:J7"/>
  <sheetViews>
    <sheetView workbookViewId="0">
      <selection activeCell="J6" sqref="J6"/>
    </sheetView>
  </sheetViews>
  <sheetFormatPr defaultRowHeight="14.5" x14ac:dyDescent="0.35"/>
  <cols>
    <col min="1" max="1" width="11.26953125" bestFit="1" customWidth="1"/>
    <col min="2" max="2" width="14.81640625" bestFit="1" customWidth="1"/>
    <col min="3" max="3" width="13.1796875" bestFit="1" customWidth="1"/>
    <col min="4" max="6" width="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  <c r="H1" s="7" t="s">
        <v>58</v>
      </c>
    </row>
    <row r="2" spans="1:10" x14ac:dyDescent="0.35">
      <c r="A2" t="s">
        <v>4</v>
      </c>
      <c r="B2" t="s">
        <v>8</v>
      </c>
      <c r="C2" t="s">
        <v>18</v>
      </c>
      <c r="D2">
        <v>910</v>
      </c>
      <c r="E2">
        <v>910</v>
      </c>
      <c r="F2">
        <v>910</v>
      </c>
      <c r="H2">
        <v>110000</v>
      </c>
      <c r="I2" t="s">
        <v>54</v>
      </c>
      <c r="J2" t="s">
        <v>57</v>
      </c>
    </row>
    <row r="3" spans="1:10" x14ac:dyDescent="0.35">
      <c r="A3" t="s">
        <v>4</v>
      </c>
      <c r="B3" t="s">
        <v>9</v>
      </c>
      <c r="C3" t="s">
        <v>12</v>
      </c>
      <c r="D3">
        <v>76</v>
      </c>
      <c r="E3">
        <v>76</v>
      </c>
      <c r="F3">
        <v>76</v>
      </c>
      <c r="H3">
        <f>H2/1000/1.055</f>
        <v>104.2654028436019</v>
      </c>
      <c r="I3" t="s">
        <v>55</v>
      </c>
    </row>
    <row r="4" spans="1:10" x14ac:dyDescent="0.35">
      <c r="A4" t="s">
        <v>4</v>
      </c>
      <c r="B4" t="s">
        <v>10</v>
      </c>
      <c r="C4" t="s">
        <v>16</v>
      </c>
      <c r="D4">
        <v>4.7</v>
      </c>
      <c r="E4">
        <v>4.7</v>
      </c>
      <c r="F4">
        <v>4.7</v>
      </c>
      <c r="H4">
        <f>H3*0.12</f>
        <v>12.511848341232229</v>
      </c>
      <c r="I4" t="s">
        <v>56</v>
      </c>
    </row>
    <row r="5" spans="1:10" x14ac:dyDescent="0.35">
      <c r="A5" t="s">
        <v>4</v>
      </c>
      <c r="B5" t="s">
        <v>11</v>
      </c>
      <c r="C5" t="s">
        <v>15</v>
      </c>
      <c r="D5">
        <v>25</v>
      </c>
      <c r="E5">
        <v>25</v>
      </c>
      <c r="F5">
        <v>25</v>
      </c>
    </row>
    <row r="6" spans="1:10" x14ac:dyDescent="0.35">
      <c r="A6" t="s">
        <v>4</v>
      </c>
      <c r="B6" t="s">
        <v>13</v>
      </c>
      <c r="C6" t="s">
        <v>14</v>
      </c>
      <c r="D6">
        <v>8.9</v>
      </c>
      <c r="E6">
        <v>8.9</v>
      </c>
      <c r="F6">
        <v>8.9</v>
      </c>
    </row>
    <row r="7" spans="1:10" x14ac:dyDescent="0.35">
      <c r="A7" t="s">
        <v>4</v>
      </c>
      <c r="B7" t="s">
        <v>19</v>
      </c>
      <c r="C7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0E7A-B7CE-4F74-83FF-BA0F22FBBA49}">
  <dimension ref="A1:H12"/>
  <sheetViews>
    <sheetView workbookViewId="0">
      <selection activeCell="G10" sqref="G10"/>
    </sheetView>
  </sheetViews>
  <sheetFormatPr defaultRowHeight="14.5" x14ac:dyDescent="0.35"/>
  <cols>
    <col min="1" max="1" width="11.26953125" bestFit="1" customWidth="1"/>
    <col min="2" max="2" width="14.81640625" bestFit="1" customWidth="1"/>
    <col min="3" max="3" width="13.1796875" bestFit="1" customWidth="1"/>
    <col min="4" max="6" width="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</row>
    <row r="2" spans="1:8" x14ac:dyDescent="0.35">
      <c r="A2" t="s">
        <v>5</v>
      </c>
      <c r="B2" t="s">
        <v>8</v>
      </c>
      <c r="C2" t="s">
        <v>18</v>
      </c>
      <c r="D2">
        <v>1680</v>
      </c>
      <c r="E2">
        <v>1360</v>
      </c>
      <c r="F2">
        <v>1280</v>
      </c>
    </row>
    <row r="3" spans="1:8" x14ac:dyDescent="0.35">
      <c r="A3" t="s">
        <v>5</v>
      </c>
      <c r="B3" t="s">
        <v>9</v>
      </c>
      <c r="C3" t="s">
        <v>12</v>
      </c>
      <c r="D3">
        <v>69</v>
      </c>
      <c r="E3">
        <v>69</v>
      </c>
      <c r="F3">
        <v>69</v>
      </c>
    </row>
    <row r="4" spans="1:8" x14ac:dyDescent="0.35">
      <c r="A4" t="s">
        <v>5</v>
      </c>
      <c r="B4" t="s">
        <v>10</v>
      </c>
      <c r="C4" t="s">
        <v>16</v>
      </c>
      <c r="D4">
        <v>3</v>
      </c>
      <c r="E4">
        <v>3</v>
      </c>
      <c r="F4">
        <v>3</v>
      </c>
    </row>
    <row r="5" spans="1:8" x14ac:dyDescent="0.35">
      <c r="A5" t="s">
        <v>5</v>
      </c>
      <c r="B5" t="s">
        <v>11</v>
      </c>
      <c r="C5" t="s">
        <v>15</v>
      </c>
      <c r="D5">
        <v>25</v>
      </c>
      <c r="E5">
        <v>25</v>
      </c>
      <c r="F5">
        <v>25</v>
      </c>
    </row>
    <row r="6" spans="1:8" x14ac:dyDescent="0.35">
      <c r="A6" t="s">
        <v>5</v>
      </c>
      <c r="B6" t="s">
        <v>13</v>
      </c>
      <c r="C6" t="s">
        <v>14</v>
      </c>
      <c r="D6">
        <v>1</v>
      </c>
      <c r="E6">
        <v>1</v>
      </c>
      <c r="F6">
        <v>1</v>
      </c>
    </row>
    <row r="7" spans="1:8" x14ac:dyDescent="0.35">
      <c r="A7" t="s">
        <v>5</v>
      </c>
      <c r="B7" t="s">
        <v>19</v>
      </c>
      <c r="C7" t="s">
        <v>20</v>
      </c>
    </row>
    <row r="10" spans="1:8" x14ac:dyDescent="0.35">
      <c r="G10">
        <v>120000</v>
      </c>
      <c r="H10" t="s">
        <v>54</v>
      </c>
    </row>
    <row r="11" spans="1:8" x14ac:dyDescent="0.35">
      <c r="G11">
        <f>G10/1000/1.055</f>
        <v>113.74407582938389</v>
      </c>
      <c r="H11" t="s">
        <v>55</v>
      </c>
    </row>
    <row r="12" spans="1:8" x14ac:dyDescent="0.35">
      <c r="G12">
        <f>G11*0.12</f>
        <v>13.649289099526067</v>
      </c>
      <c r="H1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R V 9 l W C j a W O C l A A A A 9 g A A A B I A H A B D b 2 5 m a W c v U G F j a 2 F n Z S 5 4 b W w g o h g A K K A U A A A A A A A A A A A A A A A A A A A A A A A A A A A A h Y 8 x D o I w G I W v Q r r T l m o M I T 9 l 0 E 1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o h w t Q Y y R S D v D / w B U E s D B B Q A A g A I A E V f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X 2 V Y K I p H u A 4 A A A A R A A A A E w A c A E Z v c m 1 1 b G F z L 1 N l Y 3 R p b 2 4 x L m 0 g o h g A K K A U A A A A A A A A A A A A A A A A A A A A A A A A A A A A K 0 5 N L s n M z 1 M I h t C G 1 g B Q S w E C L Q A U A A I A C A B F X 2 V Y K N p Y 4 K U A A A D 2 A A A A E g A A A A A A A A A A A A A A A A A A A A A A Q 2 9 u Z m l n L 1 B h Y 2 t h Z 2 U u e G 1 s U E s B A i 0 A F A A C A A g A R V 9 l W A / K 6 a u k A A A A 6 Q A A A B M A A A A A A A A A A A A A A A A A 8 Q A A A F t D b 2 5 0 Z W 5 0 X 1 R 5 c G V z X S 5 4 b W x Q S w E C L Q A U A A I A C A B F X 2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L i + 7 M 0 G k m q R s 7 6 u a 0 x x w A A A A A C A A A A A A A D Z g A A w A A A A B A A A A A g 3 d t z g Z P H a M t T J c C o G t o Y A A A A A A S A A A C g A A A A E A A A A B z x 1 y w e b U j o B M d s F s R o y V t Q A A A A z d S B c h J v c 5 0 7 n U x L O i T O k H 4 a V L T Y 0 0 l c v Q g I M / c g o 7 l X 9 2 8 T l s V S O W E U e 1 p c 7 j E H s T h F 3 B r 5 P 9 D V R u 6 d 6 p k a w G 2 I 8 H T 4 N q K A q 5 P t P 0 t f 4 u U U A A A A J w V v a i l P F 9 T T y k 2 j A L A C 8 L O + o P g = < / D a t a M a s h u p > 
</file>

<file path=customXml/itemProps1.xml><?xml version="1.0" encoding="utf-8"?>
<ds:datastoreItem xmlns:ds="http://schemas.openxmlformats.org/officeDocument/2006/customXml" ds:itemID="{E49A18DC-5E18-4DDC-994E-18B6DAF7E479}">
  <ds:schemaRefs>
    <ds:schemaRef ds:uri="http://purl.org/dc/elements/1.1/"/>
    <ds:schemaRef ds:uri="http://schemas.openxmlformats.org/package/2006/metadata/core-properties"/>
    <ds:schemaRef ds:uri="262418f3-8967-42a1-91f5-8aa137fbcf65"/>
    <ds:schemaRef ds:uri="http://purl.org/dc/terms/"/>
    <ds:schemaRef ds:uri="http://schemas.microsoft.com/office/2006/metadata/properties"/>
    <ds:schemaRef ds:uri="1fa5a077-4a93-48a7-9217-96ff940fe088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A83AC24-DDE1-4276-8B22-96BFB68FB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CC3B1B-5109-41F3-ABA3-9E87531196F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0314C57-134C-4705-BEE4-AB9ADBC32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SOEC</vt:lpstr>
      <vt:lpstr>AEC</vt:lpstr>
      <vt:lpstr>PEMEC</vt:lpstr>
      <vt:lpstr>SMR</vt:lpstr>
      <vt:lpstr>SMR 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Frederik Skou Fertin</cp:lastModifiedBy>
  <cp:revision/>
  <dcterms:created xsi:type="dcterms:W3CDTF">2024-03-05T10:55:59Z</dcterms:created>
  <dcterms:modified xsi:type="dcterms:W3CDTF">2024-04-09T10:10:14Z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